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algebrapou-my.sharepoint.com/personal/toni_milun_algebra_hr/Documents/Documents/toni stik/posao/VUA Algebra/matematika Algebra/VUA Matematika DM/VUA Mat DM ispiti/2024 VUA Mat DM 12. 9/"/>
    </mc:Choice>
  </mc:AlternateContent>
  <xr:revisionPtr revIDLastSave="126" documentId="8_{800E1D0F-14BD-4E56-A08C-FDEDF9CE1D8D}" xr6:coauthVersionLast="47" xr6:coauthVersionMax="47" xr10:uidLastSave="{1259E20E-D7C7-45E8-93AB-102EF5583AE6}"/>
  <bookViews>
    <workbookView xWindow="-110" yWindow="-110" windowWidth="19420" windowHeight="10420" xr2:uid="{00000000-000D-0000-FFFF-FFFF00000000}"/>
  </bookViews>
  <sheets>
    <sheet name="uvod" sheetId="1" r:id="rId1"/>
    <sheet name="kontrola" sheetId="15" r:id="rId2"/>
    <sheet name="auto_feedback" sheetId="2" r:id="rId3"/>
    <sheet name="upute" sheetId="17" r:id="rId4"/>
    <sheet name="1. ish zad 1-10" sheetId="4" r:id="rId5"/>
    <sheet name="2. ish zad 11" sheetId="18" r:id="rId6"/>
    <sheet name="2. ish zad 12" sheetId="6" r:id="rId7"/>
    <sheet name="2. ish zad 13" sheetId="7" r:id="rId8"/>
    <sheet name="2. ish zad 14" sheetId="8" r:id="rId9"/>
    <sheet name="3. ish zad 15" sheetId="9" r:id="rId10"/>
    <sheet name="3. ish zad 16" sheetId="10" r:id="rId11"/>
    <sheet name="3. ish zad 17" sheetId="11" r:id="rId12"/>
    <sheet name="3. ish zad 18" sheetId="12" r:id="rId13"/>
    <sheet name="4. ish zad 19" sheetId="13" r:id="rId14"/>
    <sheet name="4. ish zad 20" sheetId="14" r:id="rId15"/>
    <sheet name="4. ish zad 21" sheetId="16" r:id="rId16"/>
  </sheets>
  <definedNames>
    <definedName name="A" localSheetId="5">#REF!</definedName>
    <definedName name="A" localSheetId="6">#REF!</definedName>
    <definedName name="A" localSheetId="7">#REF!</definedName>
    <definedName name="A" localSheetId="8">#REF!</definedName>
    <definedName name="A" localSheetId="3">#REF!</definedName>
    <definedName name="A" localSheetId="0">#REF!</definedName>
    <definedName name="A">#REF!</definedName>
    <definedName name="A_" localSheetId="5">#REF!</definedName>
    <definedName name="A_" localSheetId="6">#REF!</definedName>
    <definedName name="A_" localSheetId="7">#REF!</definedName>
    <definedName name="A_" localSheetId="8">#REF!</definedName>
    <definedName name="A_" localSheetId="3">#REF!</definedName>
    <definedName name="A_" localSheetId="0">#REF!</definedName>
    <definedName name="A_">#REF!</definedName>
    <definedName name="AB" localSheetId="5">#REF!</definedName>
    <definedName name="AB" localSheetId="6">#REF!</definedName>
    <definedName name="AB" localSheetId="7">#REF!</definedName>
    <definedName name="AB" localSheetId="8">#REF!</definedName>
    <definedName name="AB" localSheetId="3">#REF!</definedName>
    <definedName name="AB" localSheetId="0">#REF!</definedName>
    <definedName name="AB">#REF!</definedName>
    <definedName name="AT">#REF!</definedName>
    <definedName name="B">#REF!</definedName>
    <definedName name="B_">#REF!</definedName>
    <definedName name="C_">#REF!</definedName>
    <definedName name="D">#REF!</definedName>
    <definedName name="DT">#REF!</definedName>
    <definedName name="E">#REF!</definedName>
    <definedName name="F">#REF!</definedName>
    <definedName name="G">#REF!</definedName>
    <definedName name="KOM">#REF!</definedName>
    <definedName name="OCJENE">#REF!</definedName>
    <definedName name="ROT">#REF!</definedName>
    <definedName name="TR">#REF!</definedName>
    <definedName name="TRANS">#REF!</definedName>
    <definedName name="v">#REF!</definedName>
    <definedName name="W">#REF!</definedName>
    <definedName name="X">#REF!</definedName>
    <definedName name="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0" roundtripDataSignature="AMtx7mgRv1nJFDoz2pACnLy5ZMJhCMk+jg=="/>
    </ext>
  </extLst>
</workbook>
</file>

<file path=xl/calcChain.xml><?xml version="1.0" encoding="utf-8"?>
<calcChain xmlns="http://schemas.openxmlformats.org/spreadsheetml/2006/main">
  <c r="M10" i="15" l="1"/>
  <c r="N10" i="15" s="1"/>
  <c r="M11" i="15"/>
  <c r="N11" i="15" s="1"/>
  <c r="M12" i="15"/>
  <c r="N12" i="15" s="1"/>
  <c r="M13" i="15"/>
  <c r="M14" i="15"/>
  <c r="M15" i="15"/>
  <c r="M16" i="15"/>
  <c r="M17" i="15"/>
  <c r="M18" i="15"/>
  <c r="N18" i="15" s="1"/>
  <c r="M19" i="15"/>
  <c r="N19" i="15" s="1"/>
  <c r="M20" i="15"/>
  <c r="N20" i="15" s="1"/>
  <c r="M21" i="15"/>
  <c r="M22" i="15"/>
  <c r="M23" i="15"/>
  <c r="M24" i="15"/>
  <c r="M9" i="15"/>
  <c r="N9" i="15" s="1"/>
  <c r="N13" i="15"/>
  <c r="N14" i="15"/>
  <c r="N15" i="15"/>
  <c r="N16" i="15"/>
  <c r="N17" i="15"/>
  <c r="N21" i="15"/>
  <c r="N22" i="15"/>
  <c r="N23" i="15"/>
  <c r="N24" i="15"/>
  <c r="D12" i="15"/>
  <c r="D10" i="15"/>
  <c r="D81" i="15"/>
  <c r="F81" i="15" s="1"/>
  <c r="F82" i="15" s="1"/>
  <c r="X60" i="15"/>
  <c r="X59" i="15"/>
  <c r="X58" i="15"/>
  <c r="X57" i="15"/>
  <c r="X56" i="15"/>
  <c r="X55" i="15"/>
  <c r="N57" i="15"/>
  <c r="N56" i="15"/>
  <c r="N55" i="15"/>
  <c r="D58" i="15"/>
  <c r="X35" i="15"/>
  <c r="Z35" i="15" s="1"/>
  <c r="D14" i="15"/>
  <c r="C14" i="18" l="1"/>
  <c r="C23" i="18" l="1"/>
  <c r="C24" i="18" s="1"/>
  <c r="J18" i="18"/>
  <c r="J17" i="18"/>
  <c r="J16" i="18"/>
  <c r="J15" i="18"/>
  <c r="J14" i="18"/>
  <c r="J13" i="18"/>
  <c r="J12" i="18"/>
  <c r="J11" i="18"/>
  <c r="C11" i="18"/>
  <c r="J10" i="18"/>
  <c r="C10" i="18"/>
  <c r="C12" i="18" s="1"/>
  <c r="C13" i="18" s="1"/>
  <c r="J9" i="18"/>
  <c r="C15" i="18" l="1"/>
  <c r="C16" i="18" s="1"/>
  <c r="C17" i="18" l="1"/>
  <c r="C18" i="18" s="1"/>
  <c r="C20" i="18" s="1"/>
  <c r="C21" i="18" s="1"/>
  <c r="C22" i="18"/>
  <c r="C25" i="18" s="1"/>
  <c r="C34" i="4" l="1"/>
  <c r="B350" i="11" l="1"/>
  <c r="D350" i="11"/>
  <c r="M57" i="15"/>
  <c r="M56" i="15"/>
  <c r="M55" i="15"/>
  <c r="C59" i="15"/>
  <c r="B33" i="13"/>
  <c r="B34" i="13" s="1"/>
  <c r="B35" i="13" s="1"/>
  <c r="B36" i="13" s="1"/>
  <c r="B37" i="13" s="1"/>
  <c r="B38" i="13" s="1"/>
  <c r="B32" i="13"/>
  <c r="L75" i="11"/>
  <c r="C19" i="10"/>
  <c r="F12" i="9"/>
  <c r="D21" i="8"/>
  <c r="C24" i="7"/>
  <c r="G14" i="7"/>
  <c r="B13" i="7"/>
  <c r="C18" i="6"/>
  <c r="C16" i="6"/>
  <c r="C14" i="6"/>
  <c r="B35" i="16" l="1"/>
  <c r="W83" i="15"/>
  <c r="X83" i="15" s="1"/>
  <c r="Z83" i="15" s="1"/>
  <c r="P86" i="15"/>
  <c r="P85" i="15"/>
  <c r="P83" i="15"/>
  <c r="Z82" i="15"/>
  <c r="M82" i="15"/>
  <c r="N82" i="15" s="1"/>
  <c r="P82" i="15" s="1"/>
  <c r="Z81" i="15"/>
  <c r="X80" i="15"/>
  <c r="Z80" i="15" s="1"/>
  <c r="W80" i="15"/>
  <c r="W79" i="15"/>
  <c r="X79" i="15" s="1"/>
  <c r="Z79" i="15" s="1"/>
  <c r="N79" i="15"/>
  <c r="P79" i="15" s="1"/>
  <c r="M79" i="15"/>
  <c r="F79" i="15"/>
  <c r="W78" i="15"/>
  <c r="X78" i="15" s="1"/>
  <c r="Z78" i="15" s="1"/>
  <c r="P78" i="15"/>
  <c r="C78" i="15"/>
  <c r="D78" i="15" s="1"/>
  <c r="F78" i="15" s="1"/>
  <c r="Z77" i="15"/>
  <c r="N77" i="15"/>
  <c r="P77" i="15" s="1"/>
  <c r="P18" i="15"/>
  <c r="F4" i="15"/>
  <c r="E4" i="15"/>
  <c r="D4" i="15"/>
  <c r="C4" i="15"/>
  <c r="B2" i="15"/>
  <c r="A2" i="15"/>
  <c r="B40" i="14"/>
  <c r="M84" i="15" s="1"/>
  <c r="N84" i="15" s="1"/>
  <c r="P84" i="15" s="1"/>
  <c r="B39" i="14"/>
  <c r="M83" i="15" s="1"/>
  <c r="N83" i="15" s="1"/>
  <c r="B35" i="14"/>
  <c r="B29" i="14"/>
  <c r="M81" i="15" s="1"/>
  <c r="N81" i="15" s="1"/>
  <c r="P81" i="15" s="1"/>
  <c r="B15" i="14"/>
  <c r="M77" i="15" s="1"/>
  <c r="B14" i="14"/>
  <c r="B13" i="14"/>
  <c r="B12" i="14"/>
  <c r="B25" i="14" s="1"/>
  <c r="M80" i="15" s="1"/>
  <c r="N80" i="15" s="1"/>
  <c r="P80" i="15" s="1"/>
  <c r="P87" i="15" s="1"/>
  <c r="AA3" i="15" s="1"/>
  <c r="B11" i="14"/>
  <c r="B10" i="14"/>
  <c r="B9" i="14"/>
  <c r="B8" i="14"/>
  <c r="B14" i="13"/>
  <c r="B15" i="13" s="1"/>
  <c r="B16" i="13" s="1"/>
  <c r="B17" i="13" s="1"/>
  <c r="B18" i="13" s="1"/>
  <c r="B19" i="13" s="1"/>
  <c r="B20" i="13" s="1"/>
  <c r="B21" i="13" s="1"/>
  <c r="B22" i="13" s="1"/>
  <c r="B23" i="13" s="1"/>
  <c r="B24" i="13" s="1"/>
  <c r="B25" i="13" s="1"/>
  <c r="B26" i="13" s="1"/>
  <c r="B27" i="13" s="1"/>
  <c r="B28" i="13" s="1"/>
  <c r="B13" i="13"/>
  <c r="M36" i="12"/>
  <c r="E36" i="12"/>
  <c r="B27" i="12"/>
  <c r="B24" i="12"/>
  <c r="L102" i="12" s="1"/>
  <c r="B18" i="12"/>
  <c r="B12" i="12"/>
  <c r="B150" i="11"/>
  <c r="Q136" i="11"/>
  <c r="Q140" i="11" s="1"/>
  <c r="Q135" i="11"/>
  <c r="Q142" i="11" s="1"/>
  <c r="Q81" i="11"/>
  <c r="B81" i="11"/>
  <c r="Q80" i="11"/>
  <c r="Q77" i="11"/>
  <c r="Q76" i="11"/>
  <c r="Q75" i="11"/>
  <c r="Q82" i="11" s="1"/>
  <c r="L27" i="11"/>
  <c r="C27" i="11"/>
  <c r="N26" i="11"/>
  <c r="E26" i="11"/>
  <c r="B19" i="11"/>
  <c r="B21" i="11" s="1"/>
  <c r="B18" i="11"/>
  <c r="B17" i="11"/>
  <c r="B14" i="11"/>
  <c r="C57" i="15"/>
  <c r="D57" i="15" s="1"/>
  <c r="F57" i="15" s="1"/>
  <c r="I18" i="10"/>
  <c r="I17" i="10"/>
  <c r="C16" i="10"/>
  <c r="C56" i="15" s="1"/>
  <c r="D56" i="15" s="1"/>
  <c r="F56" i="15" s="1"/>
  <c r="C15" i="10"/>
  <c r="C55" i="15" s="1"/>
  <c r="D55" i="15" s="1"/>
  <c r="F55" i="15" s="1"/>
  <c r="I14" i="10"/>
  <c r="I13" i="10"/>
  <c r="I11" i="10"/>
  <c r="I10" i="10"/>
  <c r="G10" i="10" s="1"/>
  <c r="J9" i="10"/>
  <c r="H10" i="10" s="1"/>
  <c r="C39" i="9"/>
  <c r="C36" i="9"/>
  <c r="C30" i="9"/>
  <c r="C27" i="9"/>
  <c r="C21" i="9"/>
  <c r="C18" i="9"/>
  <c r="F16" i="9"/>
  <c r="C10" i="9"/>
  <c r="F9" i="9"/>
  <c r="W32" i="15" s="1"/>
  <c r="X32" i="15" s="1"/>
  <c r="Z32" i="15" s="1"/>
  <c r="F8" i="9"/>
  <c r="W31" i="15" s="1"/>
  <c r="X31" i="15" s="1"/>
  <c r="Z31" i="15" s="1"/>
  <c r="H19" i="8"/>
  <c r="D19" i="8"/>
  <c r="M33" i="15" s="1"/>
  <c r="N33" i="15" s="1"/>
  <c r="P33" i="15" s="1"/>
  <c r="D17" i="8"/>
  <c r="H15" i="8"/>
  <c r="H17" i="8" s="1"/>
  <c r="H18" i="8" s="1"/>
  <c r="D15" i="8"/>
  <c r="B21" i="7"/>
  <c r="B18" i="7"/>
  <c r="B15" i="7"/>
  <c r="G13" i="7"/>
  <c r="H12" i="7"/>
  <c r="C12" i="7"/>
  <c r="B20" i="7" s="1"/>
  <c r="B9" i="7"/>
  <c r="W9" i="15"/>
  <c r="X9" i="15" s="1"/>
  <c r="Z9" i="15" s="1"/>
  <c r="P23" i="15"/>
  <c r="P22" i="15"/>
  <c r="P9" i="15"/>
  <c r="C50" i="4"/>
  <c r="C18" i="15" s="1"/>
  <c r="D18" i="15" s="1"/>
  <c r="F18" i="15" s="1"/>
  <c r="Q3" i="15" s="1"/>
  <c r="C39" i="4"/>
  <c r="C16" i="15" s="1"/>
  <c r="D16" i="15" s="1"/>
  <c r="F16" i="15" s="1"/>
  <c r="O3" i="15" s="1"/>
  <c r="C15" i="15"/>
  <c r="D15" i="15" s="1"/>
  <c r="F15" i="15" s="1"/>
  <c r="N3" i="15" s="1"/>
  <c r="C28" i="4"/>
  <c r="C14" i="15" s="1"/>
  <c r="F14" i="15" s="1"/>
  <c r="M3" i="15" s="1"/>
  <c r="C23" i="4"/>
  <c r="C13" i="15" s="1"/>
  <c r="D13" i="15" s="1"/>
  <c r="F13" i="15" s="1"/>
  <c r="L3" i="15" s="1"/>
  <c r="C18" i="4"/>
  <c r="C12" i="15" s="1"/>
  <c r="F12" i="15" s="1"/>
  <c r="K3" i="15" s="1"/>
  <c r="C13" i="4"/>
  <c r="C11" i="15" s="1"/>
  <c r="D11" i="15" s="1"/>
  <c r="F11" i="15" s="1"/>
  <c r="J3" i="15" s="1"/>
  <c r="C8" i="4"/>
  <c r="C10" i="15" s="1"/>
  <c r="F10" i="15" s="1"/>
  <c r="I3" i="15" s="1"/>
  <c r="C3" i="4"/>
  <c r="C9" i="15" s="1"/>
  <c r="D9" i="15" s="1"/>
  <c r="F9" i="15" s="1"/>
  <c r="B17" i="2" a="1"/>
  <c r="B17" i="2" s="1"/>
  <c r="B16" i="2" a="1"/>
  <c r="B16" i="2" s="1"/>
  <c r="B15" i="2" a="1"/>
  <c r="B15" i="2" s="1"/>
  <c r="B13" i="2" a="1"/>
  <c r="B13" i="2" s="1"/>
  <c r="B12" i="2" a="1"/>
  <c r="B12" i="2" s="1"/>
  <c r="B10" i="2" a="1"/>
  <c r="B10" i="2" s="1"/>
  <c r="B9" i="2" a="1"/>
  <c r="B9" i="2" s="1"/>
  <c r="B8" i="2" a="1"/>
  <c r="B8" i="2" s="1"/>
  <c r="B6" i="2" a="1"/>
  <c r="B6" i="2" s="1"/>
  <c r="B5" i="2" a="1"/>
  <c r="B5" i="2" s="1"/>
  <c r="B4" i="2" a="1"/>
  <c r="B4" i="2" s="1"/>
  <c r="D2" i="2"/>
  <c r="Q141" i="11" l="1"/>
  <c r="P13" i="15"/>
  <c r="M31" i="15"/>
  <c r="N31" i="15" s="1"/>
  <c r="P31" i="15" s="1"/>
  <c r="D18" i="8"/>
  <c r="B348" i="11"/>
  <c r="B345" i="11"/>
  <c r="B342" i="11"/>
  <c r="B339" i="11"/>
  <c r="B336" i="11"/>
  <c r="B333" i="11"/>
  <c r="B330" i="11"/>
  <c r="B347" i="11"/>
  <c r="B346" i="11"/>
  <c r="B343" i="11"/>
  <c r="B334" i="11"/>
  <c r="B328" i="11"/>
  <c r="B325" i="11"/>
  <c r="B322" i="11"/>
  <c r="B319" i="11"/>
  <c r="B316" i="11"/>
  <c r="B313" i="11"/>
  <c r="B310" i="11"/>
  <c r="B307" i="11"/>
  <c r="B304" i="11"/>
  <c r="B301" i="11"/>
  <c r="B298" i="11"/>
  <c r="B295" i="11"/>
  <c r="B292" i="11"/>
  <c r="B289" i="11"/>
  <c r="B286" i="11"/>
  <c r="B283" i="11"/>
  <c r="B280" i="11"/>
  <c r="B277" i="11"/>
  <c r="B274" i="11"/>
  <c r="B271" i="11"/>
  <c r="B268" i="11"/>
  <c r="B265" i="11"/>
  <c r="B262" i="11"/>
  <c r="B259" i="11"/>
  <c r="B256" i="11"/>
  <c r="B253" i="11"/>
  <c r="B250" i="11"/>
  <c r="B247" i="11"/>
  <c r="B244" i="11"/>
  <c r="B241" i="11"/>
  <c r="B238" i="11"/>
  <c r="B235" i="11"/>
  <c r="B232" i="11"/>
  <c r="B229" i="11"/>
  <c r="B226" i="11"/>
  <c r="B223" i="11"/>
  <c r="B220" i="11"/>
  <c r="B217" i="11"/>
  <c r="B214" i="11"/>
  <c r="B211" i="11"/>
  <c r="B208" i="11"/>
  <c r="B205" i="11"/>
  <c r="B202" i="11"/>
  <c r="B199" i="11"/>
  <c r="B196" i="11"/>
  <c r="B193" i="11"/>
  <c r="B190" i="11"/>
  <c r="B187" i="11"/>
  <c r="B184" i="11"/>
  <c r="B181" i="11"/>
  <c r="B178" i="11"/>
  <c r="B175" i="11"/>
  <c r="B172" i="11"/>
  <c r="B169" i="11"/>
  <c r="B166" i="11"/>
  <c r="B163" i="11"/>
  <c r="B160" i="11"/>
  <c r="B157" i="11"/>
  <c r="B154" i="11"/>
  <c r="B151" i="11"/>
  <c r="B148" i="11"/>
  <c r="B145" i="11"/>
  <c r="B138" i="11"/>
  <c r="B136" i="11"/>
  <c r="B134" i="11"/>
  <c r="B131" i="11"/>
  <c r="B128" i="11"/>
  <c r="B125" i="11"/>
  <c r="B122" i="11"/>
  <c r="B341" i="11"/>
  <c r="B332" i="11"/>
  <c r="B349" i="11"/>
  <c r="B338" i="11"/>
  <c r="B144" i="11"/>
  <c r="B137" i="11"/>
  <c r="B135" i="11"/>
  <c r="B337" i="11"/>
  <c r="B329" i="11"/>
  <c r="B326" i="11"/>
  <c r="B323" i="11"/>
  <c r="B320" i="11"/>
  <c r="B317" i="11"/>
  <c r="B314" i="11"/>
  <c r="B311" i="11"/>
  <c r="B335" i="11"/>
  <c r="B273" i="11"/>
  <c r="B264" i="11"/>
  <c r="B255" i="11"/>
  <c r="B246" i="11"/>
  <c r="B237" i="11"/>
  <c r="B228" i="11"/>
  <c r="B219" i="11"/>
  <c r="B210" i="11"/>
  <c r="B331" i="11"/>
  <c r="B324" i="11"/>
  <c r="B315" i="11"/>
  <c r="B269" i="11"/>
  <c r="B260" i="11"/>
  <c r="B251" i="11"/>
  <c r="B242" i="11"/>
  <c r="B233" i="11"/>
  <c r="B224" i="11"/>
  <c r="B215" i="11"/>
  <c r="B206" i="11"/>
  <c r="B197" i="11"/>
  <c r="B188" i="11"/>
  <c r="B179" i="11"/>
  <c r="B170" i="11"/>
  <c r="B344" i="11"/>
  <c r="B270" i="11"/>
  <c r="B261" i="11"/>
  <c r="B252" i="11"/>
  <c r="B243" i="11"/>
  <c r="B234" i="11"/>
  <c r="B225" i="11"/>
  <c r="B216" i="11"/>
  <c r="B207" i="11"/>
  <c r="B198" i="11"/>
  <c r="B189" i="11"/>
  <c r="B180" i="11"/>
  <c r="B171" i="11"/>
  <c r="B321" i="11"/>
  <c r="B312" i="11"/>
  <c r="B308" i="11"/>
  <c r="B305" i="11"/>
  <c r="B302" i="11"/>
  <c r="B299" i="11"/>
  <c r="B296" i="11"/>
  <c r="B293" i="11"/>
  <c r="B290" i="11"/>
  <c r="B287" i="11"/>
  <c r="B284" i="11"/>
  <c r="B281" i="11"/>
  <c r="B278" i="11"/>
  <c r="B272" i="11"/>
  <c r="B263" i="11"/>
  <c r="B254" i="11"/>
  <c r="B245" i="11"/>
  <c r="B236" i="11"/>
  <c r="B227" i="11"/>
  <c r="B218" i="11"/>
  <c r="B209" i="11"/>
  <c r="B200" i="11"/>
  <c r="B191" i="11"/>
  <c r="B182" i="11"/>
  <c r="B173" i="11"/>
  <c r="B164" i="11"/>
  <c r="B155" i="11"/>
  <c r="B146" i="11"/>
  <c r="B309" i="11"/>
  <c r="B300" i="11"/>
  <c r="B291" i="11"/>
  <c r="B282" i="11"/>
  <c r="B257" i="11"/>
  <c r="B230" i="11"/>
  <c r="B203" i="11"/>
  <c r="B168" i="11"/>
  <c r="B149" i="11"/>
  <c r="B132" i="11"/>
  <c r="B123" i="11"/>
  <c r="B120" i="11"/>
  <c r="B84" i="11"/>
  <c r="B77" i="11"/>
  <c r="B75" i="11"/>
  <c r="B267" i="11"/>
  <c r="B240" i="11"/>
  <c r="B213" i="11"/>
  <c r="B165" i="11"/>
  <c r="B161" i="11"/>
  <c r="B153" i="11"/>
  <c r="B133" i="11"/>
  <c r="B124" i="11"/>
  <c r="B119" i="11"/>
  <c r="B116" i="11"/>
  <c r="B113" i="11"/>
  <c r="B110" i="11"/>
  <c r="B107" i="11"/>
  <c r="B104" i="11"/>
  <c r="B101" i="11"/>
  <c r="B98" i="11"/>
  <c r="B95" i="11"/>
  <c r="B92" i="11"/>
  <c r="B89" i="11"/>
  <c r="B86" i="11"/>
  <c r="B79" i="11"/>
  <c r="K73" i="11"/>
  <c r="B72" i="11"/>
  <c r="K70" i="11"/>
  <c r="B69" i="11"/>
  <c r="K67" i="11"/>
  <c r="B66" i="11"/>
  <c r="K64" i="11"/>
  <c r="B63" i="11"/>
  <c r="K61" i="11"/>
  <c r="B60" i="11"/>
  <c r="K58" i="11"/>
  <c r="B57" i="11"/>
  <c r="K55" i="11"/>
  <c r="B54" i="11"/>
  <c r="K52" i="11"/>
  <c r="B51" i="11"/>
  <c r="K49" i="11"/>
  <c r="B48" i="11"/>
  <c r="K46" i="11"/>
  <c r="B45" i="11"/>
  <c r="K43" i="11"/>
  <c r="B42" i="11"/>
  <c r="K40" i="11"/>
  <c r="B39" i="11"/>
  <c r="K37" i="11"/>
  <c r="B36" i="11"/>
  <c r="K34" i="11"/>
  <c r="B33" i="11"/>
  <c r="K31" i="11"/>
  <c r="B30" i="11"/>
  <c r="K28" i="11"/>
  <c r="B27" i="11"/>
  <c r="B303" i="11"/>
  <c r="B285" i="11"/>
  <c r="B266" i="11"/>
  <c r="B158" i="11"/>
  <c r="B327" i="11"/>
  <c r="B294" i="11"/>
  <c r="B239" i="11"/>
  <c r="B212" i="11"/>
  <c r="B276" i="11"/>
  <c r="B249" i="11"/>
  <c r="B222" i="11"/>
  <c r="B195" i="11"/>
  <c r="B186" i="11"/>
  <c r="B177" i="11"/>
  <c r="B162" i="11"/>
  <c r="B147" i="11"/>
  <c r="B142" i="11"/>
  <c r="B141" i="11"/>
  <c r="B140" i="11"/>
  <c r="B127" i="11"/>
  <c r="B118" i="11"/>
  <c r="B115" i="11"/>
  <c r="B112" i="11"/>
  <c r="B109" i="11"/>
  <c r="B106" i="11"/>
  <c r="B103" i="11"/>
  <c r="B100" i="11"/>
  <c r="B97" i="11"/>
  <c r="B94" i="11"/>
  <c r="B91" i="11"/>
  <c r="B88" i="11"/>
  <c r="B85" i="11"/>
  <c r="B78" i="11"/>
  <c r="B76" i="11"/>
  <c r="B74" i="11"/>
  <c r="K72" i="11"/>
  <c r="B71" i="11"/>
  <c r="K69" i="11"/>
  <c r="B68" i="11"/>
  <c r="K66" i="11"/>
  <c r="B65" i="11"/>
  <c r="K63" i="11"/>
  <c r="B62" i="11"/>
  <c r="K60" i="11"/>
  <c r="B59" i="11"/>
  <c r="K57" i="11"/>
  <c r="B56" i="11"/>
  <c r="K54" i="11"/>
  <c r="B53" i="11"/>
  <c r="K51" i="11"/>
  <c r="B50" i="11"/>
  <c r="K48" i="11"/>
  <c r="B47" i="11"/>
  <c r="K45" i="11"/>
  <c r="B44" i="11"/>
  <c r="K42" i="11"/>
  <c r="B41" i="11"/>
  <c r="K39" i="11"/>
  <c r="B38" i="11"/>
  <c r="K36" i="11"/>
  <c r="B35" i="11"/>
  <c r="K33" i="11"/>
  <c r="B32" i="11"/>
  <c r="K30" i="11"/>
  <c r="B29" i="11"/>
  <c r="K27" i="11"/>
  <c r="B340" i="11"/>
  <c r="B318" i="11"/>
  <c r="B306" i="11"/>
  <c r="B297" i="11"/>
  <c r="B288" i="11"/>
  <c r="B279" i="11"/>
  <c r="B275" i="11"/>
  <c r="B248" i="11"/>
  <c r="B221" i="11"/>
  <c r="B201" i="11"/>
  <c r="B192" i="11"/>
  <c r="B183" i="11"/>
  <c r="B174" i="11"/>
  <c r="B167" i="11"/>
  <c r="B159" i="11"/>
  <c r="B143" i="11"/>
  <c r="B129" i="11"/>
  <c r="B258" i="11"/>
  <c r="B231" i="11"/>
  <c r="B204" i="11"/>
  <c r="B194" i="11"/>
  <c r="B185" i="11"/>
  <c r="B176" i="11"/>
  <c r="B156" i="11"/>
  <c r="B152" i="11"/>
  <c r="B130" i="11"/>
  <c r="B121" i="11"/>
  <c r="B117" i="11"/>
  <c r="B114" i="11"/>
  <c r="B111" i="11"/>
  <c r="B108" i="11"/>
  <c r="B105" i="11"/>
  <c r="B102" i="11"/>
  <c r="B99" i="11"/>
  <c r="B96" i="11"/>
  <c r="B93" i="11"/>
  <c r="B90" i="11"/>
  <c r="B87" i="11"/>
  <c r="B82" i="11"/>
  <c r="B80" i="11"/>
  <c r="K74" i="11"/>
  <c r="B73" i="11"/>
  <c r="K71" i="11"/>
  <c r="B70" i="11"/>
  <c r="K68" i="11"/>
  <c r="B67" i="11"/>
  <c r="K65" i="11"/>
  <c r="B64" i="11"/>
  <c r="K62" i="11"/>
  <c r="B61" i="11"/>
  <c r="K59" i="11"/>
  <c r="B58" i="11"/>
  <c r="K56" i="11"/>
  <c r="B55" i="11"/>
  <c r="K53" i="11"/>
  <c r="B52" i="11"/>
  <c r="K50" i="11"/>
  <c r="B49" i="11"/>
  <c r="K47" i="11"/>
  <c r="B46" i="11"/>
  <c r="K44" i="11"/>
  <c r="B43" i="11"/>
  <c r="K41" i="11"/>
  <c r="B40" i="11"/>
  <c r="K38" i="11"/>
  <c r="B37" i="11"/>
  <c r="K35" i="11"/>
  <c r="B34" i="11"/>
  <c r="K32" i="11"/>
  <c r="B31" i="11"/>
  <c r="K29" i="11"/>
  <c r="B28" i="11"/>
  <c r="B83" i="11"/>
  <c r="Q137" i="11"/>
  <c r="W34" i="15"/>
  <c r="X34" i="15" s="1"/>
  <c r="Z34" i="15" s="1"/>
  <c r="C38" i="9"/>
  <c r="C35" i="9"/>
  <c r="C32" i="9"/>
  <c r="C29" i="9"/>
  <c r="C26" i="9"/>
  <c r="C23" i="9"/>
  <c r="C20" i="9"/>
  <c r="C17" i="9"/>
  <c r="C37" i="9"/>
  <c r="C34" i="9"/>
  <c r="C31" i="9"/>
  <c r="C28" i="9"/>
  <c r="C25" i="9"/>
  <c r="C22" i="9"/>
  <c r="C19" i="9"/>
  <c r="C24" i="9"/>
  <c r="C33" i="9"/>
  <c r="B126" i="11"/>
  <c r="B139" i="11"/>
  <c r="H3" i="15"/>
  <c r="P10" i="15"/>
  <c r="P11" i="15"/>
  <c r="H13" i="7"/>
  <c r="D17" i="9"/>
  <c r="J10" i="10"/>
  <c r="I20" i="10"/>
  <c r="I23" i="10"/>
  <c r="I26" i="10"/>
  <c r="I29" i="10"/>
  <c r="I32" i="10"/>
  <c r="I35" i="10"/>
  <c r="I38" i="10"/>
  <c r="I41" i="10"/>
  <c r="I44" i="10"/>
  <c r="I47" i="10"/>
  <c r="I50" i="10"/>
  <c r="I53" i="10"/>
  <c r="I56" i="10"/>
  <c r="I59" i="10"/>
  <c r="I62" i="10"/>
  <c r="I65" i="10"/>
  <c r="I68" i="10"/>
  <c r="I71" i="10"/>
  <c r="I74" i="10"/>
  <c r="I77" i="10"/>
  <c r="I80" i="10"/>
  <c r="B16" i="7"/>
  <c r="B19" i="7"/>
  <c r="B22" i="7"/>
  <c r="I12" i="10"/>
  <c r="I16" i="10"/>
  <c r="C13" i="7"/>
  <c r="C14" i="7" s="1"/>
  <c r="C15" i="7" s="1"/>
  <c r="C16" i="7" s="1"/>
  <c r="C17" i="7" s="1"/>
  <c r="C18" i="7" s="1"/>
  <c r="C19" i="7" s="1"/>
  <c r="C20" i="7" s="1"/>
  <c r="C21" i="7" s="1"/>
  <c r="C22" i="7" s="1"/>
  <c r="C31" i="15" s="1"/>
  <c r="D31" i="15" s="1"/>
  <c r="F31" i="15" s="1"/>
  <c r="F10" i="9"/>
  <c r="W33" i="15" s="1"/>
  <c r="X33" i="15" s="1"/>
  <c r="Z33" i="15" s="1"/>
  <c r="I15" i="10"/>
  <c r="I19" i="10"/>
  <c r="I22" i="10"/>
  <c r="I25" i="10"/>
  <c r="I28" i="10"/>
  <c r="I31" i="10"/>
  <c r="I34" i="10"/>
  <c r="I37" i="10"/>
  <c r="I40" i="10"/>
  <c r="I43" i="10"/>
  <c r="I46" i="10"/>
  <c r="I49" i="10"/>
  <c r="I52" i="10"/>
  <c r="I55" i="10"/>
  <c r="I58" i="10"/>
  <c r="I61" i="10"/>
  <c r="I64" i="10"/>
  <c r="I67" i="10"/>
  <c r="I70" i="10"/>
  <c r="I73" i="10"/>
  <c r="I76" i="10"/>
  <c r="I79" i="10"/>
  <c r="C44" i="4"/>
  <c r="C17" i="15" s="1"/>
  <c r="D17" i="15" s="1"/>
  <c r="F17" i="15" s="1"/>
  <c r="P3" i="15" s="1"/>
  <c r="I21" i="10"/>
  <c r="I24" i="10"/>
  <c r="I27" i="10"/>
  <c r="I30" i="10"/>
  <c r="I33" i="10"/>
  <c r="I36" i="10"/>
  <c r="I39" i="10"/>
  <c r="I42" i="10"/>
  <c r="I45" i="10"/>
  <c r="I48" i="10"/>
  <c r="I51" i="10"/>
  <c r="I54" i="10"/>
  <c r="I57" i="10"/>
  <c r="I60" i="10"/>
  <c r="I63" i="10"/>
  <c r="I66" i="10"/>
  <c r="I69" i="10"/>
  <c r="I72" i="10"/>
  <c r="I75" i="10"/>
  <c r="I78" i="10"/>
  <c r="B14" i="7"/>
  <c r="B17" i="7"/>
  <c r="L431" i="12"/>
  <c r="L426" i="12"/>
  <c r="L418" i="12"/>
  <c r="L413" i="12"/>
  <c r="L409" i="12"/>
  <c r="L406" i="12"/>
  <c r="L403" i="12"/>
  <c r="L400" i="12"/>
  <c r="L397" i="12"/>
  <c r="L428" i="12"/>
  <c r="L423" i="12"/>
  <c r="L415" i="12"/>
  <c r="L432" i="12"/>
  <c r="L420" i="12"/>
  <c r="L419" i="12"/>
  <c r="L410" i="12"/>
  <c r="L405" i="12"/>
  <c r="L395" i="12"/>
  <c r="L392" i="12"/>
  <c r="L389" i="12"/>
  <c r="L386" i="12"/>
  <c r="L383" i="12"/>
  <c r="L422" i="12"/>
  <c r="L421" i="12"/>
  <c r="L407" i="12"/>
  <c r="L402" i="12"/>
  <c r="L424" i="12"/>
  <c r="L388" i="12"/>
  <c r="L387" i="12"/>
  <c r="L381" i="12"/>
  <c r="L376" i="12"/>
  <c r="L371" i="12"/>
  <c r="L367" i="12"/>
  <c r="L364" i="12"/>
  <c r="L361" i="12"/>
  <c r="L429" i="12"/>
  <c r="L427" i="12"/>
  <c r="L416" i="12"/>
  <c r="L417" i="12"/>
  <c r="L412" i="12"/>
  <c r="L411" i="12"/>
  <c r="L401" i="12"/>
  <c r="L380" i="12"/>
  <c r="L372" i="12"/>
  <c r="L404" i="12"/>
  <c r="L391" i="12"/>
  <c r="L390" i="12"/>
  <c r="L382" i="12"/>
  <c r="L377" i="12"/>
  <c r="L369" i="12"/>
  <c r="L366" i="12"/>
  <c r="L363" i="12"/>
  <c r="L360" i="12"/>
  <c r="L408" i="12"/>
  <c r="L378" i="12"/>
  <c r="L357" i="12"/>
  <c r="L354" i="12"/>
  <c r="L351" i="12"/>
  <c r="L348" i="12"/>
  <c r="L345" i="12"/>
  <c r="L342" i="12"/>
  <c r="L339" i="12"/>
  <c r="L336" i="12"/>
  <c r="L333" i="12"/>
  <c r="L330" i="12"/>
  <c r="L327" i="12"/>
  <c r="L324" i="12"/>
  <c r="L321" i="12"/>
  <c r="L318" i="12"/>
  <c r="L315" i="12"/>
  <c r="L312" i="12"/>
  <c r="L309" i="12"/>
  <c r="L306" i="12"/>
  <c r="L303" i="12"/>
  <c r="L300" i="12"/>
  <c r="L297" i="12"/>
  <c r="L294" i="12"/>
  <c r="L291" i="12"/>
  <c r="L288" i="12"/>
  <c r="L285" i="12"/>
  <c r="L282" i="12"/>
  <c r="L414" i="12"/>
  <c r="L399" i="12"/>
  <c r="L393" i="12"/>
  <c r="L384" i="12"/>
  <c r="L375" i="12"/>
  <c r="L368" i="12"/>
  <c r="L362" i="12"/>
  <c r="L396" i="12"/>
  <c r="L373" i="12"/>
  <c r="L398" i="12"/>
  <c r="L394" i="12"/>
  <c r="L385" i="12"/>
  <c r="L370" i="12"/>
  <c r="L365" i="12"/>
  <c r="L359" i="12"/>
  <c r="L356" i="12"/>
  <c r="L353" i="12"/>
  <c r="L350" i="12"/>
  <c r="L347" i="12"/>
  <c r="L344" i="12"/>
  <c r="L341" i="12"/>
  <c r="L338" i="12"/>
  <c r="L335" i="12"/>
  <c r="L332" i="12"/>
  <c r="L329" i="12"/>
  <c r="L326" i="12"/>
  <c r="L323" i="12"/>
  <c r="L320" i="12"/>
  <c r="L317" i="12"/>
  <c r="L314" i="12"/>
  <c r="L311" i="12"/>
  <c r="L352" i="12"/>
  <c r="L307" i="12"/>
  <c r="L298" i="12"/>
  <c r="L289" i="12"/>
  <c r="L302" i="12"/>
  <c r="L293" i="12"/>
  <c r="L284" i="12"/>
  <c r="L280" i="12"/>
  <c r="L277" i="12"/>
  <c r="L274" i="12"/>
  <c r="L271" i="12"/>
  <c r="L268" i="12"/>
  <c r="L265" i="12"/>
  <c r="L262" i="12"/>
  <c r="L259" i="12"/>
  <c r="L256" i="12"/>
  <c r="L253" i="12"/>
  <c r="L250" i="12"/>
  <c r="L247" i="12"/>
  <c r="L244" i="12"/>
  <c r="L241" i="12"/>
  <c r="L238" i="12"/>
  <c r="L235" i="12"/>
  <c r="L232" i="12"/>
  <c r="L229" i="12"/>
  <c r="L379" i="12"/>
  <c r="L358" i="12"/>
  <c r="L349" i="12"/>
  <c r="L340" i="12"/>
  <c r="L334" i="12"/>
  <c r="L328" i="12"/>
  <c r="L322" i="12"/>
  <c r="L316" i="12"/>
  <c r="L310" i="12"/>
  <c r="L301" i="12"/>
  <c r="L292" i="12"/>
  <c r="L283" i="12"/>
  <c r="L343" i="12"/>
  <c r="L331" i="12"/>
  <c r="L319" i="12"/>
  <c r="L346" i="12"/>
  <c r="L304" i="12"/>
  <c r="L295" i="12"/>
  <c r="L286" i="12"/>
  <c r="L281" i="12"/>
  <c r="L273" i="12"/>
  <c r="L272" i="12"/>
  <c r="L264" i="12"/>
  <c r="L263" i="12"/>
  <c r="L430" i="12"/>
  <c r="L374" i="12"/>
  <c r="L425" i="12"/>
  <c r="L337" i="12"/>
  <c r="L325" i="12"/>
  <c r="L313" i="12"/>
  <c r="L305" i="12"/>
  <c r="L296" i="12"/>
  <c r="L287" i="12"/>
  <c r="L279" i="12"/>
  <c r="L278" i="12"/>
  <c r="L270" i="12"/>
  <c r="L269" i="12"/>
  <c r="L261" i="12"/>
  <c r="L260" i="12"/>
  <c r="L252" i="12"/>
  <c r="L251" i="12"/>
  <c r="L243" i="12"/>
  <c r="L242" i="12"/>
  <c r="L234" i="12"/>
  <c r="L233" i="12"/>
  <c r="L227" i="12"/>
  <c r="L224" i="12"/>
  <c r="L221" i="12"/>
  <c r="L218" i="12"/>
  <c r="L215" i="12"/>
  <c r="L212" i="12"/>
  <c r="L209" i="12"/>
  <c r="L206" i="12"/>
  <c r="L203" i="12"/>
  <c r="L200" i="12"/>
  <c r="L197" i="12"/>
  <c r="L194" i="12"/>
  <c r="L191" i="12"/>
  <c r="L188" i="12"/>
  <c r="L355" i="12"/>
  <c r="L276" i="12"/>
  <c r="L254" i="12"/>
  <c r="L246" i="12"/>
  <c r="L220" i="12"/>
  <c r="L211" i="12"/>
  <c r="L202" i="12"/>
  <c r="L193" i="12"/>
  <c r="L184" i="12"/>
  <c r="L181" i="12"/>
  <c r="L178" i="12"/>
  <c r="L175" i="12"/>
  <c r="L172" i="12"/>
  <c r="L169" i="12"/>
  <c r="L166" i="12"/>
  <c r="L163" i="12"/>
  <c r="L160" i="12"/>
  <c r="L157" i="12"/>
  <c r="L154" i="12"/>
  <c r="L151" i="12"/>
  <c r="L148" i="12"/>
  <c r="L145" i="12"/>
  <c r="L142" i="12"/>
  <c r="L139" i="12"/>
  <c r="L136" i="12"/>
  <c r="L133" i="12"/>
  <c r="L130" i="12"/>
  <c r="L290" i="12"/>
  <c r="L275" i="12"/>
  <c r="L258" i="12"/>
  <c r="L239" i="12"/>
  <c r="L231" i="12"/>
  <c r="L219" i="12"/>
  <c r="L210" i="12"/>
  <c r="L201" i="12"/>
  <c r="L192" i="12"/>
  <c r="L299" i="12"/>
  <c r="L255" i="12"/>
  <c r="L236" i="12"/>
  <c r="L228" i="12"/>
  <c r="L226" i="12"/>
  <c r="L217" i="12"/>
  <c r="L208" i="12"/>
  <c r="L199" i="12"/>
  <c r="L190" i="12"/>
  <c r="L185" i="12"/>
  <c r="L182" i="12"/>
  <c r="L179" i="12"/>
  <c r="L176" i="12"/>
  <c r="L308" i="12"/>
  <c r="L248" i="12"/>
  <c r="L240" i="12"/>
  <c r="L225" i="12"/>
  <c r="L216" i="12"/>
  <c r="L207" i="12"/>
  <c r="L198" i="12"/>
  <c r="L189" i="12"/>
  <c r="L267" i="12"/>
  <c r="L245" i="12"/>
  <c r="L237" i="12"/>
  <c r="L223" i="12"/>
  <c r="L214" i="12"/>
  <c r="L205" i="12"/>
  <c r="L196" i="12"/>
  <c r="L187" i="12"/>
  <c r="L183" i="12"/>
  <c r="L180" i="12"/>
  <c r="L177" i="12"/>
  <c r="L174" i="12"/>
  <c r="L171" i="12"/>
  <c r="L168" i="12"/>
  <c r="L165" i="12"/>
  <c r="L162" i="12"/>
  <c r="L159" i="12"/>
  <c r="L156" i="12"/>
  <c r="L153" i="12"/>
  <c r="L150" i="12"/>
  <c r="L147" i="12"/>
  <c r="L144" i="12"/>
  <c r="L141" i="12"/>
  <c r="L138" i="12"/>
  <c r="L135" i="12"/>
  <c r="L132" i="12"/>
  <c r="L129" i="12"/>
  <c r="L230" i="12"/>
  <c r="L213" i="12"/>
  <c r="L186" i="12"/>
  <c r="L173" i="12"/>
  <c r="L167" i="12"/>
  <c r="L161" i="12"/>
  <c r="L152" i="12"/>
  <c r="L143" i="12"/>
  <c r="L134" i="12"/>
  <c r="L126" i="12"/>
  <c r="L123" i="12"/>
  <c r="L120" i="12"/>
  <c r="L117" i="12"/>
  <c r="L114" i="12"/>
  <c r="L111"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222" i="12"/>
  <c r="L195" i="12"/>
  <c r="L158" i="12"/>
  <c r="L149" i="12"/>
  <c r="L140" i="12"/>
  <c r="L131" i="12"/>
  <c r="L127" i="12"/>
  <c r="L124" i="12"/>
  <c r="L121" i="12"/>
  <c r="L118" i="12"/>
  <c r="L115" i="12"/>
  <c r="L112" i="12"/>
  <c r="L109" i="12"/>
  <c r="L106" i="12"/>
  <c r="L103" i="12"/>
  <c r="L100" i="12"/>
  <c r="L97" i="12"/>
  <c r="L170" i="12"/>
  <c r="L257" i="12"/>
  <c r="L155" i="12"/>
  <c r="L128" i="12"/>
  <c r="L119" i="12"/>
  <c r="L110" i="12"/>
  <c r="L105" i="12"/>
  <c r="L104"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204" i="12"/>
  <c r="L164" i="12"/>
  <c r="L137" i="12"/>
  <c r="L125" i="12"/>
  <c r="L116" i="12"/>
  <c r="L108" i="12"/>
  <c r="L107" i="12"/>
  <c r="L99" i="12"/>
  <c r="L98" i="12"/>
  <c r="L122" i="12"/>
  <c r="L266" i="12"/>
  <c r="L249" i="12"/>
  <c r="L146" i="12"/>
  <c r="L113" i="12"/>
  <c r="L101" i="12"/>
  <c r="B16" i="12"/>
  <c r="B13" i="12"/>
  <c r="C37" i="12"/>
  <c r="K37" i="12"/>
  <c r="B29" i="13"/>
  <c r="B30" i="13" s="1"/>
  <c r="B31" i="13" s="1"/>
  <c r="C77" i="15"/>
  <c r="D77" i="15" s="1"/>
  <c r="F77" i="15" s="1"/>
  <c r="Z84" i="15"/>
  <c r="AB3" i="15" s="1"/>
  <c r="J11" i="10" l="1"/>
  <c r="H11" i="10"/>
  <c r="E17" i="9"/>
  <c r="W10" i="15"/>
  <c r="X10" i="15" s="1"/>
  <c r="Z10" i="15" s="1"/>
  <c r="Z12" i="15" s="1"/>
  <c r="S3" i="15" s="1"/>
  <c r="W11" i="15"/>
  <c r="X11" i="15" s="1"/>
  <c r="Z11" i="15" s="1"/>
  <c r="B21" i="12"/>
  <c r="B17" i="12"/>
  <c r="P12" i="15"/>
  <c r="M27" i="11"/>
  <c r="B351" i="11"/>
  <c r="D27" i="11"/>
  <c r="H14" i="7"/>
  <c r="L433" i="12"/>
  <c r="M37" i="12"/>
  <c r="J37" i="12"/>
  <c r="C80" i="15"/>
  <c r="D80" i="15" s="1"/>
  <c r="F80" i="15" s="1"/>
  <c r="C81" i="15"/>
  <c r="M32" i="15"/>
  <c r="N32" i="15" s="1"/>
  <c r="P32" i="15" s="1"/>
  <c r="F19" i="15"/>
  <c r="C2" i="15" s="1"/>
  <c r="G15" i="7" l="1"/>
  <c r="H15" i="7" s="1"/>
  <c r="M34" i="15"/>
  <c r="N34" i="15" s="1"/>
  <c r="P34" i="15" s="1"/>
  <c r="H10" i="8"/>
  <c r="N27" i="11"/>
  <c r="P16" i="15"/>
  <c r="F2" i="15"/>
  <c r="Z3" i="15"/>
  <c r="E27" i="11"/>
  <c r="J12" i="10"/>
  <c r="H12" i="10"/>
  <c r="G12" i="10" s="1"/>
  <c r="N37" i="12"/>
  <c r="P14" i="15"/>
  <c r="P15" i="15"/>
  <c r="K38" i="12"/>
  <c r="M38" i="12"/>
  <c r="F17" i="9"/>
  <c r="B432" i="12"/>
  <c r="B429" i="12"/>
  <c r="B426" i="12"/>
  <c r="B423" i="12"/>
  <c r="B420" i="12"/>
  <c r="B417" i="12"/>
  <c r="B414" i="12"/>
  <c r="B431" i="12"/>
  <c r="B418" i="12"/>
  <c r="B413" i="12"/>
  <c r="B428" i="12"/>
  <c r="B415" i="12"/>
  <c r="B425" i="12"/>
  <c r="B424" i="12"/>
  <c r="B410" i="12"/>
  <c r="B405" i="12"/>
  <c r="B397" i="12"/>
  <c r="B427" i="12"/>
  <c r="B407" i="12"/>
  <c r="B402" i="12"/>
  <c r="B395" i="12"/>
  <c r="B392" i="12"/>
  <c r="B389" i="12"/>
  <c r="B386" i="12"/>
  <c r="B383" i="12"/>
  <c r="B380" i="12"/>
  <c r="B377" i="12"/>
  <c r="B374" i="12"/>
  <c r="B371" i="12"/>
  <c r="B412" i="12"/>
  <c r="B411" i="12"/>
  <c r="B399" i="12"/>
  <c r="B398" i="12"/>
  <c r="B381" i="12"/>
  <c r="B376" i="12"/>
  <c r="B421" i="12"/>
  <c r="B416" i="12"/>
  <c r="B406" i="12"/>
  <c r="B391" i="12"/>
  <c r="B390" i="12"/>
  <c r="B372" i="12"/>
  <c r="B368" i="12"/>
  <c r="B365" i="12"/>
  <c r="B430" i="12"/>
  <c r="B419" i="12"/>
  <c r="B409" i="12"/>
  <c r="B382" i="12"/>
  <c r="B400" i="12"/>
  <c r="B394" i="12"/>
  <c r="B385" i="12"/>
  <c r="B373" i="12"/>
  <c r="B364" i="12"/>
  <c r="B362" i="12"/>
  <c r="B361" i="12"/>
  <c r="B404" i="12"/>
  <c r="B370" i="12"/>
  <c r="B360" i="12"/>
  <c r="B357" i="12"/>
  <c r="B354" i="12"/>
  <c r="B351" i="12"/>
  <c r="B348" i="12"/>
  <c r="B345" i="12"/>
  <c r="B401" i="12"/>
  <c r="B393" i="12"/>
  <c r="B384" i="12"/>
  <c r="B378" i="12"/>
  <c r="B367" i="12"/>
  <c r="B358" i="12"/>
  <c r="B355" i="12"/>
  <c r="B352" i="12"/>
  <c r="B349" i="12"/>
  <c r="B346" i="12"/>
  <c r="B343" i="12"/>
  <c r="B340" i="12"/>
  <c r="B337" i="12"/>
  <c r="B334" i="12"/>
  <c r="B331" i="12"/>
  <c r="B328" i="12"/>
  <c r="B325" i="12"/>
  <c r="B322" i="12"/>
  <c r="B319" i="12"/>
  <c r="B316" i="12"/>
  <c r="B313" i="12"/>
  <c r="B310" i="12"/>
  <c r="B307" i="12"/>
  <c r="B304" i="12"/>
  <c r="B301" i="12"/>
  <c r="B298" i="12"/>
  <c r="B295" i="12"/>
  <c r="B292" i="12"/>
  <c r="B289" i="12"/>
  <c r="B286" i="12"/>
  <c r="B283" i="12"/>
  <c r="B422" i="12"/>
  <c r="B403" i="12"/>
  <c r="B375" i="12"/>
  <c r="B388" i="12"/>
  <c r="B366" i="12"/>
  <c r="B339" i="12"/>
  <c r="B333" i="12"/>
  <c r="B327" i="12"/>
  <c r="B321" i="12"/>
  <c r="B315" i="12"/>
  <c r="B305" i="12"/>
  <c r="B296" i="12"/>
  <c r="B287" i="12"/>
  <c r="B396" i="12"/>
  <c r="B359" i="12"/>
  <c r="B350" i="12"/>
  <c r="B342" i="12"/>
  <c r="B336" i="12"/>
  <c r="B330" i="12"/>
  <c r="B324" i="12"/>
  <c r="B318" i="12"/>
  <c r="B312" i="12"/>
  <c r="B309" i="12"/>
  <c r="B300" i="12"/>
  <c r="B291" i="12"/>
  <c r="B282" i="12"/>
  <c r="B408" i="12"/>
  <c r="B308" i="12"/>
  <c r="B299" i="12"/>
  <c r="B290" i="12"/>
  <c r="B280" i="12"/>
  <c r="B277" i="12"/>
  <c r="B274" i="12"/>
  <c r="B271" i="12"/>
  <c r="B268" i="12"/>
  <c r="B265" i="12"/>
  <c r="B262" i="12"/>
  <c r="B259" i="12"/>
  <c r="B256" i="12"/>
  <c r="B253" i="12"/>
  <c r="B250" i="12"/>
  <c r="B247" i="12"/>
  <c r="B244" i="12"/>
  <c r="B241" i="12"/>
  <c r="B238" i="12"/>
  <c r="B235" i="12"/>
  <c r="B232" i="12"/>
  <c r="B229" i="12"/>
  <c r="B387" i="12"/>
  <c r="B369" i="12"/>
  <c r="B347" i="12"/>
  <c r="B303" i="12"/>
  <c r="B294" i="12"/>
  <c r="B285" i="12"/>
  <c r="B281" i="12"/>
  <c r="B273" i="12"/>
  <c r="B272" i="12"/>
  <c r="B264" i="12"/>
  <c r="B263" i="12"/>
  <c r="B255" i="12"/>
  <c r="B254" i="12"/>
  <c r="B246" i="12"/>
  <c r="B245" i="12"/>
  <c r="B237" i="12"/>
  <c r="B236" i="12"/>
  <c r="B228" i="12"/>
  <c r="B225" i="12"/>
  <c r="B222" i="12"/>
  <c r="B219" i="12"/>
  <c r="B216" i="12"/>
  <c r="B213" i="12"/>
  <c r="B210" i="12"/>
  <c r="B207" i="12"/>
  <c r="B204" i="12"/>
  <c r="B201" i="12"/>
  <c r="B198" i="12"/>
  <c r="B195" i="12"/>
  <c r="B192" i="12"/>
  <c r="B189" i="12"/>
  <c r="B341" i="12"/>
  <c r="B329" i="12"/>
  <c r="B317" i="12"/>
  <c r="B353" i="12"/>
  <c r="B338" i="12"/>
  <c r="B326" i="12"/>
  <c r="B314" i="12"/>
  <c r="B306" i="12"/>
  <c r="B297" i="12"/>
  <c r="B288" i="12"/>
  <c r="B279" i="12"/>
  <c r="B278" i="12"/>
  <c r="B270" i="12"/>
  <c r="B269" i="12"/>
  <c r="B356" i="12"/>
  <c r="B335" i="12"/>
  <c r="B323" i="12"/>
  <c r="B311" i="12"/>
  <c r="B302" i="12"/>
  <c r="B293" i="12"/>
  <c r="B284" i="12"/>
  <c r="B276" i="12"/>
  <c r="B275" i="12"/>
  <c r="B267" i="12"/>
  <c r="B266" i="12"/>
  <c r="B344" i="12"/>
  <c r="B248" i="12"/>
  <c r="B240" i="12"/>
  <c r="B227" i="12"/>
  <c r="B218" i="12"/>
  <c r="B209" i="12"/>
  <c r="B200" i="12"/>
  <c r="B191" i="12"/>
  <c r="B363" i="12"/>
  <c r="B260" i="12"/>
  <c r="B252" i="12"/>
  <c r="B233" i="12"/>
  <c r="B226" i="12"/>
  <c r="B217" i="12"/>
  <c r="B208" i="12"/>
  <c r="B199" i="12"/>
  <c r="B190" i="12"/>
  <c r="B257" i="12"/>
  <c r="B249" i="12"/>
  <c r="B230" i="12"/>
  <c r="B224" i="12"/>
  <c r="B215" i="12"/>
  <c r="B206" i="12"/>
  <c r="B197" i="12"/>
  <c r="B188" i="12"/>
  <c r="B261" i="12"/>
  <c r="B242" i="12"/>
  <c r="B234" i="12"/>
  <c r="B223" i="12"/>
  <c r="B214" i="12"/>
  <c r="B205" i="12"/>
  <c r="B196" i="12"/>
  <c r="B187" i="12"/>
  <c r="B185" i="12"/>
  <c r="B182" i="12"/>
  <c r="B179" i="12"/>
  <c r="B176" i="12"/>
  <c r="B173" i="12"/>
  <c r="B170" i="12"/>
  <c r="B167" i="12"/>
  <c r="B320" i="12"/>
  <c r="B258" i="12"/>
  <c r="B239" i="12"/>
  <c r="B231" i="12"/>
  <c r="B221" i="12"/>
  <c r="B212" i="12"/>
  <c r="B203" i="12"/>
  <c r="B194" i="12"/>
  <c r="B184" i="12"/>
  <c r="B175" i="12"/>
  <c r="B159" i="12"/>
  <c r="B150" i="12"/>
  <c r="B141" i="12"/>
  <c r="B132" i="12"/>
  <c r="B202" i="12"/>
  <c r="B186" i="12"/>
  <c r="B180" i="12"/>
  <c r="B171" i="12"/>
  <c r="B158" i="12"/>
  <c r="B157" i="12"/>
  <c r="B149" i="12"/>
  <c r="B148" i="12"/>
  <c r="B140" i="12"/>
  <c r="B139" i="12"/>
  <c r="B131" i="12"/>
  <c r="B130" i="12"/>
  <c r="B126" i="12"/>
  <c r="B123" i="12"/>
  <c r="B120" i="12"/>
  <c r="B117" i="12"/>
  <c r="B114" i="12"/>
  <c r="B111" i="12"/>
  <c r="B108" i="12"/>
  <c r="B105" i="12"/>
  <c r="B102" i="12"/>
  <c r="B99" i="12"/>
  <c r="B379" i="12"/>
  <c r="B178" i="12"/>
  <c r="B172" i="12"/>
  <c r="B166" i="12"/>
  <c r="B165" i="12"/>
  <c r="B156" i="12"/>
  <c r="B147" i="12"/>
  <c r="B138" i="12"/>
  <c r="B129" i="12"/>
  <c r="B251" i="12"/>
  <c r="B243" i="12"/>
  <c r="B211" i="12"/>
  <c r="B183" i="12"/>
  <c r="B164" i="12"/>
  <c r="B163" i="12"/>
  <c r="B155" i="12"/>
  <c r="B154" i="12"/>
  <c r="B146" i="12"/>
  <c r="B145" i="12"/>
  <c r="B137" i="12"/>
  <c r="B136" i="12"/>
  <c r="B127" i="12"/>
  <c r="B124" i="12"/>
  <c r="B121" i="12"/>
  <c r="B118" i="12"/>
  <c r="B115" i="12"/>
  <c r="B112" i="12"/>
  <c r="B174" i="12"/>
  <c r="B153" i="12"/>
  <c r="B161" i="12"/>
  <c r="B142" i="12"/>
  <c r="B134" i="12"/>
  <c r="B125" i="12"/>
  <c r="B116" i="12"/>
  <c r="B109" i="12"/>
  <c r="B101" i="12"/>
  <c r="B100" i="12"/>
  <c r="B95" i="12"/>
  <c r="B92" i="12"/>
  <c r="B89" i="12"/>
  <c r="B86" i="12"/>
  <c r="B83" i="12"/>
  <c r="B80" i="12"/>
  <c r="B77" i="12"/>
  <c r="B74" i="12"/>
  <c r="B193" i="12"/>
  <c r="B177" i="12"/>
  <c r="B169" i="12"/>
  <c r="B160" i="12"/>
  <c r="B152" i="12"/>
  <c r="B133" i="12"/>
  <c r="B128" i="12"/>
  <c r="B119" i="12"/>
  <c r="B110" i="12"/>
  <c r="B107" i="12"/>
  <c r="B106" i="12"/>
  <c r="B98" i="12"/>
  <c r="B97" i="12"/>
  <c r="B94" i="12"/>
  <c r="B91" i="12"/>
  <c r="B88" i="12"/>
  <c r="B85" i="12"/>
  <c r="B82" i="12"/>
  <c r="B79" i="12"/>
  <c r="B76" i="12"/>
  <c r="B73" i="12"/>
  <c r="B181" i="12"/>
  <c r="B168" i="12"/>
  <c r="B162" i="12"/>
  <c r="B135" i="12"/>
  <c r="B144" i="12"/>
  <c r="B104" i="12"/>
  <c r="B96" i="12"/>
  <c r="B87" i="12"/>
  <c r="B78" i="12"/>
  <c r="B113" i="12"/>
  <c r="B103" i="12"/>
  <c r="B93" i="12"/>
  <c r="B84" i="12"/>
  <c r="B75" i="12"/>
  <c r="B143" i="12"/>
  <c r="B122" i="12"/>
  <c r="B90" i="12"/>
  <c r="B81" i="12"/>
  <c r="B332" i="12"/>
  <c r="B72" i="12"/>
  <c r="B70" i="12"/>
  <c r="B68" i="12"/>
  <c r="B66" i="12"/>
  <c r="B64" i="12"/>
  <c r="B62" i="12"/>
  <c r="B60" i="12"/>
  <c r="B58" i="12"/>
  <c r="B56" i="12"/>
  <c r="B54" i="12"/>
  <c r="B52" i="12"/>
  <c r="B50" i="12"/>
  <c r="B48" i="12"/>
  <c r="B46" i="12"/>
  <c r="B44" i="12"/>
  <c r="B42" i="12"/>
  <c r="B40" i="12"/>
  <c r="B38" i="12"/>
  <c r="B151" i="12"/>
  <c r="B71" i="12"/>
  <c r="B69" i="12"/>
  <c r="B67" i="12"/>
  <c r="B65" i="12"/>
  <c r="B63" i="12"/>
  <c r="B61" i="12"/>
  <c r="B59" i="12"/>
  <c r="B57" i="12"/>
  <c r="B55" i="12"/>
  <c r="B53" i="12"/>
  <c r="B51" i="12"/>
  <c r="B49" i="12"/>
  <c r="B47" i="12"/>
  <c r="B45" i="12"/>
  <c r="B43" i="12"/>
  <c r="B41" i="12"/>
  <c r="B39" i="12"/>
  <c r="B37" i="12"/>
  <c r="B220" i="12"/>
  <c r="G11" i="10"/>
  <c r="G16" i="7" l="1"/>
  <c r="H16" i="7" s="1"/>
  <c r="F59" i="12"/>
  <c r="G59" i="12" s="1"/>
  <c r="F58" i="12"/>
  <c r="G58" i="12" s="1"/>
  <c r="F78" i="12"/>
  <c r="G78" i="12" s="1"/>
  <c r="G133" i="12"/>
  <c r="G125" i="12"/>
  <c r="G163" i="12"/>
  <c r="G108" i="12"/>
  <c r="G149" i="12"/>
  <c r="G239" i="12"/>
  <c r="G249" i="12"/>
  <c r="G344" i="12"/>
  <c r="G306" i="12"/>
  <c r="G245" i="12"/>
  <c r="G238" i="12"/>
  <c r="G408" i="12"/>
  <c r="G321" i="12"/>
  <c r="G310" i="12"/>
  <c r="G351" i="12"/>
  <c r="G421" i="12"/>
  <c r="G427" i="12"/>
  <c r="G61" i="12"/>
  <c r="F61" i="12"/>
  <c r="G72" i="12"/>
  <c r="F72" i="12"/>
  <c r="G87" i="12"/>
  <c r="F87" i="12"/>
  <c r="G85" i="12"/>
  <c r="F85" i="12"/>
  <c r="G152" i="12"/>
  <c r="F95" i="12"/>
  <c r="G95" i="12" s="1"/>
  <c r="G115" i="12"/>
  <c r="G164" i="12"/>
  <c r="G178" i="12"/>
  <c r="G130" i="12"/>
  <c r="G157" i="12"/>
  <c r="G132" i="12"/>
  <c r="G194" i="12"/>
  <c r="G258" i="12"/>
  <c r="G179" i="12"/>
  <c r="G214" i="12"/>
  <c r="G257" i="12"/>
  <c r="G233" i="12"/>
  <c r="G209" i="12"/>
  <c r="G266" i="12"/>
  <c r="G302" i="12"/>
  <c r="G270" i="12"/>
  <c r="G314" i="12"/>
  <c r="G341" i="12"/>
  <c r="G204" i="12"/>
  <c r="G222" i="12"/>
  <c r="G246" i="12"/>
  <c r="G273" i="12"/>
  <c r="G369" i="12"/>
  <c r="G241" i="12"/>
  <c r="G259" i="12"/>
  <c r="G277" i="12"/>
  <c r="G282" i="12"/>
  <c r="G324" i="12"/>
  <c r="G396" i="12"/>
  <c r="G327" i="12"/>
  <c r="G403" i="12"/>
  <c r="G295" i="12"/>
  <c r="G313" i="12"/>
  <c r="G331" i="12"/>
  <c r="G349" i="12"/>
  <c r="G384" i="12"/>
  <c r="G354" i="12"/>
  <c r="G362" i="12"/>
  <c r="G382" i="12"/>
  <c r="G372" i="12"/>
  <c r="G376" i="12"/>
  <c r="G371" i="12"/>
  <c r="G389" i="12"/>
  <c r="G397" i="12"/>
  <c r="G428" i="12"/>
  <c r="G420" i="12"/>
  <c r="D18" i="9"/>
  <c r="O37" i="12"/>
  <c r="G220" i="12"/>
  <c r="G71" i="12"/>
  <c r="F71" i="12"/>
  <c r="G70" i="12"/>
  <c r="F70" i="12"/>
  <c r="G162" i="12"/>
  <c r="G98" i="12"/>
  <c r="F92" i="12"/>
  <c r="G92" i="12" s="1"/>
  <c r="G136" i="12"/>
  <c r="G172" i="12"/>
  <c r="G202" i="12"/>
  <c r="G176" i="12"/>
  <c r="G188" i="12"/>
  <c r="G200" i="12"/>
  <c r="G269" i="12"/>
  <c r="G201" i="12"/>
  <c r="G272" i="12"/>
  <c r="G256" i="12"/>
  <c r="G318" i="12"/>
  <c r="G375" i="12"/>
  <c r="G328" i="12"/>
  <c r="G378" i="12"/>
  <c r="G400" i="12"/>
  <c r="G386" i="12"/>
  <c r="G49" i="12"/>
  <c r="F49" i="12"/>
  <c r="G48" i="12"/>
  <c r="F48" i="12"/>
  <c r="G75" i="12"/>
  <c r="F75" i="12"/>
  <c r="G168" i="12"/>
  <c r="G106" i="12"/>
  <c r="F77" i="12"/>
  <c r="G77" i="12" s="1"/>
  <c r="G134" i="12"/>
  <c r="G137" i="12"/>
  <c r="G138" i="12"/>
  <c r="G111" i="12"/>
  <c r="G197" i="12"/>
  <c r="F39" i="12"/>
  <c r="G39" i="12" s="1"/>
  <c r="F51" i="12"/>
  <c r="G51" i="12" s="1"/>
  <c r="F63" i="12"/>
  <c r="G63" i="12" s="1"/>
  <c r="F38" i="12"/>
  <c r="G38" i="12" s="1"/>
  <c r="F50" i="12"/>
  <c r="G50" i="12" s="1"/>
  <c r="F62" i="12"/>
  <c r="G62" i="12" s="1"/>
  <c r="G332" i="12"/>
  <c r="F84" i="12"/>
  <c r="G84" i="12" s="1"/>
  <c r="F96" i="12"/>
  <c r="G96" i="12" s="1"/>
  <c r="G181" i="12"/>
  <c r="G88" i="12"/>
  <c r="F88" i="12"/>
  <c r="G107" i="12"/>
  <c r="G160" i="12"/>
  <c r="F80" i="12"/>
  <c r="G80" i="12" s="1"/>
  <c r="G100" i="12"/>
  <c r="G142" i="12"/>
  <c r="G118" i="12"/>
  <c r="G145" i="12"/>
  <c r="G183" i="12"/>
  <c r="G147" i="12"/>
  <c r="G379" i="12"/>
  <c r="G114" i="12"/>
  <c r="G131" i="12"/>
  <c r="G158" i="12"/>
  <c r="G141" i="12"/>
  <c r="G203" i="12"/>
  <c r="G320" i="12"/>
  <c r="G182" i="12"/>
  <c r="G223" i="12"/>
  <c r="G206" i="12"/>
  <c r="G190" i="12"/>
  <c r="G252" i="12"/>
  <c r="G218" i="12"/>
  <c r="G267" i="12"/>
  <c r="G311" i="12"/>
  <c r="G278" i="12"/>
  <c r="G326" i="12"/>
  <c r="G189" i="12"/>
  <c r="G207" i="12"/>
  <c r="G225" i="12"/>
  <c r="G254" i="12"/>
  <c r="G281" i="12"/>
  <c r="G387" i="12"/>
  <c r="G244" i="12"/>
  <c r="G262" i="12"/>
  <c r="G280" i="12"/>
  <c r="G291" i="12"/>
  <c r="G330" i="12"/>
  <c r="G287" i="12"/>
  <c r="G333" i="12"/>
  <c r="G422" i="12"/>
  <c r="G298" i="12"/>
  <c r="G316" i="12"/>
  <c r="G334" i="12"/>
  <c r="G352" i="12"/>
  <c r="G393" i="12"/>
  <c r="G357" i="12"/>
  <c r="G364" i="12"/>
  <c r="G409" i="12"/>
  <c r="G390" i="12"/>
  <c r="G381" i="12"/>
  <c r="G374" i="12"/>
  <c r="G392" i="12"/>
  <c r="G405" i="12"/>
  <c r="G413" i="12"/>
  <c r="G423" i="12"/>
  <c r="K39" i="12"/>
  <c r="J39" i="12" s="1"/>
  <c r="M39" i="12"/>
  <c r="M35" i="15"/>
  <c r="N35" i="15" s="1"/>
  <c r="P35" i="15" s="1"/>
  <c r="H21" i="8"/>
  <c r="M36" i="15" s="1"/>
  <c r="N36" i="15" s="1"/>
  <c r="P36" i="15" s="1"/>
  <c r="F52" i="12"/>
  <c r="G52" i="12" s="1"/>
  <c r="G104" i="12"/>
  <c r="G91" i="12"/>
  <c r="F91" i="12"/>
  <c r="G110" i="12"/>
  <c r="G169" i="12"/>
  <c r="F83" i="12"/>
  <c r="G83" i="12" s="1"/>
  <c r="G101" i="12"/>
  <c r="G161" i="12"/>
  <c r="G121" i="12"/>
  <c r="G146" i="12"/>
  <c r="G211" i="12"/>
  <c r="G156" i="12"/>
  <c r="G99" i="12"/>
  <c r="G117" i="12"/>
  <c r="G139" i="12"/>
  <c r="G171" i="12"/>
  <c r="G150" i="12"/>
  <c r="G212" i="12"/>
  <c r="G167" i="12"/>
  <c r="G185" i="12"/>
  <c r="G234" i="12"/>
  <c r="G215" i="12"/>
  <c r="G199" i="12"/>
  <c r="G260" i="12"/>
  <c r="G227" i="12"/>
  <c r="G275" i="12"/>
  <c r="G323" i="12"/>
  <c r="G279" i="12"/>
  <c r="G338" i="12"/>
  <c r="G192" i="12"/>
  <c r="G210" i="12"/>
  <c r="G228" i="12"/>
  <c r="G255" i="12"/>
  <c r="G285" i="12"/>
  <c r="G229" i="12"/>
  <c r="G247" i="12"/>
  <c r="G265" i="12"/>
  <c r="G290" i="12"/>
  <c r="G300" i="12"/>
  <c r="G336" i="12"/>
  <c r="G296" i="12"/>
  <c r="G339" i="12"/>
  <c r="G283" i="12"/>
  <c r="G301" i="12"/>
  <c r="G319" i="12"/>
  <c r="G337" i="12"/>
  <c r="G355" i="12"/>
  <c r="G401" i="12"/>
  <c r="G360" i="12"/>
  <c r="G373" i="12"/>
  <c r="G419" i="12"/>
  <c r="G391" i="12"/>
  <c r="G398" i="12"/>
  <c r="G377" i="12"/>
  <c r="G395" i="12"/>
  <c r="G410" i="12"/>
  <c r="G418" i="12"/>
  <c r="G426" i="12"/>
  <c r="J38" i="12"/>
  <c r="G417" i="12"/>
  <c r="G144" i="12"/>
  <c r="G86" i="12"/>
  <c r="F86" i="12"/>
  <c r="G153" i="12"/>
  <c r="G124" i="12"/>
  <c r="G154" i="12"/>
  <c r="G243" i="12"/>
  <c r="G165" i="12"/>
  <c r="G102" i="12"/>
  <c r="G120" i="12"/>
  <c r="G140" i="12"/>
  <c r="G180" i="12"/>
  <c r="G159" i="12"/>
  <c r="G221" i="12"/>
  <c r="G170" i="12"/>
  <c r="G187" i="12"/>
  <c r="G242" i="12"/>
  <c r="G224" i="12"/>
  <c r="G208" i="12"/>
  <c r="G363" i="12"/>
  <c r="G240" i="12"/>
  <c r="G276" i="12"/>
  <c r="G335" i="12"/>
  <c r="G288" i="12"/>
  <c r="G353" i="12"/>
  <c r="G195" i="12"/>
  <c r="G213" i="12"/>
  <c r="G236" i="12"/>
  <c r="G263" i="12"/>
  <c r="G294" i="12"/>
  <c r="G232" i="12"/>
  <c r="G250" i="12"/>
  <c r="G268" i="12"/>
  <c r="G299" i="12"/>
  <c r="G309" i="12"/>
  <c r="G342" i="12"/>
  <c r="G305" i="12"/>
  <c r="G366" i="12"/>
  <c r="G286" i="12"/>
  <c r="G304" i="12"/>
  <c r="G322" i="12"/>
  <c r="G340" i="12"/>
  <c r="G358" i="12"/>
  <c r="G345" i="12"/>
  <c r="G370" i="12"/>
  <c r="G385" i="12"/>
  <c r="G430" i="12"/>
  <c r="G406" i="12"/>
  <c r="G399" i="12"/>
  <c r="G380" i="12"/>
  <c r="G402" i="12"/>
  <c r="G424" i="12"/>
  <c r="G431" i="12"/>
  <c r="G429" i="12"/>
  <c r="H13" i="10"/>
  <c r="J13" i="10"/>
  <c r="P17" i="15"/>
  <c r="F47" i="12"/>
  <c r="G47" i="12" s="1"/>
  <c r="F46" i="12"/>
  <c r="G46" i="12" s="1"/>
  <c r="G143" i="12"/>
  <c r="G82" i="12"/>
  <c r="F82" i="12"/>
  <c r="G74" i="12"/>
  <c r="F74" i="12"/>
  <c r="G112" i="12"/>
  <c r="G129" i="12"/>
  <c r="G126" i="12"/>
  <c r="G184" i="12"/>
  <c r="G205" i="12"/>
  <c r="G226" i="12"/>
  <c r="G293" i="12"/>
  <c r="G329" i="12"/>
  <c r="G219" i="12"/>
  <c r="G347" i="12"/>
  <c r="G274" i="12"/>
  <c r="G359" i="12"/>
  <c r="G292" i="12"/>
  <c r="G346" i="12"/>
  <c r="G361" i="12"/>
  <c r="G368" i="12"/>
  <c r="G412" i="12"/>
  <c r="G415" i="12"/>
  <c r="L28" i="11"/>
  <c r="B433" i="12"/>
  <c r="D37" i="12"/>
  <c r="G37" i="12"/>
  <c r="F37" i="12"/>
  <c r="G151" i="12"/>
  <c r="F60" i="12"/>
  <c r="G60" i="12" s="1"/>
  <c r="F41" i="12"/>
  <c r="G41" i="12" s="1"/>
  <c r="F53" i="12"/>
  <c r="G53" i="12" s="1"/>
  <c r="F65" i="12"/>
  <c r="G65" i="12" s="1"/>
  <c r="F40" i="12"/>
  <c r="G40" i="12" s="1"/>
  <c r="F64" i="12"/>
  <c r="G64" i="12" s="1"/>
  <c r="F81" i="12"/>
  <c r="G81" i="12" s="1"/>
  <c r="F93" i="12"/>
  <c r="G93" i="12" s="1"/>
  <c r="F73" i="12"/>
  <c r="G73" i="12" s="1"/>
  <c r="F43" i="12"/>
  <c r="G43" i="12" s="1"/>
  <c r="F55" i="12"/>
  <c r="G55" i="12" s="1"/>
  <c r="F67" i="12"/>
  <c r="G67" i="12" s="1"/>
  <c r="F42" i="12"/>
  <c r="G42" i="12" s="1"/>
  <c r="F54" i="12"/>
  <c r="G54" i="12" s="1"/>
  <c r="F66" i="12"/>
  <c r="G66" i="12" s="1"/>
  <c r="F90" i="12"/>
  <c r="G90" i="12" s="1"/>
  <c r="G103" i="12"/>
  <c r="F76" i="12"/>
  <c r="G76" i="12" s="1"/>
  <c r="F94" i="12"/>
  <c r="G94" i="12" s="1"/>
  <c r="G119" i="12"/>
  <c r="G177" i="12"/>
  <c r="G109" i="12"/>
  <c r="F45" i="12"/>
  <c r="G45" i="12" s="1"/>
  <c r="F57" i="12"/>
  <c r="G57" i="12" s="1"/>
  <c r="F69" i="12"/>
  <c r="G69" i="12" s="1"/>
  <c r="F44" i="12"/>
  <c r="G44" i="12" s="1"/>
  <c r="F56" i="12"/>
  <c r="G56" i="12" s="1"/>
  <c r="F68" i="12"/>
  <c r="G68" i="12" s="1"/>
  <c r="G122" i="12"/>
  <c r="G113" i="12"/>
  <c r="G135" i="12"/>
  <c r="F79" i="12"/>
  <c r="G79" i="12" s="1"/>
  <c r="G97" i="12"/>
  <c r="W58" i="15" s="1"/>
  <c r="Z58" i="15" s="1"/>
  <c r="G128" i="12"/>
  <c r="G193" i="12"/>
  <c r="F89" i="12"/>
  <c r="G89" i="12" s="1"/>
  <c r="G116" i="12"/>
  <c r="G174" i="12"/>
  <c r="G127" i="12"/>
  <c r="G155" i="12"/>
  <c r="G251" i="12"/>
  <c r="G166" i="12"/>
  <c r="G105" i="12"/>
  <c r="G123" i="12"/>
  <c r="G148" i="12"/>
  <c r="G186" i="12"/>
  <c r="G175" i="12"/>
  <c r="G231" i="12"/>
  <c r="G173" i="12"/>
  <c r="G196" i="12"/>
  <c r="G261" i="12"/>
  <c r="G230" i="12"/>
  <c r="G217" i="12"/>
  <c r="G191" i="12"/>
  <c r="G248" i="12"/>
  <c r="G284" i="12"/>
  <c r="G356" i="12"/>
  <c r="G297" i="12"/>
  <c r="G317" i="12"/>
  <c r="G198" i="12"/>
  <c r="G216" i="12"/>
  <c r="G237" i="12"/>
  <c r="G264" i="12"/>
  <c r="G303" i="12"/>
  <c r="G235" i="12"/>
  <c r="G253" i="12"/>
  <c r="G271" i="12"/>
  <c r="G308" i="12"/>
  <c r="G312" i="12"/>
  <c r="G350" i="12"/>
  <c r="G315" i="12"/>
  <c r="G388" i="12"/>
  <c r="G289" i="12"/>
  <c r="G307" i="12"/>
  <c r="G325" i="12"/>
  <c r="G343" i="12"/>
  <c r="G367" i="12"/>
  <c r="G348" i="12"/>
  <c r="G404" i="12"/>
  <c r="G394" i="12"/>
  <c r="G365" i="12"/>
  <c r="G416" i="12"/>
  <c r="G411" i="12"/>
  <c r="G383" i="12"/>
  <c r="G407" i="12"/>
  <c r="G425" i="12"/>
  <c r="G414" i="12"/>
  <c r="G432" i="12"/>
  <c r="C28" i="11"/>
  <c r="G17" i="7" l="1"/>
  <c r="H17" i="7" s="1"/>
  <c r="P19" i="15"/>
  <c r="P20" i="15"/>
  <c r="D28" i="11"/>
  <c r="P37" i="15"/>
  <c r="U3" i="15" s="1"/>
  <c r="J14" i="10"/>
  <c r="H14" i="10"/>
  <c r="G14" i="10" s="1"/>
  <c r="K40" i="12"/>
  <c r="M40" i="12"/>
  <c r="E37" i="12"/>
  <c r="O39" i="12"/>
  <c r="N39" i="12"/>
  <c r="W59" i="15"/>
  <c r="Z59" i="15" s="1"/>
  <c r="W57" i="15"/>
  <c r="Z57" i="15" s="1"/>
  <c r="G433" i="12"/>
  <c r="O38" i="12"/>
  <c r="N38" i="12"/>
  <c r="E18" i="9"/>
  <c r="M28" i="11"/>
  <c r="G13" i="10"/>
  <c r="F433" i="12"/>
  <c r="C30" i="12" s="1"/>
  <c r="W55" i="15" s="1"/>
  <c r="Z55" i="15" s="1"/>
  <c r="G18" i="7" l="1"/>
  <c r="H18" i="7" s="1"/>
  <c r="K41" i="12"/>
  <c r="J41" i="12" s="1"/>
  <c r="M41" i="12"/>
  <c r="J40" i="12"/>
  <c r="P21" i="15"/>
  <c r="P24" i="15"/>
  <c r="P25" i="15" s="1"/>
  <c r="N28" i="11"/>
  <c r="H15" i="10"/>
  <c r="J15" i="10"/>
  <c r="C38" i="12"/>
  <c r="F18" i="9"/>
  <c r="E28" i="11"/>
  <c r="G19" i="7" l="1"/>
  <c r="H19" i="7" s="1"/>
  <c r="J16" i="10"/>
  <c r="H16" i="10"/>
  <c r="G16" i="10" s="1"/>
  <c r="O40" i="12"/>
  <c r="N40" i="12"/>
  <c r="D38" i="12"/>
  <c r="K42" i="12"/>
  <c r="J42" i="12" s="1"/>
  <c r="M42" i="12"/>
  <c r="R3" i="15"/>
  <c r="C29" i="11"/>
  <c r="N41" i="12"/>
  <c r="O41" i="12" s="1"/>
  <c r="G15" i="10"/>
  <c r="D19" i="9"/>
  <c r="L29" i="11"/>
  <c r="G20" i="7" l="1"/>
  <c r="H20" i="7" s="1"/>
  <c r="N42" i="12"/>
  <c r="O42" i="12" s="1"/>
  <c r="H17" i="10"/>
  <c r="G17" i="10" s="1"/>
  <c r="J17" i="10"/>
  <c r="K43" i="12"/>
  <c r="J43" i="12" s="1"/>
  <c r="M43" i="12"/>
  <c r="M29" i="11"/>
  <c r="E19" i="9"/>
  <c r="D29" i="11"/>
  <c r="E38" i="12"/>
  <c r="G21" i="7" l="1"/>
  <c r="H21" i="7" s="1"/>
  <c r="F19" i="9"/>
  <c r="C39" i="12"/>
  <c r="K44" i="12"/>
  <c r="J44" i="12" s="1"/>
  <c r="M44" i="12"/>
  <c r="N29" i="11"/>
  <c r="E29" i="11"/>
  <c r="N43" i="12"/>
  <c r="O43" i="12" s="1"/>
  <c r="J18" i="10"/>
  <c r="H18" i="10"/>
  <c r="G18" i="10" s="1"/>
  <c r="G22" i="7" l="1"/>
  <c r="H22" i="7" s="1"/>
  <c r="L30" i="11"/>
  <c r="D20" i="9"/>
  <c r="D39" i="12"/>
  <c r="H19" i="10"/>
  <c r="G19" i="10" s="1"/>
  <c r="J19" i="10"/>
  <c r="K45" i="12"/>
  <c r="J45" i="12" s="1"/>
  <c r="M45" i="12"/>
  <c r="N44" i="12"/>
  <c r="O44" i="12" s="1"/>
  <c r="C30" i="11"/>
  <c r="C32" i="15" l="1"/>
  <c r="D32" i="15" s="1"/>
  <c r="F32" i="15" s="1"/>
  <c r="C33" i="15"/>
  <c r="D33" i="15" s="1"/>
  <c r="F33" i="15" s="1"/>
  <c r="N45" i="12"/>
  <c r="O45" i="12" s="1"/>
  <c r="D30" i="11"/>
  <c r="H20" i="10"/>
  <c r="G20" i="10" s="1"/>
  <c r="J20" i="10"/>
  <c r="M30" i="11"/>
  <c r="E20" i="9"/>
  <c r="K46" i="12"/>
  <c r="J46" i="12" s="1"/>
  <c r="M46" i="12"/>
  <c r="E39" i="12"/>
  <c r="F34" i="15" l="1"/>
  <c r="T3" i="15" s="1"/>
  <c r="F20" i="9"/>
  <c r="E30" i="11"/>
  <c r="C40" i="12"/>
  <c r="N30" i="11"/>
  <c r="K47" i="12"/>
  <c r="J47" i="12" s="1"/>
  <c r="M47" i="12"/>
  <c r="J21" i="10"/>
  <c r="H21" i="10"/>
  <c r="G21" i="10" s="1"/>
  <c r="O46" i="12"/>
  <c r="N46" i="12"/>
  <c r="D2" i="15"/>
  <c r="H22" i="10" l="1"/>
  <c r="G22" i="10" s="1"/>
  <c r="J22" i="10"/>
  <c r="D40" i="12"/>
  <c r="K48" i="12"/>
  <c r="J48" i="12" s="1"/>
  <c r="M48" i="12"/>
  <c r="C31" i="11"/>
  <c r="D31" i="11" s="1"/>
  <c r="E31" i="11" s="1"/>
  <c r="N47" i="12"/>
  <c r="O47" i="12" s="1"/>
  <c r="L31" i="11"/>
  <c r="M31" i="11" s="1"/>
  <c r="N31" i="11"/>
  <c r="D21" i="9"/>
  <c r="E21" i="9" s="1"/>
  <c r="F21" i="9" s="1"/>
  <c r="C32" i="11" l="1"/>
  <c r="D32" i="11" s="1"/>
  <c r="E32" i="11" s="1"/>
  <c r="D22" i="9"/>
  <c r="E22" i="9" s="1"/>
  <c r="F22" i="9" s="1"/>
  <c r="L32" i="11"/>
  <c r="M32" i="11" s="1"/>
  <c r="N32" i="11"/>
  <c r="N48" i="12"/>
  <c r="O48" i="12" s="1"/>
  <c r="K49" i="12"/>
  <c r="J49" i="12" s="1"/>
  <c r="M49" i="12"/>
  <c r="E40" i="12"/>
  <c r="H23" i="10"/>
  <c r="G23" i="10" s="1"/>
  <c r="J23" i="10"/>
  <c r="D23" i="9" l="1"/>
  <c r="E23" i="9" s="1"/>
  <c r="F23" i="9" s="1"/>
  <c r="C33" i="11"/>
  <c r="D33" i="11" s="1"/>
  <c r="E33" i="11" s="1"/>
  <c r="K50" i="12"/>
  <c r="J50" i="12" s="1"/>
  <c r="M50" i="12"/>
  <c r="L33" i="11"/>
  <c r="M33" i="11" s="1"/>
  <c r="N33" i="11" s="1"/>
  <c r="N49" i="12"/>
  <c r="O49" i="12" s="1"/>
  <c r="J24" i="10"/>
  <c r="H24" i="10"/>
  <c r="G24" i="10" s="1"/>
  <c r="C41" i="12"/>
  <c r="D41" i="12" s="1"/>
  <c r="E41" i="12"/>
  <c r="L34" i="11" l="1"/>
  <c r="M34" i="11" s="1"/>
  <c r="N34" i="11" s="1"/>
  <c r="C34" i="11"/>
  <c r="D34" i="11" s="1"/>
  <c r="E34" i="11" s="1"/>
  <c r="D24" i="9"/>
  <c r="E24" i="9" s="1"/>
  <c r="F24" i="9" s="1"/>
  <c r="K51" i="12"/>
  <c r="J51" i="12" s="1"/>
  <c r="M51" i="12"/>
  <c r="H25" i="10"/>
  <c r="G25" i="10" s="1"/>
  <c r="J25" i="10"/>
  <c r="N50" i="12"/>
  <c r="O50" i="12" s="1"/>
  <c r="C42" i="12"/>
  <c r="D42" i="12" s="1"/>
  <c r="E42" i="12" s="1"/>
  <c r="C43" i="12" l="1"/>
  <c r="D43" i="12" s="1"/>
  <c r="E43" i="12"/>
  <c r="C35" i="11"/>
  <c r="D35" i="11" s="1"/>
  <c r="E35" i="11" s="1"/>
  <c r="L35" i="11"/>
  <c r="M35" i="11" s="1"/>
  <c r="N35" i="11"/>
  <c r="D25" i="9"/>
  <c r="E25" i="9" s="1"/>
  <c r="F25" i="9" s="1"/>
  <c r="H26" i="10"/>
  <c r="G26" i="10" s="1"/>
  <c r="J26" i="10"/>
  <c r="K52" i="12"/>
  <c r="J52" i="12" s="1"/>
  <c r="M52" i="12"/>
  <c r="N51" i="12"/>
  <c r="O51" i="12" s="1"/>
  <c r="D26" i="9" l="1"/>
  <c r="E26" i="9" s="1"/>
  <c r="F26" i="9" s="1"/>
  <c r="C36" i="11"/>
  <c r="D36" i="11" s="1"/>
  <c r="E36" i="11" s="1"/>
  <c r="N52" i="12"/>
  <c r="O52" i="12" s="1"/>
  <c r="J27" i="10"/>
  <c r="H27" i="10"/>
  <c r="G27" i="10" s="1"/>
  <c r="L36" i="11"/>
  <c r="M36" i="11" s="1"/>
  <c r="N36" i="11" s="1"/>
  <c r="C44" i="12"/>
  <c r="D44" i="12" s="1"/>
  <c r="E44" i="12"/>
  <c r="K53" i="12"/>
  <c r="J53" i="12" s="1"/>
  <c r="M53" i="12"/>
  <c r="C37" i="11" l="1"/>
  <c r="D37" i="11" s="1"/>
  <c r="E37" i="11" s="1"/>
  <c r="L37" i="11"/>
  <c r="M37" i="11" s="1"/>
  <c r="N37" i="11" s="1"/>
  <c r="D27" i="9"/>
  <c r="E27" i="9" s="1"/>
  <c r="F27" i="9" s="1"/>
  <c r="C45" i="12"/>
  <c r="D45" i="12" s="1"/>
  <c r="E45" i="12" s="1"/>
  <c r="K54" i="12"/>
  <c r="J54" i="12" s="1"/>
  <c r="M54" i="12"/>
  <c r="N53" i="12"/>
  <c r="O53" i="12" s="1"/>
  <c r="H28" i="10"/>
  <c r="G28" i="10" s="1"/>
  <c r="J28" i="10"/>
  <c r="C46" i="12" l="1"/>
  <c r="D46" i="12" s="1"/>
  <c r="E46" i="12"/>
  <c r="L38" i="11"/>
  <c r="M38" i="11" s="1"/>
  <c r="N38" i="11" s="1"/>
  <c r="C38" i="11"/>
  <c r="D38" i="11" s="1"/>
  <c r="E38" i="11" s="1"/>
  <c r="K55" i="12"/>
  <c r="J55" i="12" s="1"/>
  <c r="M55" i="12"/>
  <c r="H29" i="10"/>
  <c r="G29" i="10" s="1"/>
  <c r="J29" i="10"/>
  <c r="D28" i="9"/>
  <c r="E28" i="9" s="1"/>
  <c r="F28" i="9" s="1"/>
  <c r="N54" i="12"/>
  <c r="O54" i="12" s="1"/>
  <c r="C39" i="11" l="1"/>
  <c r="D39" i="11" s="1"/>
  <c r="E39" i="11"/>
  <c r="L39" i="11"/>
  <c r="M39" i="11" s="1"/>
  <c r="N39" i="11" s="1"/>
  <c r="D29" i="9"/>
  <c r="E29" i="9" s="1"/>
  <c r="F29" i="9" s="1"/>
  <c r="J30" i="10"/>
  <c r="H30" i="10"/>
  <c r="G30" i="10" s="1"/>
  <c r="K56" i="12"/>
  <c r="J56" i="12" s="1"/>
  <c r="M56" i="12"/>
  <c r="C47" i="12"/>
  <c r="D47" i="12" s="1"/>
  <c r="E47" i="12" s="1"/>
  <c r="N55" i="12"/>
  <c r="O55" i="12" s="1"/>
  <c r="D30" i="9" l="1"/>
  <c r="E30" i="9" s="1"/>
  <c r="F30" i="9" s="1"/>
  <c r="L40" i="11"/>
  <c r="M40" i="11" s="1"/>
  <c r="N40" i="11" s="1"/>
  <c r="C48" i="12"/>
  <c r="D48" i="12" s="1"/>
  <c r="E48" i="12"/>
  <c r="K57" i="12"/>
  <c r="J57" i="12" s="1"/>
  <c r="M57" i="12"/>
  <c r="N56" i="12"/>
  <c r="O56" i="12" s="1"/>
  <c r="C40" i="11"/>
  <c r="D40" i="11" s="1"/>
  <c r="E40" i="11"/>
  <c r="H31" i="10"/>
  <c r="G31" i="10" s="1"/>
  <c r="J31" i="10"/>
  <c r="L41" i="11" l="1"/>
  <c r="M41" i="11" s="1"/>
  <c r="N41" i="11" s="1"/>
  <c r="D31" i="9"/>
  <c r="E31" i="9" s="1"/>
  <c r="F31" i="9" s="1"/>
  <c r="H32" i="10"/>
  <c r="G32" i="10" s="1"/>
  <c r="J32" i="10"/>
  <c r="K58" i="12"/>
  <c r="J58" i="12" s="1"/>
  <c r="M58" i="12"/>
  <c r="E41" i="11"/>
  <c r="C41" i="11"/>
  <c r="D41" i="11" s="1"/>
  <c r="C49" i="12"/>
  <c r="D49" i="12" s="1"/>
  <c r="E49" i="12"/>
  <c r="N57" i="12"/>
  <c r="O57" i="12" s="1"/>
  <c r="L42" i="11" l="1"/>
  <c r="M42" i="11" s="1"/>
  <c r="N42" i="11" s="1"/>
  <c r="C50" i="12"/>
  <c r="D50" i="12" s="1"/>
  <c r="E50" i="12" s="1"/>
  <c r="J33" i="10"/>
  <c r="H33" i="10"/>
  <c r="G33" i="10" s="1"/>
  <c r="D32" i="9"/>
  <c r="E32" i="9" s="1"/>
  <c r="F32" i="9" s="1"/>
  <c r="K59" i="12"/>
  <c r="J59" i="12" s="1"/>
  <c r="M59" i="12"/>
  <c r="C42" i="11"/>
  <c r="D42" i="11" s="1"/>
  <c r="E42" i="11"/>
  <c r="N58" i="12"/>
  <c r="O58" i="12" s="1"/>
  <c r="D33" i="9" l="1"/>
  <c r="E33" i="9" s="1"/>
  <c r="F33" i="9" s="1"/>
  <c r="C51" i="12"/>
  <c r="D51" i="12" s="1"/>
  <c r="E51" i="12" s="1"/>
  <c r="L43" i="11"/>
  <c r="M43" i="11" s="1"/>
  <c r="N43" i="11"/>
  <c r="C43" i="11"/>
  <c r="D43" i="11" s="1"/>
  <c r="E43" i="11" s="1"/>
  <c r="H34" i="10"/>
  <c r="G34" i="10" s="1"/>
  <c r="J34" i="10"/>
  <c r="K60" i="12"/>
  <c r="J60" i="12" s="1"/>
  <c r="M60" i="12"/>
  <c r="N59" i="12"/>
  <c r="O59" i="12" s="1"/>
  <c r="C44" i="11" l="1"/>
  <c r="D44" i="11" s="1"/>
  <c r="E44" i="11" s="1"/>
  <c r="C52" i="12"/>
  <c r="D52" i="12" s="1"/>
  <c r="E52" i="12" s="1"/>
  <c r="D34" i="9"/>
  <c r="E34" i="9" s="1"/>
  <c r="F34" i="9" s="1"/>
  <c r="K61" i="12"/>
  <c r="J61" i="12" s="1"/>
  <c r="M61" i="12"/>
  <c r="N60" i="12"/>
  <c r="O60" i="12" s="1"/>
  <c r="H35" i="10"/>
  <c r="G35" i="10" s="1"/>
  <c r="J35" i="10"/>
  <c r="L44" i="11"/>
  <c r="M44" i="11" s="1"/>
  <c r="N44" i="11"/>
  <c r="C53" i="12" l="1"/>
  <c r="D53" i="12" s="1"/>
  <c r="E53" i="12" s="1"/>
  <c r="D35" i="9"/>
  <c r="E35" i="9" s="1"/>
  <c r="F35" i="9" s="1"/>
  <c r="C45" i="11"/>
  <c r="D45" i="11" s="1"/>
  <c r="E45" i="11"/>
  <c r="L45" i="11"/>
  <c r="M45" i="11" s="1"/>
  <c r="N45" i="11" s="1"/>
  <c r="K62" i="12"/>
  <c r="J62" i="12" s="1"/>
  <c r="M62" i="12"/>
  <c r="J36" i="10"/>
  <c r="H36" i="10"/>
  <c r="G36" i="10" s="1"/>
  <c r="N61" i="12"/>
  <c r="O61" i="12" s="1"/>
  <c r="D36" i="9" l="1"/>
  <c r="E36" i="9" s="1"/>
  <c r="F36" i="9" s="1"/>
  <c r="L46" i="11"/>
  <c r="M46" i="11" s="1"/>
  <c r="N46" i="11" s="1"/>
  <c r="C54" i="12"/>
  <c r="D54" i="12" s="1"/>
  <c r="E54" i="12"/>
  <c r="H37" i="10"/>
  <c r="G37" i="10" s="1"/>
  <c r="J37" i="10"/>
  <c r="O62" i="12"/>
  <c r="N62" i="12"/>
  <c r="C46" i="11"/>
  <c r="D46" i="11" s="1"/>
  <c r="E46" i="11"/>
  <c r="K63" i="12"/>
  <c r="J63" i="12" s="1"/>
  <c r="M63" i="12"/>
  <c r="L47" i="11" l="1"/>
  <c r="M47" i="11" s="1"/>
  <c r="N47" i="11"/>
  <c r="D37" i="9"/>
  <c r="E37" i="9" s="1"/>
  <c r="F37" i="9" s="1"/>
  <c r="C47" i="11"/>
  <c r="D47" i="11" s="1"/>
  <c r="E47" i="11" s="1"/>
  <c r="N63" i="12"/>
  <c r="O63" i="12" s="1"/>
  <c r="C55" i="12"/>
  <c r="D55" i="12" s="1"/>
  <c r="E55" i="12"/>
  <c r="K64" i="12"/>
  <c r="J64" i="12" s="1"/>
  <c r="M64" i="12"/>
  <c r="H38" i="10"/>
  <c r="G38" i="10" s="1"/>
  <c r="J38" i="10"/>
  <c r="C48" i="11" l="1"/>
  <c r="D48" i="11" s="1"/>
  <c r="E48" i="11"/>
  <c r="D38" i="9"/>
  <c r="E38" i="9" s="1"/>
  <c r="F38" i="9" s="1"/>
  <c r="C56" i="12"/>
  <c r="D56" i="12" s="1"/>
  <c r="E56" i="12" s="1"/>
  <c r="L48" i="11"/>
  <c r="M48" i="11" s="1"/>
  <c r="N48" i="11" s="1"/>
  <c r="K65" i="12"/>
  <c r="J65" i="12" s="1"/>
  <c r="M65" i="12"/>
  <c r="N64" i="12"/>
  <c r="O64" i="12" s="1"/>
  <c r="J39" i="10"/>
  <c r="H39" i="10"/>
  <c r="G39" i="10" s="1"/>
  <c r="L49" i="11" l="1"/>
  <c r="M49" i="11" s="1"/>
  <c r="N49" i="11"/>
  <c r="C57" i="12"/>
  <c r="D57" i="12" s="1"/>
  <c r="E57" i="12"/>
  <c r="D39" i="9"/>
  <c r="E39" i="9" s="1"/>
  <c r="F39" i="9"/>
  <c r="C49" i="11"/>
  <c r="D49" i="11" s="1"/>
  <c r="E49" i="11"/>
  <c r="K66" i="12"/>
  <c r="J66" i="12" s="1"/>
  <c r="M66" i="12"/>
  <c r="N65" i="12"/>
  <c r="O65" i="12" s="1"/>
  <c r="H40" i="10"/>
  <c r="G40" i="10" s="1"/>
  <c r="J40" i="10"/>
  <c r="D40" i="9" l="1"/>
  <c r="E40" i="9"/>
  <c r="E41" i="9" s="1"/>
  <c r="N66" i="12"/>
  <c r="O66" i="12" s="1"/>
  <c r="E50" i="11"/>
  <c r="C50" i="11"/>
  <c r="D50" i="11" s="1"/>
  <c r="L50" i="11"/>
  <c r="M50" i="11" s="1"/>
  <c r="N50" i="11" s="1"/>
  <c r="K67" i="12"/>
  <c r="J67" i="12" s="1"/>
  <c r="M67" i="12"/>
  <c r="C58" i="12"/>
  <c r="D58" i="12" s="1"/>
  <c r="E58" i="12" s="1"/>
  <c r="H41" i="10"/>
  <c r="G41" i="10" s="1"/>
  <c r="J41" i="10"/>
  <c r="C59" i="12" l="1"/>
  <c r="D59" i="12" s="1"/>
  <c r="E59" i="12"/>
  <c r="L51" i="11"/>
  <c r="M51" i="11" s="1"/>
  <c r="N51" i="11" s="1"/>
  <c r="K68" i="12"/>
  <c r="J68" i="12" s="1"/>
  <c r="M68" i="12"/>
  <c r="C40" i="9"/>
  <c r="D41" i="9"/>
  <c r="C51" i="11"/>
  <c r="D51" i="11" s="1"/>
  <c r="E51" i="11" s="1"/>
  <c r="N67" i="12"/>
  <c r="O67" i="12" s="1"/>
  <c r="J42" i="10"/>
  <c r="H42" i="10"/>
  <c r="G42" i="10" s="1"/>
  <c r="F40" i="9"/>
  <c r="W36" i="15" s="1"/>
  <c r="X36" i="15" s="1"/>
  <c r="Z36" i="15" s="1"/>
  <c r="L52" i="11" l="1"/>
  <c r="M52" i="11" s="1"/>
  <c r="N52" i="11" s="1"/>
  <c r="C52" i="11"/>
  <c r="D52" i="11" s="1"/>
  <c r="E52" i="11"/>
  <c r="N68" i="12"/>
  <c r="O68" i="12" s="1"/>
  <c r="K69" i="12"/>
  <c r="J69" i="12" s="1"/>
  <c r="M69" i="12"/>
  <c r="C60" i="12"/>
  <c r="D60" i="12" s="1"/>
  <c r="E60" i="12"/>
  <c r="H43" i="10"/>
  <c r="G43" i="10" s="1"/>
  <c r="J43" i="10"/>
  <c r="W35" i="15"/>
  <c r="Z37" i="15" s="1"/>
  <c r="C41" i="9"/>
  <c r="L53" i="11" l="1"/>
  <c r="M53" i="11" s="1"/>
  <c r="N53" i="11"/>
  <c r="C53" i="11"/>
  <c r="D53" i="11" s="1"/>
  <c r="E53" i="11" s="1"/>
  <c r="H44" i="10"/>
  <c r="G44" i="10" s="1"/>
  <c r="J44" i="10"/>
  <c r="C61" i="12"/>
  <c r="D61" i="12" s="1"/>
  <c r="E61" i="12"/>
  <c r="K70" i="12"/>
  <c r="J70" i="12" s="1"/>
  <c r="M70" i="12"/>
  <c r="V3" i="15"/>
  <c r="N69" i="12"/>
  <c r="O69" i="12" s="1"/>
  <c r="C54" i="11" l="1"/>
  <c r="D54" i="11" s="1"/>
  <c r="E54" i="11" s="1"/>
  <c r="J45" i="10"/>
  <c r="H45" i="10"/>
  <c r="G45" i="10" s="1"/>
  <c r="K71" i="12"/>
  <c r="J71" i="12" s="1"/>
  <c r="M71" i="12"/>
  <c r="O70" i="12"/>
  <c r="N70" i="12"/>
  <c r="C62" i="12"/>
  <c r="D62" i="12" s="1"/>
  <c r="E62" i="12"/>
  <c r="L54" i="11"/>
  <c r="M54" i="11" s="1"/>
  <c r="N54" i="11" s="1"/>
  <c r="L55" i="11" l="1"/>
  <c r="M55" i="11" s="1"/>
  <c r="N55" i="11"/>
  <c r="C55" i="11"/>
  <c r="D55" i="11" s="1"/>
  <c r="E55" i="11" s="1"/>
  <c r="N71" i="12"/>
  <c r="O71" i="12" s="1"/>
  <c r="H46" i="10"/>
  <c r="G46" i="10" s="1"/>
  <c r="J46" i="10"/>
  <c r="M72" i="12"/>
  <c r="K72" i="12"/>
  <c r="J72" i="12" s="1"/>
  <c r="C63" i="12"/>
  <c r="D63" i="12" s="1"/>
  <c r="E63" i="12" s="1"/>
  <c r="C64" i="12" l="1"/>
  <c r="D64" i="12" s="1"/>
  <c r="E64" i="12" s="1"/>
  <c r="C56" i="11"/>
  <c r="D56" i="11" s="1"/>
  <c r="E56" i="11" s="1"/>
  <c r="N72" i="12"/>
  <c r="O72" i="12" s="1"/>
  <c r="K73" i="12"/>
  <c r="J73" i="12" s="1"/>
  <c r="M73" i="12"/>
  <c r="H47" i="10"/>
  <c r="G47" i="10" s="1"/>
  <c r="J47" i="10"/>
  <c r="L56" i="11"/>
  <c r="M56" i="11" s="1"/>
  <c r="N56" i="11" s="1"/>
  <c r="L57" i="11" l="1"/>
  <c r="M57" i="11" s="1"/>
  <c r="N57" i="11" s="1"/>
  <c r="C57" i="11"/>
  <c r="D57" i="11" s="1"/>
  <c r="E57" i="11" s="1"/>
  <c r="C65" i="12"/>
  <c r="D65" i="12" s="1"/>
  <c r="E65" i="12"/>
  <c r="J48" i="10"/>
  <c r="H48" i="10"/>
  <c r="G48" i="10" s="1"/>
  <c r="K74" i="12"/>
  <c r="J74" i="12" s="1"/>
  <c r="M74" i="12"/>
  <c r="N73" i="12"/>
  <c r="O73" i="12" s="1"/>
  <c r="C58" i="11" l="1"/>
  <c r="D58" i="11" s="1"/>
  <c r="E58" i="11" s="1"/>
  <c r="L58" i="11"/>
  <c r="M58" i="11" s="1"/>
  <c r="N58" i="11"/>
  <c r="C66" i="12"/>
  <c r="D66" i="12" s="1"/>
  <c r="E66" i="12" s="1"/>
  <c r="K75" i="12"/>
  <c r="J75" i="12" s="1"/>
  <c r="M75" i="12"/>
  <c r="N74" i="12"/>
  <c r="O74" i="12" s="1"/>
  <c r="H49" i="10"/>
  <c r="G49" i="10" s="1"/>
  <c r="J49" i="10"/>
  <c r="C67" i="12" l="1"/>
  <c r="D67" i="12" s="1"/>
  <c r="E67" i="12"/>
  <c r="C59" i="11"/>
  <c r="D59" i="11" s="1"/>
  <c r="E59" i="11" s="1"/>
  <c r="H50" i="10"/>
  <c r="G50" i="10" s="1"/>
  <c r="J50" i="10"/>
  <c r="L59" i="11"/>
  <c r="M59" i="11" s="1"/>
  <c r="N59" i="11"/>
  <c r="K76" i="12"/>
  <c r="J76" i="12" s="1"/>
  <c r="M76" i="12"/>
  <c r="N75" i="12"/>
  <c r="O75" i="12" s="1"/>
  <c r="C60" i="11" l="1"/>
  <c r="D60" i="11" s="1"/>
  <c r="E60" i="11" s="1"/>
  <c r="J51" i="10"/>
  <c r="H51" i="10"/>
  <c r="G51" i="10" s="1"/>
  <c r="N76" i="12"/>
  <c r="O76" i="12" s="1"/>
  <c r="N60" i="11"/>
  <c r="L60" i="11"/>
  <c r="M60" i="11" s="1"/>
  <c r="C68" i="12"/>
  <c r="D68" i="12" s="1"/>
  <c r="E68" i="12" s="1"/>
  <c r="K77" i="12"/>
  <c r="J77" i="12" s="1"/>
  <c r="M77" i="12"/>
  <c r="C69" i="12" l="1"/>
  <c r="D69" i="12" s="1"/>
  <c r="E69" i="12" s="1"/>
  <c r="C61" i="11"/>
  <c r="D61" i="11" s="1"/>
  <c r="E61" i="11" s="1"/>
  <c r="K78" i="12"/>
  <c r="J78" i="12" s="1"/>
  <c r="M78" i="12"/>
  <c r="O77" i="12"/>
  <c r="N77" i="12"/>
  <c r="H52" i="10"/>
  <c r="G52" i="10" s="1"/>
  <c r="J52" i="10"/>
  <c r="L61" i="11"/>
  <c r="M61" i="11" s="1"/>
  <c r="N61" i="11"/>
  <c r="E62" i="11" l="1"/>
  <c r="C62" i="11"/>
  <c r="D62" i="11" s="1"/>
  <c r="C70" i="12"/>
  <c r="D70" i="12" s="1"/>
  <c r="E70" i="12" s="1"/>
  <c r="K79" i="12"/>
  <c r="J79" i="12" s="1"/>
  <c r="M79" i="12"/>
  <c r="O78" i="12"/>
  <c r="N78" i="12"/>
  <c r="L62" i="11"/>
  <c r="M62" i="11" s="1"/>
  <c r="N62" i="11" s="1"/>
  <c r="H53" i="10"/>
  <c r="G53" i="10" s="1"/>
  <c r="J53" i="10"/>
  <c r="C71" i="12" l="1"/>
  <c r="D71" i="12" s="1"/>
  <c r="E71" i="12"/>
  <c r="L63" i="11"/>
  <c r="M63" i="11" s="1"/>
  <c r="N63" i="11" s="1"/>
  <c r="J54" i="10"/>
  <c r="H54" i="10"/>
  <c r="G54" i="10" s="1"/>
  <c r="N79" i="12"/>
  <c r="O79" i="12" s="1"/>
  <c r="K80" i="12"/>
  <c r="J80" i="12" s="1"/>
  <c r="M80" i="12"/>
  <c r="C63" i="11"/>
  <c r="D63" i="11" s="1"/>
  <c r="E63" i="11" s="1"/>
  <c r="C64" i="11" l="1"/>
  <c r="D64" i="11" s="1"/>
  <c r="E64" i="11" s="1"/>
  <c r="L64" i="11"/>
  <c r="M64" i="11" s="1"/>
  <c r="N64" i="11" s="1"/>
  <c r="K81" i="12"/>
  <c r="J81" i="12" s="1"/>
  <c r="M81" i="12"/>
  <c r="H55" i="10"/>
  <c r="G55" i="10" s="1"/>
  <c r="J55" i="10"/>
  <c r="N80" i="12"/>
  <c r="O80" i="12" s="1"/>
  <c r="C72" i="12"/>
  <c r="D72" i="12" s="1"/>
  <c r="E72" i="12"/>
  <c r="L65" i="11" l="1"/>
  <c r="M65" i="11" s="1"/>
  <c r="N65" i="11" s="1"/>
  <c r="C65" i="11"/>
  <c r="D65" i="11" s="1"/>
  <c r="E65" i="11" s="1"/>
  <c r="K82" i="12"/>
  <c r="J82" i="12" s="1"/>
  <c r="M82" i="12"/>
  <c r="C73" i="12"/>
  <c r="D73" i="12" s="1"/>
  <c r="E73" i="12" s="1"/>
  <c r="H56" i="10"/>
  <c r="G56" i="10" s="1"/>
  <c r="J56" i="10"/>
  <c r="N81" i="12"/>
  <c r="O81" i="12" s="1"/>
  <c r="C74" i="12" l="1"/>
  <c r="D74" i="12" s="1"/>
  <c r="E74" i="12"/>
  <c r="C66" i="11"/>
  <c r="D66" i="11" s="1"/>
  <c r="E66" i="11" s="1"/>
  <c r="L66" i="11"/>
  <c r="M66" i="11" s="1"/>
  <c r="N66" i="11" s="1"/>
  <c r="J57" i="10"/>
  <c r="H57" i="10"/>
  <c r="G57" i="10" s="1"/>
  <c r="O82" i="12"/>
  <c r="N82" i="12"/>
  <c r="K83" i="12"/>
  <c r="J83" i="12" s="1"/>
  <c r="M83" i="12"/>
  <c r="L67" i="11" l="1"/>
  <c r="M67" i="11" s="1"/>
  <c r="N67" i="11"/>
  <c r="C67" i="11"/>
  <c r="D67" i="11" s="1"/>
  <c r="E67" i="11" s="1"/>
  <c r="K84" i="12"/>
  <c r="J84" i="12" s="1"/>
  <c r="M84" i="12"/>
  <c r="N83" i="12"/>
  <c r="O83" i="12" s="1"/>
  <c r="C75" i="12"/>
  <c r="D75" i="12" s="1"/>
  <c r="E75" i="12" s="1"/>
  <c r="H58" i="10"/>
  <c r="G58" i="10" s="1"/>
  <c r="J58" i="10"/>
  <c r="C68" i="11" l="1"/>
  <c r="D68" i="11" s="1"/>
  <c r="E68" i="11" s="1"/>
  <c r="C76" i="12"/>
  <c r="D76" i="12" s="1"/>
  <c r="E76" i="12" s="1"/>
  <c r="K85" i="12"/>
  <c r="J85" i="12" s="1"/>
  <c r="M85" i="12"/>
  <c r="N84" i="12"/>
  <c r="O84" i="12" s="1"/>
  <c r="H59" i="10"/>
  <c r="G59" i="10" s="1"/>
  <c r="J59" i="10"/>
  <c r="L68" i="11"/>
  <c r="M68" i="11" s="1"/>
  <c r="N68" i="11"/>
  <c r="C77" i="12" l="1"/>
  <c r="D77" i="12" s="1"/>
  <c r="E77" i="12"/>
  <c r="C69" i="11"/>
  <c r="D69" i="11" s="1"/>
  <c r="E69" i="11" s="1"/>
  <c r="N85" i="12"/>
  <c r="O85" i="12" s="1"/>
  <c r="J60" i="10"/>
  <c r="H60" i="10"/>
  <c r="G60" i="10" s="1"/>
  <c r="L69" i="11"/>
  <c r="M69" i="11" s="1"/>
  <c r="N69" i="11" s="1"/>
  <c r="K86" i="12"/>
  <c r="J86" i="12" s="1"/>
  <c r="M86" i="12"/>
  <c r="C70" i="11" l="1"/>
  <c r="D70" i="11" s="1"/>
  <c r="E70" i="11"/>
  <c r="L70" i="11"/>
  <c r="M70" i="11" s="1"/>
  <c r="N70" i="11" s="1"/>
  <c r="C78" i="12"/>
  <c r="D78" i="12" s="1"/>
  <c r="E78" i="12"/>
  <c r="K87" i="12"/>
  <c r="J87" i="12" s="1"/>
  <c r="M87" i="12"/>
  <c r="N86" i="12"/>
  <c r="O86" i="12" s="1"/>
  <c r="H61" i="10"/>
  <c r="G61" i="10" s="1"/>
  <c r="J61" i="10"/>
  <c r="L71" i="11" l="1"/>
  <c r="M71" i="11" s="1"/>
  <c r="N71" i="11"/>
  <c r="C71" i="11"/>
  <c r="D71" i="11" s="1"/>
  <c r="E71" i="11" s="1"/>
  <c r="H62" i="10"/>
  <c r="G62" i="10" s="1"/>
  <c r="J62" i="10"/>
  <c r="C79" i="12"/>
  <c r="D79" i="12" s="1"/>
  <c r="E79" i="12"/>
  <c r="K88" i="12"/>
  <c r="J88" i="12" s="1"/>
  <c r="M88" i="12"/>
  <c r="N87" i="12"/>
  <c r="O87" i="12" s="1"/>
  <c r="C72" i="11" l="1"/>
  <c r="D72" i="11" s="1"/>
  <c r="E72" i="11"/>
  <c r="J63" i="10"/>
  <c r="H63" i="10"/>
  <c r="G63" i="10" s="1"/>
  <c r="K89" i="12"/>
  <c r="J89" i="12" s="1"/>
  <c r="M89" i="12"/>
  <c r="L72" i="11"/>
  <c r="M72" i="11" s="1"/>
  <c r="N72" i="11" s="1"/>
  <c r="N88" i="12"/>
  <c r="O88" i="12" s="1"/>
  <c r="C80" i="12"/>
  <c r="D80" i="12" s="1"/>
  <c r="E80" i="12"/>
  <c r="L73" i="11" l="1"/>
  <c r="M73" i="11" s="1"/>
  <c r="N73" i="11"/>
  <c r="C81" i="12"/>
  <c r="D81" i="12" s="1"/>
  <c r="E81" i="12" s="1"/>
  <c r="H64" i="10"/>
  <c r="G64" i="10" s="1"/>
  <c r="J64" i="10"/>
  <c r="K90" i="12"/>
  <c r="J90" i="12" s="1"/>
  <c r="M90" i="12"/>
  <c r="O89" i="12"/>
  <c r="N89" i="12"/>
  <c r="C73" i="11"/>
  <c r="D73" i="11" s="1"/>
  <c r="E73" i="11"/>
  <c r="C82" i="12" l="1"/>
  <c r="D82" i="12" s="1"/>
  <c r="E82" i="12"/>
  <c r="E74" i="11"/>
  <c r="C74" i="11"/>
  <c r="D74" i="11" s="1"/>
  <c r="H65" i="10"/>
  <c r="G65" i="10" s="1"/>
  <c r="J65" i="10"/>
  <c r="K91" i="12"/>
  <c r="J91" i="12" s="1"/>
  <c r="M91" i="12"/>
  <c r="L74" i="11"/>
  <c r="M74" i="11" s="1"/>
  <c r="N74" i="11" s="1"/>
  <c r="N90" i="12"/>
  <c r="O90" i="12" s="1"/>
  <c r="Q74" i="11" l="1"/>
  <c r="Q84" i="11" s="1"/>
  <c r="J66" i="10"/>
  <c r="H66" i="10"/>
  <c r="G66" i="10" s="1"/>
  <c r="E75" i="11"/>
  <c r="C75" i="11"/>
  <c r="D75" i="11" s="1"/>
  <c r="K92" i="12"/>
  <c r="J92" i="12" s="1"/>
  <c r="M92" i="12"/>
  <c r="C83" i="12"/>
  <c r="D83" i="12" s="1"/>
  <c r="E83" i="12"/>
  <c r="O91" i="12"/>
  <c r="N91" i="12"/>
  <c r="N92" i="12" l="1"/>
  <c r="O92" i="12" s="1"/>
  <c r="C76" i="11"/>
  <c r="D76" i="11" s="1"/>
  <c r="E76" i="11" s="1"/>
  <c r="C84" i="12"/>
  <c r="D84" i="12" s="1"/>
  <c r="E84" i="12"/>
  <c r="H67" i="10"/>
  <c r="G67" i="10" s="1"/>
  <c r="J67" i="10"/>
  <c r="K93" i="12"/>
  <c r="J93" i="12" s="1"/>
  <c r="M93" i="12"/>
  <c r="P55" i="15"/>
  <c r="K132" i="11"/>
  <c r="K129" i="11"/>
  <c r="K126" i="11"/>
  <c r="K123" i="11"/>
  <c r="K120" i="11"/>
  <c r="K127" i="11"/>
  <c r="K128" i="11"/>
  <c r="K117" i="11"/>
  <c r="K114" i="11"/>
  <c r="K111" i="11"/>
  <c r="K108" i="11"/>
  <c r="K105" i="11"/>
  <c r="K102" i="11"/>
  <c r="K99" i="11"/>
  <c r="K96" i="11"/>
  <c r="K93" i="11"/>
  <c r="K90" i="11"/>
  <c r="K87" i="11"/>
  <c r="K82" i="11"/>
  <c r="K80" i="11"/>
  <c r="K131" i="11"/>
  <c r="K122" i="11"/>
  <c r="K119" i="11"/>
  <c r="K116" i="11"/>
  <c r="K113" i="11"/>
  <c r="K110" i="11"/>
  <c r="K107" i="11"/>
  <c r="K104" i="11"/>
  <c r="K101" i="11"/>
  <c r="K98" i="11"/>
  <c r="K95" i="11"/>
  <c r="K92" i="11"/>
  <c r="K89" i="11"/>
  <c r="K86" i="11"/>
  <c r="K79" i="11"/>
  <c r="K133" i="11"/>
  <c r="K124" i="11"/>
  <c r="K83" i="11"/>
  <c r="K81" i="11"/>
  <c r="K134" i="11"/>
  <c r="K125" i="11"/>
  <c r="K118" i="11"/>
  <c r="K115" i="11"/>
  <c r="K112" i="11"/>
  <c r="K109" i="11"/>
  <c r="K106" i="11"/>
  <c r="K103" i="11"/>
  <c r="K100" i="11"/>
  <c r="K97" i="11"/>
  <c r="K94" i="11"/>
  <c r="K91" i="11"/>
  <c r="K88" i="11"/>
  <c r="K85" i="11"/>
  <c r="K78" i="11"/>
  <c r="K76" i="11"/>
  <c r="K84" i="11"/>
  <c r="K75" i="11"/>
  <c r="K77" i="11"/>
  <c r="K121" i="11"/>
  <c r="K130" i="11"/>
  <c r="C77" i="11" l="1"/>
  <c r="D77" i="11" s="1"/>
  <c r="E77" i="11" s="1"/>
  <c r="K94" i="12"/>
  <c r="J94" i="12" s="1"/>
  <c r="M94" i="12"/>
  <c r="N93" i="12"/>
  <c r="O93" i="12" s="1"/>
  <c r="C85" i="12"/>
  <c r="D85" i="12" s="1"/>
  <c r="E85" i="12"/>
  <c r="H68" i="10"/>
  <c r="G68" i="10" s="1"/>
  <c r="J68" i="10"/>
  <c r="M75" i="11"/>
  <c r="N75" i="11" s="1"/>
  <c r="C78" i="11" l="1"/>
  <c r="D78" i="11" s="1"/>
  <c r="E78" i="11" s="1"/>
  <c r="J69" i="10"/>
  <c r="H69" i="10"/>
  <c r="G69" i="10" s="1"/>
  <c r="C86" i="12"/>
  <c r="D86" i="12" s="1"/>
  <c r="E86" i="12"/>
  <c r="K95" i="12"/>
  <c r="J95" i="12" s="1"/>
  <c r="M95" i="12"/>
  <c r="L76" i="11"/>
  <c r="M76" i="11" s="1"/>
  <c r="N76" i="11" s="1"/>
  <c r="N94" i="12"/>
  <c r="O94" i="12" s="1"/>
  <c r="L77" i="11" l="1"/>
  <c r="M77" i="11" s="1"/>
  <c r="N77" i="11"/>
  <c r="C79" i="11"/>
  <c r="D79" i="11" s="1"/>
  <c r="E79" i="11" s="1"/>
  <c r="C87" i="12"/>
  <c r="D87" i="12" s="1"/>
  <c r="E87" i="12" s="1"/>
  <c r="H70" i="10"/>
  <c r="G70" i="10" s="1"/>
  <c r="J70" i="10"/>
  <c r="K96" i="12"/>
  <c r="J96" i="12" s="1"/>
  <c r="M96" i="12"/>
  <c r="N95" i="12"/>
  <c r="O95" i="12" s="1"/>
  <c r="C88" i="12" l="1"/>
  <c r="D88" i="12" s="1"/>
  <c r="E88" i="12"/>
  <c r="C80" i="11"/>
  <c r="D80" i="11" s="1"/>
  <c r="E80" i="11"/>
  <c r="M97" i="12"/>
  <c r="K97" i="12"/>
  <c r="J97" i="12" s="1"/>
  <c r="O97" i="12" s="1"/>
  <c r="W60" i="15" s="1"/>
  <c r="Z60" i="15" s="1"/>
  <c r="N96" i="12"/>
  <c r="N433" i="12" s="1"/>
  <c r="C31" i="12" s="1"/>
  <c r="W56" i="15" s="1"/>
  <c r="Z56" i="15" s="1"/>
  <c r="H71" i="10"/>
  <c r="G71" i="10" s="1"/>
  <c r="J71" i="10"/>
  <c r="L78" i="11"/>
  <c r="M78" i="11" s="1"/>
  <c r="N78" i="11" s="1"/>
  <c r="Z61" i="15" l="1"/>
  <c r="Y3" i="15" s="1"/>
  <c r="L79" i="11"/>
  <c r="M79" i="11" s="1"/>
  <c r="N79" i="11" s="1"/>
  <c r="M98" i="12"/>
  <c r="K98" i="12"/>
  <c r="J98" i="12" s="1"/>
  <c r="O98" i="12" s="1"/>
  <c r="J72" i="10"/>
  <c r="H72" i="10"/>
  <c r="G72" i="10" s="1"/>
  <c r="C81" i="11"/>
  <c r="D81" i="11" s="1"/>
  <c r="E81" i="11"/>
  <c r="C89" i="12"/>
  <c r="D89" i="12" s="1"/>
  <c r="E89" i="12" s="1"/>
  <c r="O96" i="12"/>
  <c r="C90" i="12" l="1"/>
  <c r="D90" i="12" s="1"/>
  <c r="E90" i="12"/>
  <c r="L80" i="11"/>
  <c r="M80" i="11" s="1"/>
  <c r="N80" i="11" s="1"/>
  <c r="H73" i="10"/>
  <c r="G73" i="10" s="1"/>
  <c r="J73" i="10"/>
  <c r="K99" i="12"/>
  <c r="J99" i="12" s="1"/>
  <c r="O99" i="12" s="1"/>
  <c r="M99" i="12"/>
  <c r="C82" i="11"/>
  <c r="D82" i="11" s="1"/>
  <c r="E82" i="11" s="1"/>
  <c r="L81" i="11" l="1"/>
  <c r="M81" i="11" s="1"/>
  <c r="N81" i="11" s="1"/>
  <c r="C83" i="11"/>
  <c r="D83" i="11" s="1"/>
  <c r="E83" i="11" s="1"/>
  <c r="H74" i="10"/>
  <c r="G74" i="10" s="1"/>
  <c r="J74" i="10"/>
  <c r="M100" i="12"/>
  <c r="K100" i="12"/>
  <c r="J100" i="12" s="1"/>
  <c r="O100" i="12" s="1"/>
  <c r="C91" i="12"/>
  <c r="D91" i="12" s="1"/>
  <c r="E91" i="12" s="1"/>
  <c r="C84" i="11" l="1"/>
  <c r="D84" i="11" s="1"/>
  <c r="E84" i="11" s="1"/>
  <c r="C92" i="12"/>
  <c r="D92" i="12" s="1"/>
  <c r="E92" i="12" s="1"/>
  <c r="L82" i="11"/>
  <c r="M82" i="11" s="1"/>
  <c r="N82" i="11" s="1"/>
  <c r="J75" i="10"/>
  <c r="H75" i="10"/>
  <c r="G75" i="10" s="1"/>
  <c r="M101" i="12"/>
  <c r="K101" i="12"/>
  <c r="J101" i="12" s="1"/>
  <c r="O101" i="12" s="1"/>
  <c r="C93" i="12" l="1"/>
  <c r="D93" i="12" s="1"/>
  <c r="E93" i="12" s="1"/>
  <c r="C85" i="11"/>
  <c r="D85" i="11" s="1"/>
  <c r="E85" i="11" s="1"/>
  <c r="L83" i="11"/>
  <c r="M83" i="11" s="1"/>
  <c r="N83" i="11" s="1"/>
  <c r="K102" i="12"/>
  <c r="J102" i="12" s="1"/>
  <c r="O102" i="12" s="1"/>
  <c r="M102" i="12"/>
  <c r="H76" i="10"/>
  <c r="G76" i="10" s="1"/>
  <c r="J76" i="10"/>
  <c r="L84" i="11" l="1"/>
  <c r="M84" i="11" s="1"/>
  <c r="N84" i="11" s="1"/>
  <c r="C86" i="11"/>
  <c r="D86" i="11" s="1"/>
  <c r="E86" i="11" s="1"/>
  <c r="C94" i="12"/>
  <c r="D94" i="12" s="1"/>
  <c r="E94" i="12"/>
  <c r="H77" i="10"/>
  <c r="G77" i="10" s="1"/>
  <c r="J77" i="10"/>
  <c r="M103" i="12"/>
  <c r="K103" i="12"/>
  <c r="J103" i="12" s="1"/>
  <c r="O103" i="12" s="1"/>
  <c r="C87" i="11" l="1"/>
  <c r="D87" i="11" s="1"/>
  <c r="E87" i="11"/>
  <c r="C95" i="12"/>
  <c r="D95" i="12" s="1"/>
  <c r="E95" i="12" s="1"/>
  <c r="L85" i="11"/>
  <c r="M85" i="11" s="1"/>
  <c r="N85" i="11" s="1"/>
  <c r="K104" i="12"/>
  <c r="J104" i="12" s="1"/>
  <c r="O104" i="12" s="1"/>
  <c r="M104" i="12"/>
  <c r="J78" i="10"/>
  <c r="H78" i="10"/>
  <c r="G78" i="10" s="1"/>
  <c r="L86" i="11" l="1"/>
  <c r="M86" i="11" s="1"/>
  <c r="N86" i="11" s="1"/>
  <c r="C96" i="12"/>
  <c r="D96" i="12" s="1"/>
  <c r="E96" i="12" s="1"/>
  <c r="C88" i="11"/>
  <c r="D88" i="11" s="1"/>
  <c r="E88" i="11" s="1"/>
  <c r="H79" i="10"/>
  <c r="G79" i="10" s="1"/>
  <c r="J79" i="10"/>
  <c r="K105" i="12"/>
  <c r="J105" i="12" s="1"/>
  <c r="O105" i="12" s="1"/>
  <c r="M105" i="12"/>
  <c r="C97" i="12" l="1"/>
  <c r="D97" i="12" s="1"/>
  <c r="E97" i="12"/>
  <c r="C89" i="11"/>
  <c r="D89" i="11" s="1"/>
  <c r="E89" i="11" s="1"/>
  <c r="L87" i="11"/>
  <c r="M87" i="11" s="1"/>
  <c r="N87" i="11" s="1"/>
  <c r="M106" i="12"/>
  <c r="K106" i="12"/>
  <c r="J106" i="12" s="1"/>
  <c r="O106" i="12" s="1"/>
  <c r="H80" i="10"/>
  <c r="G80" i="10" s="1"/>
  <c r="J80" i="10"/>
  <c r="C90" i="11" l="1"/>
  <c r="D90" i="11" s="1"/>
  <c r="E90" i="11"/>
  <c r="C58" i="15"/>
  <c r="F58" i="15" s="1"/>
  <c r="I81" i="10"/>
  <c r="I82" i="10" s="1"/>
  <c r="H81" i="10"/>
  <c r="C98" i="12"/>
  <c r="D98" i="12" s="1"/>
  <c r="E98" i="12" s="1"/>
  <c r="L88" i="11"/>
  <c r="M88" i="11" s="1"/>
  <c r="N88" i="11" s="1"/>
  <c r="M107" i="12"/>
  <c r="K107" i="12"/>
  <c r="J107" i="12" s="1"/>
  <c r="O107" i="12" s="1"/>
  <c r="C99" i="12" l="1"/>
  <c r="D99" i="12" s="1"/>
  <c r="E99" i="12" s="1"/>
  <c r="L89" i="11"/>
  <c r="M89" i="11" s="1"/>
  <c r="N89" i="11" s="1"/>
  <c r="J81" i="10"/>
  <c r="D59" i="15" s="1"/>
  <c r="F59" i="15" s="1"/>
  <c r="F60" i="15" s="1"/>
  <c r="G81" i="10"/>
  <c r="G82" i="10" s="1"/>
  <c r="H82" i="10"/>
  <c r="K108" i="12"/>
  <c r="J108" i="12" s="1"/>
  <c r="O108" i="12" s="1"/>
  <c r="M108" i="12"/>
  <c r="C91" i="11"/>
  <c r="D91" i="11" s="1"/>
  <c r="E91" i="11" s="1"/>
  <c r="W3" i="15" l="1"/>
  <c r="C92" i="11"/>
  <c r="D92" i="11" s="1"/>
  <c r="E92" i="11" s="1"/>
  <c r="C100" i="12"/>
  <c r="D100" i="12" s="1"/>
  <c r="E100" i="12" s="1"/>
  <c r="L90" i="11"/>
  <c r="M90" i="11" s="1"/>
  <c r="N90" i="11" s="1"/>
  <c r="M109" i="12"/>
  <c r="K109" i="12"/>
  <c r="J109" i="12" s="1"/>
  <c r="O109" i="12" s="1"/>
  <c r="C101" i="12" l="1"/>
  <c r="D101" i="12" s="1"/>
  <c r="E101" i="12" s="1"/>
  <c r="C93" i="11"/>
  <c r="D93" i="11" s="1"/>
  <c r="E93" i="11" s="1"/>
  <c r="M110" i="12"/>
  <c r="K110" i="12"/>
  <c r="J110" i="12" s="1"/>
  <c r="O110" i="12" s="1"/>
  <c r="L91" i="11"/>
  <c r="M91" i="11" s="1"/>
  <c r="N91" i="11" s="1"/>
  <c r="C94" i="11" l="1"/>
  <c r="D94" i="11" s="1"/>
  <c r="E94" i="11" s="1"/>
  <c r="C102" i="12"/>
  <c r="D102" i="12" s="1"/>
  <c r="E102" i="12" s="1"/>
  <c r="K111" i="12"/>
  <c r="J111" i="12" s="1"/>
  <c r="O111" i="12" s="1"/>
  <c r="M111" i="12"/>
  <c r="L92" i="11"/>
  <c r="M92" i="11" s="1"/>
  <c r="N92" i="11" s="1"/>
  <c r="L93" i="11" l="1"/>
  <c r="M93" i="11" s="1"/>
  <c r="N93" i="11" s="1"/>
  <c r="C103" i="12"/>
  <c r="D103" i="12" s="1"/>
  <c r="E103" i="12" s="1"/>
  <c r="C95" i="11"/>
  <c r="D95" i="11" s="1"/>
  <c r="E95" i="11" s="1"/>
  <c r="M112" i="12"/>
  <c r="K112" i="12"/>
  <c r="J112" i="12" s="1"/>
  <c r="O112" i="12" s="1"/>
  <c r="C96" i="11" l="1"/>
  <c r="D96" i="11" s="1"/>
  <c r="E96" i="11"/>
  <c r="E104" i="12"/>
  <c r="C104" i="12"/>
  <c r="D104" i="12" s="1"/>
  <c r="L94" i="11"/>
  <c r="M94" i="11" s="1"/>
  <c r="N94" i="11" s="1"/>
  <c r="M113" i="12"/>
  <c r="K113" i="12"/>
  <c r="J113" i="12" s="1"/>
  <c r="O113" i="12" s="1"/>
  <c r="L95" i="11" l="1"/>
  <c r="M95" i="11" s="1"/>
  <c r="N95" i="11" s="1"/>
  <c r="E97" i="11"/>
  <c r="C97" i="11"/>
  <c r="D97" i="11" s="1"/>
  <c r="C105" i="12"/>
  <c r="D105" i="12" s="1"/>
  <c r="E105" i="12"/>
  <c r="K114" i="12"/>
  <c r="J114" i="12" s="1"/>
  <c r="O114" i="12" s="1"/>
  <c r="M114" i="12"/>
  <c r="L96" i="11" l="1"/>
  <c r="M96" i="11" s="1"/>
  <c r="N96" i="11" s="1"/>
  <c r="C106" i="12"/>
  <c r="D106" i="12" s="1"/>
  <c r="E106" i="12" s="1"/>
  <c r="C98" i="11"/>
  <c r="D98" i="11" s="1"/>
  <c r="E98" i="11" s="1"/>
  <c r="M115" i="12"/>
  <c r="K115" i="12"/>
  <c r="J115" i="12" s="1"/>
  <c r="O115" i="12" s="1"/>
  <c r="C99" i="11" l="1"/>
  <c r="D99" i="11" s="1"/>
  <c r="E99" i="11"/>
  <c r="C107" i="12"/>
  <c r="D107" i="12" s="1"/>
  <c r="E107" i="12" s="1"/>
  <c r="L97" i="11"/>
  <c r="M97" i="11" s="1"/>
  <c r="N97" i="11" s="1"/>
  <c r="M116" i="12"/>
  <c r="K116" i="12"/>
  <c r="J116" i="12" s="1"/>
  <c r="O116" i="12" s="1"/>
  <c r="L98" i="11" l="1"/>
  <c r="M98" i="11" s="1"/>
  <c r="N98" i="11" s="1"/>
  <c r="C108" i="12"/>
  <c r="D108" i="12" s="1"/>
  <c r="E108" i="12" s="1"/>
  <c r="C100" i="11"/>
  <c r="D100" i="11" s="1"/>
  <c r="E100" i="11" s="1"/>
  <c r="K117" i="12"/>
  <c r="J117" i="12" s="1"/>
  <c r="O117" i="12" s="1"/>
  <c r="M117" i="12"/>
  <c r="C101" i="11" l="1"/>
  <c r="D101" i="11" s="1"/>
  <c r="E101" i="11"/>
  <c r="C109" i="12"/>
  <c r="D109" i="12" s="1"/>
  <c r="E109" i="12" s="1"/>
  <c r="L99" i="11"/>
  <c r="M99" i="11" s="1"/>
  <c r="N99" i="11" s="1"/>
  <c r="M118" i="12"/>
  <c r="K118" i="12"/>
  <c r="J118" i="12" s="1"/>
  <c r="O118" i="12" s="1"/>
  <c r="L100" i="11" l="1"/>
  <c r="M100" i="11" s="1"/>
  <c r="N100" i="11" s="1"/>
  <c r="C110" i="12"/>
  <c r="D110" i="12" s="1"/>
  <c r="E110" i="12" s="1"/>
  <c r="C102" i="11"/>
  <c r="D102" i="11" s="1"/>
  <c r="E102" i="11"/>
  <c r="M119" i="12"/>
  <c r="K119" i="12"/>
  <c r="J119" i="12" s="1"/>
  <c r="O119" i="12" s="1"/>
  <c r="C111" i="12" l="1"/>
  <c r="D111" i="12" s="1"/>
  <c r="E111" i="12" s="1"/>
  <c r="C103" i="11"/>
  <c r="D103" i="11" s="1"/>
  <c r="E103" i="11" s="1"/>
  <c r="L101" i="11"/>
  <c r="M101" i="11" s="1"/>
  <c r="N101" i="11" s="1"/>
  <c r="K120" i="12"/>
  <c r="J120" i="12" s="1"/>
  <c r="O120" i="12" s="1"/>
  <c r="M120" i="12"/>
  <c r="C104" i="11" l="1"/>
  <c r="D104" i="11" s="1"/>
  <c r="E104" i="11"/>
  <c r="L102" i="11"/>
  <c r="M102" i="11" s="1"/>
  <c r="N102" i="11" s="1"/>
  <c r="C112" i="12"/>
  <c r="D112" i="12" s="1"/>
  <c r="E112" i="12" s="1"/>
  <c r="M121" i="12"/>
  <c r="K121" i="12"/>
  <c r="J121" i="12" s="1"/>
  <c r="O121" i="12" s="1"/>
  <c r="C113" i="12" l="1"/>
  <c r="D113" i="12" s="1"/>
  <c r="E113" i="12" s="1"/>
  <c r="L103" i="11"/>
  <c r="M103" i="11" s="1"/>
  <c r="N103" i="11"/>
  <c r="C105" i="11"/>
  <c r="D105" i="11" s="1"/>
  <c r="E105" i="11" s="1"/>
  <c r="M122" i="12"/>
  <c r="K122" i="12"/>
  <c r="J122" i="12" s="1"/>
  <c r="O122" i="12" s="1"/>
  <c r="C106" i="11" l="1"/>
  <c r="D106" i="11" s="1"/>
  <c r="E106" i="11" s="1"/>
  <c r="C114" i="12"/>
  <c r="D114" i="12" s="1"/>
  <c r="E114" i="12" s="1"/>
  <c r="L104" i="11"/>
  <c r="M104" i="11" s="1"/>
  <c r="N104" i="11" s="1"/>
  <c r="K123" i="12"/>
  <c r="J123" i="12" s="1"/>
  <c r="O123" i="12" s="1"/>
  <c r="M123" i="12"/>
  <c r="L105" i="11" l="1"/>
  <c r="M105" i="11" s="1"/>
  <c r="N105" i="11" s="1"/>
  <c r="C115" i="12"/>
  <c r="D115" i="12" s="1"/>
  <c r="E115" i="12" s="1"/>
  <c r="C107" i="11"/>
  <c r="D107" i="11" s="1"/>
  <c r="E107" i="11"/>
  <c r="M124" i="12"/>
  <c r="K124" i="12"/>
  <c r="J124" i="12" s="1"/>
  <c r="O124" i="12" s="1"/>
  <c r="C116" i="12" l="1"/>
  <c r="D116" i="12" s="1"/>
  <c r="E116" i="12" s="1"/>
  <c r="L106" i="11"/>
  <c r="M106" i="11" s="1"/>
  <c r="N106" i="11" s="1"/>
  <c r="C108" i="11"/>
  <c r="D108" i="11" s="1"/>
  <c r="E108" i="11"/>
  <c r="M125" i="12"/>
  <c r="K125" i="12"/>
  <c r="J125" i="12" s="1"/>
  <c r="O125" i="12" s="1"/>
  <c r="L107" i="11" l="1"/>
  <c r="M107" i="11" s="1"/>
  <c r="N107" i="11" s="1"/>
  <c r="C117" i="12"/>
  <c r="D117" i="12" s="1"/>
  <c r="E117" i="12" s="1"/>
  <c r="C109" i="11"/>
  <c r="D109" i="11" s="1"/>
  <c r="E109" i="11" s="1"/>
  <c r="K126" i="12"/>
  <c r="J126" i="12" s="1"/>
  <c r="O126" i="12" s="1"/>
  <c r="M126" i="12"/>
  <c r="C110" i="11" l="1"/>
  <c r="D110" i="11" s="1"/>
  <c r="E110" i="11"/>
  <c r="C118" i="12"/>
  <c r="D118" i="12" s="1"/>
  <c r="E118" i="12" s="1"/>
  <c r="L108" i="11"/>
  <c r="M108" i="11" s="1"/>
  <c r="N108" i="11" s="1"/>
  <c r="M127" i="12"/>
  <c r="K127" i="12"/>
  <c r="J127" i="12" s="1"/>
  <c r="O127" i="12" s="1"/>
  <c r="L109" i="11" l="1"/>
  <c r="M109" i="11" s="1"/>
  <c r="N109" i="11" s="1"/>
  <c r="C119" i="12"/>
  <c r="D119" i="12" s="1"/>
  <c r="E119" i="12" s="1"/>
  <c r="C111" i="11"/>
  <c r="D111" i="11" s="1"/>
  <c r="E111" i="11" s="1"/>
  <c r="M128" i="12"/>
  <c r="K128" i="12"/>
  <c r="J128" i="12" s="1"/>
  <c r="O128" i="12" s="1"/>
  <c r="E112" i="11" l="1"/>
  <c r="C112" i="11"/>
  <c r="D112" i="11" s="1"/>
  <c r="C120" i="12"/>
  <c r="D120" i="12" s="1"/>
  <c r="E120" i="12" s="1"/>
  <c r="L110" i="11"/>
  <c r="M110" i="11" s="1"/>
  <c r="N110" i="11" s="1"/>
  <c r="M129" i="12"/>
  <c r="K129" i="12"/>
  <c r="J129" i="12" s="1"/>
  <c r="O129" i="12" s="1"/>
  <c r="L111" i="11" l="1"/>
  <c r="M111" i="11" s="1"/>
  <c r="N111" i="11" s="1"/>
  <c r="C121" i="12"/>
  <c r="D121" i="12" s="1"/>
  <c r="E121" i="12" s="1"/>
  <c r="M130" i="12"/>
  <c r="K130" i="12"/>
  <c r="J130" i="12" s="1"/>
  <c r="O130" i="12" s="1"/>
  <c r="C113" i="11"/>
  <c r="D113" i="11" s="1"/>
  <c r="E113" i="11" s="1"/>
  <c r="C114" i="11" l="1"/>
  <c r="D114" i="11" s="1"/>
  <c r="E114" i="11"/>
  <c r="C122" i="12"/>
  <c r="D122" i="12" s="1"/>
  <c r="E122" i="12" s="1"/>
  <c r="L112" i="11"/>
  <c r="M112" i="11" s="1"/>
  <c r="N112" i="11" s="1"/>
  <c r="M131" i="12"/>
  <c r="K131" i="12"/>
  <c r="J131" i="12" s="1"/>
  <c r="O131" i="12" s="1"/>
  <c r="C123" i="12" l="1"/>
  <c r="D123" i="12" s="1"/>
  <c r="E123" i="12" s="1"/>
  <c r="L113" i="11"/>
  <c r="M113" i="11" s="1"/>
  <c r="N113" i="11" s="1"/>
  <c r="C115" i="11"/>
  <c r="D115" i="11" s="1"/>
  <c r="E115" i="11" s="1"/>
  <c r="M132" i="12"/>
  <c r="K132" i="12"/>
  <c r="J132" i="12" s="1"/>
  <c r="O132" i="12" s="1"/>
  <c r="C116" i="11" l="1"/>
  <c r="D116" i="11" s="1"/>
  <c r="E116" i="11" s="1"/>
  <c r="E124" i="12"/>
  <c r="C124" i="12"/>
  <c r="D124" i="12" s="1"/>
  <c r="L114" i="11"/>
  <c r="M114" i="11" s="1"/>
  <c r="N114" i="11" s="1"/>
  <c r="M133" i="12"/>
  <c r="K133" i="12"/>
  <c r="J133" i="12" s="1"/>
  <c r="O133" i="12" s="1"/>
  <c r="C117" i="11" l="1"/>
  <c r="D117" i="11" s="1"/>
  <c r="E117" i="11" s="1"/>
  <c r="K134" i="12"/>
  <c r="J134" i="12" s="1"/>
  <c r="O134" i="12" s="1"/>
  <c r="M134" i="12"/>
  <c r="L115" i="11"/>
  <c r="M115" i="11" s="1"/>
  <c r="N115" i="11" s="1"/>
  <c r="C125" i="12"/>
  <c r="D125" i="12" s="1"/>
  <c r="E125" i="12" s="1"/>
  <c r="C126" i="12" l="1"/>
  <c r="D126" i="12" s="1"/>
  <c r="E126" i="12" s="1"/>
  <c r="C118" i="11"/>
  <c r="D118" i="11" s="1"/>
  <c r="E118" i="11" s="1"/>
  <c r="L116" i="11"/>
  <c r="M116" i="11" s="1"/>
  <c r="N116" i="11" s="1"/>
  <c r="K135" i="12"/>
  <c r="J135" i="12" s="1"/>
  <c r="O135" i="12" s="1"/>
  <c r="M135" i="12"/>
  <c r="L117" i="11" l="1"/>
  <c r="M117" i="11" s="1"/>
  <c r="N117" i="11" s="1"/>
  <c r="C119" i="11"/>
  <c r="D119" i="11" s="1"/>
  <c r="E119" i="11" s="1"/>
  <c r="C127" i="12"/>
  <c r="D127" i="12" s="1"/>
  <c r="E127" i="12" s="1"/>
  <c r="M136" i="12"/>
  <c r="K136" i="12"/>
  <c r="J136" i="12" s="1"/>
  <c r="O136" i="12" s="1"/>
  <c r="C128" i="12" l="1"/>
  <c r="D128" i="12" s="1"/>
  <c r="E128" i="12" s="1"/>
  <c r="E120" i="11"/>
  <c r="C120" i="11"/>
  <c r="D120" i="11" s="1"/>
  <c r="L118" i="11"/>
  <c r="M118" i="11" s="1"/>
  <c r="N118" i="11" s="1"/>
  <c r="M137" i="12"/>
  <c r="K137" i="12"/>
  <c r="J137" i="12" s="1"/>
  <c r="O137" i="12" s="1"/>
  <c r="C129" i="12" l="1"/>
  <c r="D129" i="12" s="1"/>
  <c r="E129" i="12"/>
  <c r="L119" i="11"/>
  <c r="M119" i="11" s="1"/>
  <c r="N119" i="11" s="1"/>
  <c r="C121" i="11"/>
  <c r="D121" i="11" s="1"/>
  <c r="E121" i="11" s="1"/>
  <c r="M138" i="12"/>
  <c r="K138" i="12"/>
  <c r="J138" i="12" s="1"/>
  <c r="O138" i="12" s="1"/>
  <c r="C122" i="11" l="1"/>
  <c r="D122" i="11" s="1"/>
  <c r="E122" i="11" s="1"/>
  <c r="L120" i="11"/>
  <c r="M120" i="11" s="1"/>
  <c r="N120" i="11" s="1"/>
  <c r="C130" i="12"/>
  <c r="D130" i="12" s="1"/>
  <c r="E130" i="12" s="1"/>
  <c r="M139" i="12"/>
  <c r="K139" i="12"/>
  <c r="J139" i="12" s="1"/>
  <c r="O139" i="12" s="1"/>
  <c r="C131" i="12" l="1"/>
  <c r="D131" i="12" s="1"/>
  <c r="E131" i="12" s="1"/>
  <c r="L121" i="11"/>
  <c r="M121" i="11" s="1"/>
  <c r="N121" i="11" s="1"/>
  <c r="C123" i="11"/>
  <c r="D123" i="11" s="1"/>
  <c r="E123" i="11" s="1"/>
  <c r="M140" i="12"/>
  <c r="K140" i="12"/>
  <c r="J140" i="12" s="1"/>
  <c r="O140" i="12" s="1"/>
  <c r="C124" i="11" l="1"/>
  <c r="D124" i="11" s="1"/>
  <c r="E124" i="11" s="1"/>
  <c r="L122" i="11"/>
  <c r="M122" i="11" s="1"/>
  <c r="N122" i="11" s="1"/>
  <c r="C132" i="12"/>
  <c r="D132" i="12" s="1"/>
  <c r="E132" i="12"/>
  <c r="M141" i="12"/>
  <c r="K141" i="12"/>
  <c r="J141" i="12" s="1"/>
  <c r="O141" i="12" s="1"/>
  <c r="C125" i="11" l="1"/>
  <c r="D125" i="11" s="1"/>
  <c r="E125" i="11" s="1"/>
  <c r="C133" i="12"/>
  <c r="D133" i="12" s="1"/>
  <c r="E133" i="12" s="1"/>
  <c r="L123" i="11"/>
  <c r="M123" i="11" s="1"/>
  <c r="N123" i="11" s="1"/>
  <c r="M142" i="12"/>
  <c r="K142" i="12"/>
  <c r="J142" i="12" s="1"/>
  <c r="O142" i="12" s="1"/>
  <c r="L124" i="11" l="1"/>
  <c r="M124" i="11" s="1"/>
  <c r="N124" i="11" s="1"/>
  <c r="E134" i="12"/>
  <c r="C134" i="12"/>
  <c r="D134" i="12" s="1"/>
  <c r="C126" i="11"/>
  <c r="D126" i="11" s="1"/>
  <c r="E126" i="11"/>
  <c r="K143" i="12"/>
  <c r="J143" i="12" s="1"/>
  <c r="O143" i="12" s="1"/>
  <c r="M143" i="12"/>
  <c r="L125" i="11" l="1"/>
  <c r="M125" i="11" s="1"/>
  <c r="N125" i="11" s="1"/>
  <c r="C135" i="12"/>
  <c r="D135" i="12" s="1"/>
  <c r="E135" i="12" s="1"/>
  <c r="C127" i="11"/>
  <c r="D127" i="11" s="1"/>
  <c r="E127" i="11" s="1"/>
  <c r="K144" i="12"/>
  <c r="J144" i="12" s="1"/>
  <c r="O144" i="12" s="1"/>
  <c r="M144" i="12"/>
  <c r="C128" i="11" l="1"/>
  <c r="D128" i="11" s="1"/>
  <c r="E128" i="11" s="1"/>
  <c r="C136" i="12"/>
  <c r="D136" i="12" s="1"/>
  <c r="E136" i="12" s="1"/>
  <c r="L126" i="11"/>
  <c r="M126" i="11" s="1"/>
  <c r="N126" i="11" s="1"/>
  <c r="M145" i="12"/>
  <c r="K145" i="12"/>
  <c r="J145" i="12" s="1"/>
  <c r="O145" i="12" s="1"/>
  <c r="L127" i="11" l="1"/>
  <c r="M127" i="11" s="1"/>
  <c r="N127" i="11" s="1"/>
  <c r="E137" i="12"/>
  <c r="C137" i="12"/>
  <c r="D137" i="12" s="1"/>
  <c r="C129" i="11"/>
  <c r="D129" i="11" s="1"/>
  <c r="E129" i="11"/>
  <c r="M146" i="12"/>
  <c r="K146" i="12"/>
  <c r="J146" i="12" s="1"/>
  <c r="O146" i="12" s="1"/>
  <c r="L128" i="11" l="1"/>
  <c r="M128" i="11" s="1"/>
  <c r="N128" i="11" s="1"/>
  <c r="M147" i="12"/>
  <c r="K147" i="12"/>
  <c r="J147" i="12" s="1"/>
  <c r="O147" i="12" s="1"/>
  <c r="C130" i="11"/>
  <c r="D130" i="11" s="1"/>
  <c r="E130" i="11" s="1"/>
  <c r="C138" i="12"/>
  <c r="D138" i="12" s="1"/>
  <c r="E138" i="12"/>
  <c r="C131" i="11" l="1"/>
  <c r="D131" i="11" s="1"/>
  <c r="E131" i="11" s="1"/>
  <c r="M148" i="12"/>
  <c r="K148" i="12"/>
  <c r="J148" i="12" s="1"/>
  <c r="O148" i="12" s="1"/>
  <c r="C139" i="12"/>
  <c r="D139" i="12" s="1"/>
  <c r="E139" i="12" s="1"/>
  <c r="L129" i="11"/>
  <c r="M129" i="11" s="1"/>
  <c r="N129" i="11" s="1"/>
  <c r="C140" i="12" l="1"/>
  <c r="D140" i="12" s="1"/>
  <c r="E140" i="12" s="1"/>
  <c r="L130" i="11"/>
  <c r="M130" i="11" s="1"/>
  <c r="N130" i="11" s="1"/>
  <c r="C132" i="11"/>
  <c r="D132" i="11" s="1"/>
  <c r="E132" i="11" s="1"/>
  <c r="M149" i="12"/>
  <c r="K149" i="12"/>
  <c r="J149" i="12" s="1"/>
  <c r="O149" i="12" s="1"/>
  <c r="C133" i="11" l="1"/>
  <c r="D133" i="11" s="1"/>
  <c r="E133" i="11"/>
  <c r="L131" i="11"/>
  <c r="M131" i="11" s="1"/>
  <c r="N131" i="11" s="1"/>
  <c r="C141" i="12"/>
  <c r="D141" i="12" s="1"/>
  <c r="E141" i="12"/>
  <c r="M150" i="12"/>
  <c r="K150" i="12"/>
  <c r="J150" i="12" s="1"/>
  <c r="O150" i="12" s="1"/>
  <c r="C142" i="12" l="1"/>
  <c r="D142" i="12" s="1"/>
  <c r="E142" i="12"/>
  <c r="L132" i="11"/>
  <c r="M132" i="11" s="1"/>
  <c r="N132" i="11" s="1"/>
  <c r="C134" i="11"/>
  <c r="D134" i="11" s="1"/>
  <c r="E134" i="11" s="1"/>
  <c r="M151" i="12"/>
  <c r="K151" i="12"/>
  <c r="J151" i="12" s="1"/>
  <c r="O151" i="12" s="1"/>
  <c r="C135" i="11" l="1"/>
  <c r="D135" i="11" s="1"/>
  <c r="E135" i="11" s="1"/>
  <c r="L133" i="11"/>
  <c r="M133" i="11" s="1"/>
  <c r="N133" i="11" s="1"/>
  <c r="C143" i="12"/>
  <c r="D143" i="12" s="1"/>
  <c r="E143" i="12" s="1"/>
  <c r="K152" i="12"/>
  <c r="J152" i="12" s="1"/>
  <c r="O152" i="12" s="1"/>
  <c r="M152" i="12"/>
  <c r="C144" i="12" l="1"/>
  <c r="D144" i="12" s="1"/>
  <c r="E144" i="12"/>
  <c r="L134" i="11"/>
  <c r="M134" i="11" s="1"/>
  <c r="N134" i="11" s="1"/>
  <c r="L135" i="11" s="1"/>
  <c r="C136" i="11"/>
  <c r="D136" i="11" s="1"/>
  <c r="E136" i="11" s="1"/>
  <c r="K153" i="12"/>
  <c r="J153" i="12" s="1"/>
  <c r="O153" i="12" s="1"/>
  <c r="M153" i="12"/>
  <c r="C137" i="11" l="1"/>
  <c r="D137" i="11" s="1"/>
  <c r="E137" i="11" s="1"/>
  <c r="Q134" i="11"/>
  <c r="Q144" i="11" s="1"/>
  <c r="K154" i="12"/>
  <c r="J154" i="12" s="1"/>
  <c r="O154" i="12" s="1"/>
  <c r="M154" i="12"/>
  <c r="C145" i="12"/>
  <c r="D145" i="12" s="1"/>
  <c r="E145" i="12"/>
  <c r="C138" i="11" l="1"/>
  <c r="D138" i="11" s="1"/>
  <c r="E138" i="11" s="1"/>
  <c r="P56" i="15"/>
  <c r="K385" i="11"/>
  <c r="K382" i="11"/>
  <c r="K379" i="11"/>
  <c r="K376" i="11"/>
  <c r="K373" i="11"/>
  <c r="K370" i="11"/>
  <c r="K367" i="11"/>
  <c r="K364" i="11"/>
  <c r="K361" i="11"/>
  <c r="K383" i="11"/>
  <c r="K380" i="11"/>
  <c r="K377" i="11"/>
  <c r="K374" i="11"/>
  <c r="K371" i="11"/>
  <c r="K368" i="11"/>
  <c r="K365" i="11"/>
  <c r="K363" i="11"/>
  <c r="K349" i="11"/>
  <c r="K346" i="11"/>
  <c r="K343" i="11"/>
  <c r="K340" i="11"/>
  <c r="K337" i="11"/>
  <c r="K334" i="11"/>
  <c r="K331" i="11"/>
  <c r="K359" i="11"/>
  <c r="K356" i="11"/>
  <c r="K353" i="11"/>
  <c r="K362" i="11"/>
  <c r="K348" i="11"/>
  <c r="K338" i="11"/>
  <c r="K329" i="11"/>
  <c r="K326" i="11"/>
  <c r="K323" i="11"/>
  <c r="K320" i="11"/>
  <c r="K317" i="11"/>
  <c r="K314" i="11"/>
  <c r="K311" i="11"/>
  <c r="K308" i="11"/>
  <c r="K305" i="11"/>
  <c r="K302" i="11"/>
  <c r="K299" i="11"/>
  <c r="K296" i="11"/>
  <c r="K293" i="11"/>
  <c r="K290" i="11"/>
  <c r="K287" i="11"/>
  <c r="K284" i="11"/>
  <c r="K281" i="11"/>
  <c r="K278" i="11"/>
  <c r="K275" i="11"/>
  <c r="K272" i="11"/>
  <c r="K269" i="11"/>
  <c r="K266" i="11"/>
  <c r="K263" i="11"/>
  <c r="K260" i="11"/>
  <c r="K257" i="11"/>
  <c r="K254" i="11"/>
  <c r="K251" i="11"/>
  <c r="K248" i="11"/>
  <c r="K245" i="11"/>
  <c r="K242" i="11"/>
  <c r="K239" i="11"/>
  <c r="K236" i="11"/>
  <c r="K233" i="11"/>
  <c r="K230" i="11"/>
  <c r="K227" i="11"/>
  <c r="K224" i="11"/>
  <c r="K221" i="11"/>
  <c r="K218" i="11"/>
  <c r="K215" i="11"/>
  <c r="K212" i="11"/>
  <c r="K209" i="11"/>
  <c r="K206" i="11"/>
  <c r="K203" i="11"/>
  <c r="K200" i="11"/>
  <c r="K197" i="11"/>
  <c r="K194" i="11"/>
  <c r="K191" i="11"/>
  <c r="K188" i="11"/>
  <c r="K185" i="11"/>
  <c r="K182" i="11"/>
  <c r="K179" i="11"/>
  <c r="K176" i="11"/>
  <c r="K173" i="11"/>
  <c r="K170" i="11"/>
  <c r="K167" i="11"/>
  <c r="K164" i="11"/>
  <c r="K161" i="11"/>
  <c r="K158" i="11"/>
  <c r="K155" i="11"/>
  <c r="K152" i="11"/>
  <c r="K149" i="11"/>
  <c r="K146" i="11"/>
  <c r="K139" i="11"/>
  <c r="K336" i="11"/>
  <c r="K366" i="11"/>
  <c r="K350" i="11"/>
  <c r="K342" i="11"/>
  <c r="K333" i="11"/>
  <c r="K358" i="11"/>
  <c r="K355" i="11"/>
  <c r="K352" i="11"/>
  <c r="K347" i="11"/>
  <c r="K341" i="11"/>
  <c r="K332" i="11"/>
  <c r="K327" i="11"/>
  <c r="K324" i="11"/>
  <c r="K321" i="11"/>
  <c r="K318" i="11"/>
  <c r="K315" i="11"/>
  <c r="K312" i="11"/>
  <c r="K309" i="11"/>
  <c r="K369" i="11"/>
  <c r="K357" i="11"/>
  <c r="K268" i="11"/>
  <c r="K259" i="11"/>
  <c r="K250" i="11"/>
  <c r="K241" i="11"/>
  <c r="K232" i="11"/>
  <c r="K223" i="11"/>
  <c r="K214" i="11"/>
  <c r="K205" i="11"/>
  <c r="K378" i="11"/>
  <c r="K344" i="11"/>
  <c r="K328" i="11"/>
  <c r="K319" i="11"/>
  <c r="K310" i="11"/>
  <c r="K273" i="11"/>
  <c r="K264" i="11"/>
  <c r="K255" i="11"/>
  <c r="K246" i="11"/>
  <c r="K237" i="11"/>
  <c r="K228" i="11"/>
  <c r="K219" i="11"/>
  <c r="K210" i="11"/>
  <c r="K201" i="11"/>
  <c r="K192" i="11"/>
  <c r="K183" i="11"/>
  <c r="K174" i="11"/>
  <c r="K375" i="11"/>
  <c r="K360" i="11"/>
  <c r="K351" i="11"/>
  <c r="K330" i="11"/>
  <c r="K274" i="11"/>
  <c r="K265" i="11"/>
  <c r="K256" i="11"/>
  <c r="K247" i="11"/>
  <c r="K238" i="11"/>
  <c r="K229" i="11"/>
  <c r="K220" i="11"/>
  <c r="K211" i="11"/>
  <c r="K202" i="11"/>
  <c r="K193" i="11"/>
  <c r="K184" i="11"/>
  <c r="K175" i="11"/>
  <c r="K372" i="11"/>
  <c r="K335" i="11"/>
  <c r="K325" i="11"/>
  <c r="K316" i="11"/>
  <c r="K306" i="11"/>
  <c r="K303" i="11"/>
  <c r="K300" i="11"/>
  <c r="K297" i="11"/>
  <c r="K294" i="11"/>
  <c r="K291" i="11"/>
  <c r="K288" i="11"/>
  <c r="K285" i="11"/>
  <c r="K282" i="11"/>
  <c r="K279" i="11"/>
  <c r="K276" i="11"/>
  <c r="K267" i="11"/>
  <c r="K258" i="11"/>
  <c r="K249" i="11"/>
  <c r="K240" i="11"/>
  <c r="K231" i="11"/>
  <c r="K222" i="11"/>
  <c r="K213" i="11"/>
  <c r="K204" i="11"/>
  <c r="K195" i="11"/>
  <c r="K186" i="11"/>
  <c r="K177" i="11"/>
  <c r="K168" i="11"/>
  <c r="K159" i="11"/>
  <c r="K150" i="11"/>
  <c r="K345" i="11"/>
  <c r="K322" i="11"/>
  <c r="K304" i="11"/>
  <c r="K295" i="11"/>
  <c r="K286" i="11"/>
  <c r="K277" i="11"/>
  <c r="K270" i="11"/>
  <c r="K243" i="11"/>
  <c r="K216" i="11"/>
  <c r="K162" i="11"/>
  <c r="K154" i="11"/>
  <c r="K142" i="11"/>
  <c r="K141" i="11"/>
  <c r="K140" i="11"/>
  <c r="K253" i="11"/>
  <c r="K226" i="11"/>
  <c r="K166" i="11"/>
  <c r="K151" i="11"/>
  <c r="K147" i="11"/>
  <c r="K143" i="11"/>
  <c r="K313" i="11"/>
  <c r="K298" i="11"/>
  <c r="K289" i="11"/>
  <c r="K280" i="11"/>
  <c r="K225" i="11"/>
  <c r="K163" i="11"/>
  <c r="K307" i="11"/>
  <c r="K252" i="11"/>
  <c r="K354" i="11"/>
  <c r="K262" i="11"/>
  <c r="K235" i="11"/>
  <c r="K208" i="11"/>
  <c r="K199" i="11"/>
  <c r="K190" i="11"/>
  <c r="K181" i="11"/>
  <c r="K172" i="11"/>
  <c r="K160" i="11"/>
  <c r="K156" i="11"/>
  <c r="K148" i="11"/>
  <c r="K144" i="11"/>
  <c r="K384" i="11"/>
  <c r="K301" i="11"/>
  <c r="K292" i="11"/>
  <c r="K283" i="11"/>
  <c r="K261" i="11"/>
  <c r="K234" i="11"/>
  <c r="K207" i="11"/>
  <c r="K196" i="11"/>
  <c r="K187" i="11"/>
  <c r="K178" i="11"/>
  <c r="K153" i="11"/>
  <c r="K145" i="11"/>
  <c r="K381" i="11"/>
  <c r="K339" i="11"/>
  <c r="K271" i="11"/>
  <c r="K244" i="11"/>
  <c r="K217" i="11"/>
  <c r="K198" i="11"/>
  <c r="K189" i="11"/>
  <c r="K180" i="11"/>
  <c r="K171" i="11"/>
  <c r="K169" i="11"/>
  <c r="K165" i="11"/>
  <c r="K157" i="11"/>
  <c r="K138" i="11"/>
  <c r="K137" i="11"/>
  <c r="K136" i="11"/>
  <c r="K135" i="11"/>
  <c r="C146" i="12"/>
  <c r="D146" i="12" s="1"/>
  <c r="E146" i="12" s="1"/>
  <c r="M155" i="12"/>
  <c r="K155" i="12"/>
  <c r="J155" i="12" s="1"/>
  <c r="O155" i="12" s="1"/>
  <c r="C147" i="12" l="1"/>
  <c r="D147" i="12" s="1"/>
  <c r="E147" i="12"/>
  <c r="C139" i="11"/>
  <c r="D139" i="11" s="1"/>
  <c r="E139" i="11" s="1"/>
  <c r="M156" i="12"/>
  <c r="K156" i="12"/>
  <c r="J156" i="12" s="1"/>
  <c r="O156" i="12" s="1"/>
  <c r="M135" i="11"/>
  <c r="N135" i="11" s="1"/>
  <c r="C140" i="11" l="1"/>
  <c r="D140" i="11" s="1"/>
  <c r="E140" i="11" s="1"/>
  <c r="M157" i="12"/>
  <c r="K157" i="12"/>
  <c r="J157" i="12" s="1"/>
  <c r="O157" i="12" s="1"/>
  <c r="C148" i="12"/>
  <c r="D148" i="12" s="1"/>
  <c r="E148" i="12" s="1"/>
  <c r="L136" i="11"/>
  <c r="M136" i="11" s="1"/>
  <c r="N136" i="11" s="1"/>
  <c r="L137" i="11" l="1"/>
  <c r="M137" i="11" s="1"/>
  <c r="N137" i="11" s="1"/>
  <c r="C149" i="12"/>
  <c r="D149" i="12" s="1"/>
  <c r="E149" i="12" s="1"/>
  <c r="C141" i="11"/>
  <c r="D141" i="11" s="1"/>
  <c r="E141" i="11" s="1"/>
  <c r="M158" i="12"/>
  <c r="K158" i="12"/>
  <c r="J158" i="12" s="1"/>
  <c r="O158" i="12" s="1"/>
  <c r="C142" i="11" l="1"/>
  <c r="D142" i="11" s="1"/>
  <c r="E142" i="11" s="1"/>
  <c r="C150" i="12"/>
  <c r="D150" i="12" s="1"/>
  <c r="E150" i="12" s="1"/>
  <c r="L138" i="11"/>
  <c r="M138" i="11" s="1"/>
  <c r="N138" i="11" s="1"/>
  <c r="M159" i="12"/>
  <c r="K159" i="12"/>
  <c r="J159" i="12" s="1"/>
  <c r="O159" i="12" s="1"/>
  <c r="L139" i="11" l="1"/>
  <c r="M139" i="11" s="1"/>
  <c r="N139" i="11" s="1"/>
  <c r="C151" i="12"/>
  <c r="D151" i="12" s="1"/>
  <c r="E151" i="12" s="1"/>
  <c r="C143" i="11"/>
  <c r="D143" i="11" s="1"/>
  <c r="E143" i="11" s="1"/>
  <c r="M160" i="12"/>
  <c r="K160" i="12"/>
  <c r="J160" i="12" s="1"/>
  <c r="O160" i="12" s="1"/>
  <c r="C144" i="11" l="1"/>
  <c r="D144" i="11" s="1"/>
  <c r="E144" i="11" s="1"/>
  <c r="C152" i="12"/>
  <c r="D152" i="12" s="1"/>
  <c r="E152" i="12" s="1"/>
  <c r="L140" i="11"/>
  <c r="M140" i="11" s="1"/>
  <c r="N140" i="11" s="1"/>
  <c r="K161" i="12"/>
  <c r="J161" i="12" s="1"/>
  <c r="O161" i="12" s="1"/>
  <c r="M161" i="12"/>
  <c r="L141" i="11" l="1"/>
  <c r="M141" i="11" s="1"/>
  <c r="N141" i="11"/>
  <c r="C153" i="12"/>
  <c r="D153" i="12" s="1"/>
  <c r="E153" i="12" s="1"/>
  <c r="C145" i="11"/>
  <c r="D145" i="11" s="1"/>
  <c r="E145" i="11" s="1"/>
  <c r="K162" i="12"/>
  <c r="J162" i="12" s="1"/>
  <c r="O162" i="12" s="1"/>
  <c r="M162" i="12"/>
  <c r="C154" i="12" l="1"/>
  <c r="D154" i="12" s="1"/>
  <c r="E154" i="12" s="1"/>
  <c r="C146" i="11"/>
  <c r="D146" i="11" s="1"/>
  <c r="E146" i="11" s="1"/>
  <c r="M163" i="12"/>
  <c r="K163" i="12"/>
  <c r="J163" i="12" s="1"/>
  <c r="O163" i="12" s="1"/>
  <c r="L142" i="11"/>
  <c r="M142" i="11" s="1"/>
  <c r="N142" i="11" s="1"/>
  <c r="C147" i="11" l="1"/>
  <c r="D147" i="11" s="1"/>
  <c r="E147" i="11"/>
  <c r="L143" i="11"/>
  <c r="M143" i="11" s="1"/>
  <c r="N143" i="11" s="1"/>
  <c r="C155" i="12"/>
  <c r="D155" i="12" s="1"/>
  <c r="E155" i="12" s="1"/>
  <c r="M164" i="12"/>
  <c r="K164" i="12"/>
  <c r="J164" i="12" s="1"/>
  <c r="O164" i="12" s="1"/>
  <c r="C156" i="12" l="1"/>
  <c r="D156" i="12" s="1"/>
  <c r="E156" i="12"/>
  <c r="L144" i="11"/>
  <c r="M144" i="11" s="1"/>
  <c r="N144" i="11" s="1"/>
  <c r="C148" i="11"/>
  <c r="D148" i="11" s="1"/>
  <c r="E148" i="11" s="1"/>
  <c r="M165" i="12"/>
  <c r="K165" i="12"/>
  <c r="J165" i="12" s="1"/>
  <c r="O165" i="12" s="1"/>
  <c r="C149" i="11" l="1"/>
  <c r="D149" i="11" s="1"/>
  <c r="E149" i="11"/>
  <c r="L145" i="11"/>
  <c r="M145" i="11" s="1"/>
  <c r="N145" i="11" s="1"/>
  <c r="C157" i="12"/>
  <c r="D157" i="12" s="1"/>
  <c r="E157" i="12"/>
  <c r="M166" i="12"/>
  <c r="K166" i="12"/>
  <c r="J166" i="12" s="1"/>
  <c r="O166" i="12" s="1"/>
  <c r="L146" i="11" l="1"/>
  <c r="M146" i="11" s="1"/>
  <c r="N146" i="11" s="1"/>
  <c r="C158" i="12"/>
  <c r="D158" i="12" s="1"/>
  <c r="E158" i="12" s="1"/>
  <c r="C150" i="11"/>
  <c r="D150" i="11" s="1"/>
  <c r="E150" i="11" s="1"/>
  <c r="K167" i="12"/>
  <c r="J167" i="12" s="1"/>
  <c r="O167" i="12" s="1"/>
  <c r="M167" i="12"/>
  <c r="C151" i="11" l="1"/>
  <c r="D151" i="11" s="1"/>
  <c r="E151" i="11" s="1"/>
  <c r="C159" i="12"/>
  <c r="D159" i="12" s="1"/>
  <c r="E159" i="12" s="1"/>
  <c r="L147" i="11"/>
  <c r="M147" i="11" s="1"/>
  <c r="N147" i="11" s="1"/>
  <c r="M168" i="12"/>
  <c r="K168" i="12"/>
  <c r="J168" i="12" s="1"/>
  <c r="O168" i="12" s="1"/>
  <c r="L148" i="11" l="1"/>
  <c r="M148" i="11" s="1"/>
  <c r="N148" i="11" s="1"/>
  <c r="C160" i="12"/>
  <c r="D160" i="12" s="1"/>
  <c r="E160" i="12" s="1"/>
  <c r="C152" i="11"/>
  <c r="D152" i="11" s="1"/>
  <c r="E152" i="11" s="1"/>
  <c r="M169" i="12"/>
  <c r="K169" i="12"/>
  <c r="J169" i="12" s="1"/>
  <c r="O169" i="12" s="1"/>
  <c r="C153" i="11" l="1"/>
  <c r="D153" i="11" s="1"/>
  <c r="E153" i="11"/>
  <c r="C161" i="12"/>
  <c r="D161" i="12" s="1"/>
  <c r="E161" i="12" s="1"/>
  <c r="L149" i="11"/>
  <c r="M149" i="11" s="1"/>
  <c r="N149" i="11" s="1"/>
  <c r="K170" i="12"/>
  <c r="J170" i="12" s="1"/>
  <c r="O170" i="12" s="1"/>
  <c r="M170" i="12"/>
  <c r="L150" i="11" l="1"/>
  <c r="M150" i="11" s="1"/>
  <c r="N150" i="11" s="1"/>
  <c r="C162" i="12"/>
  <c r="D162" i="12" s="1"/>
  <c r="E162" i="12" s="1"/>
  <c r="M171" i="12"/>
  <c r="K171" i="12"/>
  <c r="J171" i="12" s="1"/>
  <c r="O171" i="12" s="1"/>
  <c r="C154" i="11"/>
  <c r="D154" i="11" s="1"/>
  <c r="E154" i="11" s="1"/>
  <c r="C155" i="11" l="1"/>
  <c r="D155" i="11" s="1"/>
  <c r="E155" i="11"/>
  <c r="C163" i="12"/>
  <c r="D163" i="12" s="1"/>
  <c r="E163" i="12" s="1"/>
  <c r="L151" i="11"/>
  <c r="M151" i="11" s="1"/>
  <c r="N151" i="11" s="1"/>
  <c r="K172" i="12"/>
  <c r="J172" i="12" s="1"/>
  <c r="O172" i="12" s="1"/>
  <c r="M172" i="12"/>
  <c r="L152" i="11" l="1"/>
  <c r="M152" i="11" s="1"/>
  <c r="N152" i="11" s="1"/>
  <c r="C164" i="12"/>
  <c r="D164" i="12" s="1"/>
  <c r="E164" i="12" s="1"/>
  <c r="K173" i="12"/>
  <c r="J173" i="12" s="1"/>
  <c r="O173" i="12" s="1"/>
  <c r="M173" i="12"/>
  <c r="C156" i="11"/>
  <c r="D156" i="11" s="1"/>
  <c r="E156" i="11"/>
  <c r="C165" i="12" l="1"/>
  <c r="D165" i="12" s="1"/>
  <c r="E165" i="12" s="1"/>
  <c r="L153" i="11"/>
  <c r="M153" i="11" s="1"/>
  <c r="N153" i="11" s="1"/>
  <c r="M174" i="12"/>
  <c r="K174" i="12"/>
  <c r="J174" i="12" s="1"/>
  <c r="O174" i="12" s="1"/>
  <c r="C157" i="11"/>
  <c r="D157" i="11" s="1"/>
  <c r="E157" i="11" s="1"/>
  <c r="C158" i="11" l="1"/>
  <c r="D158" i="11" s="1"/>
  <c r="E158" i="11"/>
  <c r="C166" i="12"/>
  <c r="D166" i="12" s="1"/>
  <c r="E166" i="12" s="1"/>
  <c r="M175" i="12"/>
  <c r="K175" i="12"/>
  <c r="J175" i="12" s="1"/>
  <c r="O175" i="12" s="1"/>
  <c r="L154" i="11"/>
  <c r="M154" i="11" s="1"/>
  <c r="N154" i="11" s="1"/>
  <c r="L155" i="11" l="1"/>
  <c r="M155" i="11" s="1"/>
  <c r="N155" i="11" s="1"/>
  <c r="C167" i="12"/>
  <c r="D167" i="12" s="1"/>
  <c r="E167" i="12" s="1"/>
  <c r="K176" i="12"/>
  <c r="J176" i="12" s="1"/>
  <c r="O176" i="12" s="1"/>
  <c r="M176" i="12"/>
  <c r="C159" i="11"/>
  <c r="D159" i="11" s="1"/>
  <c r="E159" i="11" s="1"/>
  <c r="C160" i="11" l="1"/>
  <c r="D160" i="11" s="1"/>
  <c r="E160" i="11" s="1"/>
  <c r="C168" i="12"/>
  <c r="D168" i="12" s="1"/>
  <c r="E168" i="12" s="1"/>
  <c r="L156" i="11"/>
  <c r="M156" i="11" s="1"/>
  <c r="N156" i="11" s="1"/>
  <c r="M177" i="12"/>
  <c r="K177" i="12"/>
  <c r="J177" i="12" s="1"/>
  <c r="O177" i="12" s="1"/>
  <c r="C169" i="12" l="1"/>
  <c r="D169" i="12" s="1"/>
  <c r="E169" i="12" s="1"/>
  <c r="L157" i="11"/>
  <c r="M157" i="11" s="1"/>
  <c r="N157" i="11" s="1"/>
  <c r="C161" i="11"/>
  <c r="D161" i="11" s="1"/>
  <c r="E161" i="11" s="1"/>
  <c r="K178" i="12"/>
  <c r="J178" i="12" s="1"/>
  <c r="O178" i="12" s="1"/>
  <c r="M178" i="12"/>
  <c r="C162" i="11" l="1"/>
  <c r="D162" i="11" s="1"/>
  <c r="E162" i="11" s="1"/>
  <c r="L158" i="11"/>
  <c r="M158" i="11" s="1"/>
  <c r="N158" i="11" s="1"/>
  <c r="C170" i="12"/>
  <c r="D170" i="12" s="1"/>
  <c r="E170" i="12" s="1"/>
  <c r="K179" i="12"/>
  <c r="J179" i="12" s="1"/>
  <c r="O179" i="12" s="1"/>
  <c r="M179" i="12"/>
  <c r="C171" i="12" l="1"/>
  <c r="D171" i="12" s="1"/>
  <c r="E171" i="12"/>
  <c r="L159" i="11"/>
  <c r="M159" i="11" s="1"/>
  <c r="N159" i="11" s="1"/>
  <c r="C163" i="11"/>
  <c r="D163" i="11" s="1"/>
  <c r="E163" i="11" s="1"/>
  <c r="M180" i="12"/>
  <c r="K180" i="12"/>
  <c r="J180" i="12" s="1"/>
  <c r="O180" i="12" s="1"/>
  <c r="C164" i="11" l="1"/>
  <c r="D164" i="11" s="1"/>
  <c r="E164" i="11"/>
  <c r="L160" i="11"/>
  <c r="M160" i="11" s="1"/>
  <c r="N160" i="11" s="1"/>
  <c r="C172" i="12"/>
  <c r="D172" i="12" s="1"/>
  <c r="E172" i="12" s="1"/>
  <c r="M181" i="12"/>
  <c r="K181" i="12"/>
  <c r="J181" i="12" s="1"/>
  <c r="O181" i="12" s="1"/>
  <c r="C173" i="12" l="1"/>
  <c r="D173" i="12" s="1"/>
  <c r="E173" i="12" s="1"/>
  <c r="L161" i="11"/>
  <c r="M161" i="11" s="1"/>
  <c r="N161" i="11" s="1"/>
  <c r="C165" i="11"/>
  <c r="D165" i="11" s="1"/>
  <c r="E165" i="11" s="1"/>
  <c r="K182" i="12"/>
  <c r="J182" i="12" s="1"/>
  <c r="O182" i="12" s="1"/>
  <c r="M182" i="12"/>
  <c r="C166" i="11" l="1"/>
  <c r="D166" i="11" s="1"/>
  <c r="E166" i="11" s="1"/>
  <c r="L162" i="11"/>
  <c r="M162" i="11" s="1"/>
  <c r="N162" i="11" s="1"/>
  <c r="C174" i="12"/>
  <c r="D174" i="12" s="1"/>
  <c r="E174" i="12"/>
  <c r="M183" i="12"/>
  <c r="K183" i="12"/>
  <c r="J183" i="12" s="1"/>
  <c r="O183" i="12" s="1"/>
  <c r="C167" i="11" l="1"/>
  <c r="D167" i="11" s="1"/>
  <c r="E167" i="11"/>
  <c r="L163" i="11"/>
  <c r="M163" i="11" s="1"/>
  <c r="N163" i="11" s="1"/>
  <c r="C175" i="12"/>
  <c r="D175" i="12" s="1"/>
  <c r="E175" i="12" s="1"/>
  <c r="M184" i="12"/>
  <c r="K184" i="12"/>
  <c r="J184" i="12" s="1"/>
  <c r="O184" i="12" s="1"/>
  <c r="C176" i="12" l="1"/>
  <c r="D176" i="12" s="1"/>
  <c r="E176" i="12" s="1"/>
  <c r="L164" i="11"/>
  <c r="M164" i="11" s="1"/>
  <c r="N164" i="11" s="1"/>
  <c r="C168" i="11"/>
  <c r="D168" i="11" s="1"/>
  <c r="E168" i="11" s="1"/>
  <c r="M185" i="12"/>
  <c r="K185" i="12"/>
  <c r="J185" i="12" s="1"/>
  <c r="O185" i="12" s="1"/>
  <c r="L165" i="11" l="1"/>
  <c r="M165" i="11" s="1"/>
  <c r="N165" i="11" s="1"/>
  <c r="E169" i="11"/>
  <c r="C169" i="11"/>
  <c r="D169" i="11" s="1"/>
  <c r="C177" i="12"/>
  <c r="D177" i="12" s="1"/>
  <c r="E177" i="12" s="1"/>
  <c r="K186" i="12"/>
  <c r="J186" i="12" s="1"/>
  <c r="O186" i="12" s="1"/>
  <c r="M186" i="12"/>
  <c r="C178" i="12" l="1"/>
  <c r="D178" i="12" s="1"/>
  <c r="E178" i="12"/>
  <c r="C170" i="11"/>
  <c r="D170" i="11" s="1"/>
  <c r="E170" i="11"/>
  <c r="M187" i="12"/>
  <c r="K187" i="12"/>
  <c r="J187" i="12" s="1"/>
  <c r="O187" i="12" s="1"/>
  <c r="L166" i="11"/>
  <c r="M166" i="11" s="1"/>
  <c r="N166" i="11" s="1"/>
  <c r="M188" i="12" l="1"/>
  <c r="K188" i="12"/>
  <c r="J188" i="12" s="1"/>
  <c r="O188" i="12" s="1"/>
  <c r="L167" i="11"/>
  <c r="M167" i="11" s="1"/>
  <c r="N167" i="11" s="1"/>
  <c r="C179" i="12"/>
  <c r="D179" i="12" s="1"/>
  <c r="E179" i="12" s="1"/>
  <c r="C171" i="11"/>
  <c r="D171" i="11" s="1"/>
  <c r="E171" i="11" s="1"/>
  <c r="C180" i="12" l="1"/>
  <c r="D180" i="12" s="1"/>
  <c r="E180" i="12" s="1"/>
  <c r="C172" i="11"/>
  <c r="D172" i="11" s="1"/>
  <c r="E172" i="11" s="1"/>
  <c r="L168" i="11"/>
  <c r="M168" i="11" s="1"/>
  <c r="N168" i="11" s="1"/>
  <c r="K189" i="12"/>
  <c r="J189" i="12" s="1"/>
  <c r="O189" i="12" s="1"/>
  <c r="M189" i="12"/>
  <c r="C173" i="11" l="1"/>
  <c r="D173" i="11" s="1"/>
  <c r="E173" i="11"/>
  <c r="L169" i="11"/>
  <c r="M169" i="11" s="1"/>
  <c r="N169" i="11" s="1"/>
  <c r="C181" i="12"/>
  <c r="D181" i="12" s="1"/>
  <c r="E181" i="12" s="1"/>
  <c r="M190" i="12"/>
  <c r="K190" i="12"/>
  <c r="J190" i="12" s="1"/>
  <c r="O190" i="12" s="1"/>
  <c r="C182" i="12" l="1"/>
  <c r="D182" i="12" s="1"/>
  <c r="E182" i="12" s="1"/>
  <c r="L170" i="11"/>
  <c r="M170" i="11" s="1"/>
  <c r="N170" i="11" s="1"/>
  <c r="C174" i="11"/>
  <c r="D174" i="11" s="1"/>
  <c r="E174" i="11" s="1"/>
  <c r="M191" i="12"/>
  <c r="K191" i="12"/>
  <c r="J191" i="12" s="1"/>
  <c r="O191" i="12" s="1"/>
  <c r="C175" i="11" l="1"/>
  <c r="D175" i="11" s="1"/>
  <c r="E175" i="11" s="1"/>
  <c r="L171" i="11"/>
  <c r="M171" i="11" s="1"/>
  <c r="N171" i="11" s="1"/>
  <c r="C183" i="12"/>
  <c r="D183" i="12" s="1"/>
  <c r="E183" i="12" s="1"/>
  <c r="K192" i="12"/>
  <c r="J192" i="12" s="1"/>
  <c r="O192" i="12" s="1"/>
  <c r="M192" i="12"/>
  <c r="C184" i="12" l="1"/>
  <c r="D184" i="12" s="1"/>
  <c r="E184" i="12"/>
  <c r="L172" i="11"/>
  <c r="M172" i="11" s="1"/>
  <c r="N172" i="11" s="1"/>
  <c r="C176" i="11"/>
  <c r="D176" i="11" s="1"/>
  <c r="E176" i="11" s="1"/>
  <c r="M193" i="12"/>
  <c r="K193" i="12"/>
  <c r="J193" i="12" s="1"/>
  <c r="O193" i="12" s="1"/>
  <c r="C177" i="11" l="1"/>
  <c r="D177" i="11" s="1"/>
  <c r="E177" i="11" s="1"/>
  <c r="L173" i="11"/>
  <c r="M173" i="11" s="1"/>
  <c r="N173" i="11" s="1"/>
  <c r="C185" i="12"/>
  <c r="D185" i="12" s="1"/>
  <c r="E185" i="12" s="1"/>
  <c r="K194" i="12"/>
  <c r="J194" i="12" s="1"/>
  <c r="O194" i="12" s="1"/>
  <c r="M194" i="12"/>
  <c r="C186" i="12" l="1"/>
  <c r="D186" i="12" s="1"/>
  <c r="E186" i="12" s="1"/>
  <c r="L174" i="11"/>
  <c r="M174" i="11" s="1"/>
  <c r="N174" i="11" s="1"/>
  <c r="C178" i="11"/>
  <c r="D178" i="11" s="1"/>
  <c r="E178" i="11" s="1"/>
  <c r="K195" i="12"/>
  <c r="J195" i="12" s="1"/>
  <c r="O195" i="12" s="1"/>
  <c r="M195" i="12"/>
  <c r="C179" i="11" l="1"/>
  <c r="D179" i="11" s="1"/>
  <c r="E179" i="11"/>
  <c r="L175" i="11"/>
  <c r="M175" i="11" s="1"/>
  <c r="N175" i="11" s="1"/>
  <c r="C187" i="12"/>
  <c r="D187" i="12" s="1"/>
  <c r="E187" i="12" s="1"/>
  <c r="M196" i="12"/>
  <c r="K196" i="12"/>
  <c r="J196" i="12" s="1"/>
  <c r="O196" i="12" s="1"/>
  <c r="C188" i="12" l="1"/>
  <c r="D188" i="12" s="1"/>
  <c r="E188" i="12"/>
  <c r="L176" i="11"/>
  <c r="M176" i="11" s="1"/>
  <c r="N176" i="11" s="1"/>
  <c r="C180" i="11"/>
  <c r="D180" i="11" s="1"/>
  <c r="E180" i="11" s="1"/>
  <c r="M197" i="12"/>
  <c r="K197" i="12"/>
  <c r="J197" i="12" s="1"/>
  <c r="O197" i="12" s="1"/>
  <c r="C181" i="11" l="1"/>
  <c r="D181" i="11" s="1"/>
  <c r="E181" i="11" s="1"/>
  <c r="L177" i="11"/>
  <c r="M177" i="11" s="1"/>
  <c r="N177" i="11" s="1"/>
  <c r="C189" i="12"/>
  <c r="D189" i="12" s="1"/>
  <c r="E189" i="12" s="1"/>
  <c r="K198" i="12"/>
  <c r="J198" i="12" s="1"/>
  <c r="O198" i="12" s="1"/>
  <c r="M198" i="12"/>
  <c r="C190" i="12" l="1"/>
  <c r="D190" i="12" s="1"/>
  <c r="E190" i="12"/>
  <c r="C182" i="11"/>
  <c r="D182" i="11" s="1"/>
  <c r="E182" i="11" s="1"/>
  <c r="L178" i="11"/>
  <c r="M178" i="11" s="1"/>
  <c r="N178" i="11" s="1"/>
  <c r="M199" i="12"/>
  <c r="K199" i="12"/>
  <c r="J199" i="12" s="1"/>
  <c r="O199" i="12" s="1"/>
  <c r="L179" i="11" l="1"/>
  <c r="M179" i="11" s="1"/>
  <c r="N179" i="11" s="1"/>
  <c r="C183" i="11"/>
  <c r="D183" i="11" s="1"/>
  <c r="E183" i="11" s="1"/>
  <c r="C191" i="12"/>
  <c r="D191" i="12" s="1"/>
  <c r="E191" i="12"/>
  <c r="M200" i="12"/>
  <c r="K200" i="12"/>
  <c r="J200" i="12" s="1"/>
  <c r="O200" i="12" s="1"/>
  <c r="C184" i="11" l="1"/>
  <c r="D184" i="11" s="1"/>
  <c r="E184" i="11" s="1"/>
  <c r="L180" i="11"/>
  <c r="M180" i="11" s="1"/>
  <c r="N180" i="11" s="1"/>
  <c r="C192" i="12"/>
  <c r="D192" i="12" s="1"/>
  <c r="E192" i="12" s="1"/>
  <c r="K201" i="12"/>
  <c r="J201" i="12" s="1"/>
  <c r="O201" i="12" s="1"/>
  <c r="M201" i="12"/>
  <c r="C193" i="12" l="1"/>
  <c r="D193" i="12" s="1"/>
  <c r="E193" i="12" s="1"/>
  <c r="C185" i="11"/>
  <c r="D185" i="11" s="1"/>
  <c r="E185" i="11" s="1"/>
  <c r="L181" i="11"/>
  <c r="M181" i="11" s="1"/>
  <c r="N181" i="11" s="1"/>
  <c r="M202" i="12"/>
  <c r="K202" i="12"/>
  <c r="J202" i="12" s="1"/>
  <c r="O202" i="12" s="1"/>
  <c r="L182" i="11" l="1"/>
  <c r="M182" i="11" s="1"/>
  <c r="N182" i="11" s="1"/>
  <c r="C186" i="11"/>
  <c r="D186" i="11" s="1"/>
  <c r="E186" i="11" s="1"/>
  <c r="C194" i="12"/>
  <c r="D194" i="12" s="1"/>
  <c r="E194" i="12" s="1"/>
  <c r="K203" i="12"/>
  <c r="J203" i="12" s="1"/>
  <c r="O203" i="12" s="1"/>
  <c r="M203" i="12"/>
  <c r="C195" i="12" l="1"/>
  <c r="D195" i="12" s="1"/>
  <c r="E195" i="12" s="1"/>
  <c r="C187" i="11"/>
  <c r="D187" i="11" s="1"/>
  <c r="E187" i="11" s="1"/>
  <c r="L183" i="11"/>
  <c r="M183" i="11" s="1"/>
  <c r="N183" i="11" s="1"/>
  <c r="K204" i="12"/>
  <c r="J204" i="12" s="1"/>
  <c r="O204" i="12" s="1"/>
  <c r="M204" i="12"/>
  <c r="L184" i="11" l="1"/>
  <c r="M184" i="11" s="1"/>
  <c r="N184" i="11" s="1"/>
  <c r="C188" i="11"/>
  <c r="D188" i="11" s="1"/>
  <c r="E188" i="11" s="1"/>
  <c r="C196" i="12"/>
  <c r="D196" i="12" s="1"/>
  <c r="E196" i="12" s="1"/>
  <c r="M205" i="12"/>
  <c r="K205" i="12"/>
  <c r="J205" i="12" s="1"/>
  <c r="O205" i="12" s="1"/>
  <c r="C197" i="12" l="1"/>
  <c r="D197" i="12" s="1"/>
  <c r="E197" i="12"/>
  <c r="C189" i="11"/>
  <c r="D189" i="11" s="1"/>
  <c r="E189" i="11"/>
  <c r="L185" i="11"/>
  <c r="M185" i="11" s="1"/>
  <c r="N185" i="11" s="1"/>
  <c r="M206" i="12"/>
  <c r="K206" i="12"/>
  <c r="J206" i="12" s="1"/>
  <c r="O206" i="12" s="1"/>
  <c r="L186" i="11" l="1"/>
  <c r="M186" i="11" s="1"/>
  <c r="N186" i="11" s="1"/>
  <c r="C190" i="11"/>
  <c r="D190" i="11" s="1"/>
  <c r="E190" i="11" s="1"/>
  <c r="C198" i="12"/>
  <c r="D198" i="12" s="1"/>
  <c r="E198" i="12" s="1"/>
  <c r="K207" i="12"/>
  <c r="J207" i="12" s="1"/>
  <c r="O207" i="12" s="1"/>
  <c r="M207" i="12"/>
  <c r="C199" i="12" l="1"/>
  <c r="D199" i="12" s="1"/>
  <c r="E199" i="12"/>
  <c r="C191" i="11"/>
  <c r="D191" i="11" s="1"/>
  <c r="E191" i="11"/>
  <c r="M208" i="12"/>
  <c r="K208" i="12"/>
  <c r="J208" i="12" s="1"/>
  <c r="O208" i="12" s="1"/>
  <c r="L187" i="11"/>
  <c r="M187" i="11" s="1"/>
  <c r="N187" i="11" s="1"/>
  <c r="L188" i="11" l="1"/>
  <c r="M188" i="11" s="1"/>
  <c r="N188" i="11" s="1"/>
  <c r="C192" i="11"/>
  <c r="D192" i="11" s="1"/>
  <c r="E192" i="11" s="1"/>
  <c r="C200" i="12"/>
  <c r="D200" i="12" s="1"/>
  <c r="E200" i="12"/>
  <c r="M209" i="12"/>
  <c r="K209" i="12"/>
  <c r="J209" i="12" s="1"/>
  <c r="O209" i="12" s="1"/>
  <c r="C193" i="11" l="1"/>
  <c r="D193" i="11" s="1"/>
  <c r="E193" i="11" s="1"/>
  <c r="L189" i="11"/>
  <c r="M189" i="11" s="1"/>
  <c r="N189" i="11" s="1"/>
  <c r="C201" i="12"/>
  <c r="D201" i="12" s="1"/>
  <c r="E201" i="12" s="1"/>
  <c r="K210" i="12"/>
  <c r="J210" i="12" s="1"/>
  <c r="O210" i="12" s="1"/>
  <c r="M210" i="12"/>
  <c r="C202" i="12" l="1"/>
  <c r="D202" i="12" s="1"/>
  <c r="E202" i="12" s="1"/>
  <c r="L190" i="11"/>
  <c r="M190" i="11" s="1"/>
  <c r="N190" i="11" s="1"/>
  <c r="C194" i="11"/>
  <c r="D194" i="11" s="1"/>
  <c r="E194" i="11" s="1"/>
  <c r="M211" i="12"/>
  <c r="K211" i="12"/>
  <c r="J211" i="12" s="1"/>
  <c r="O211" i="12" s="1"/>
  <c r="C195" i="11" l="1"/>
  <c r="D195" i="11" s="1"/>
  <c r="E195" i="11" s="1"/>
  <c r="L191" i="11"/>
  <c r="M191" i="11" s="1"/>
  <c r="N191" i="11" s="1"/>
  <c r="C203" i="12"/>
  <c r="D203" i="12" s="1"/>
  <c r="E203" i="12"/>
  <c r="K212" i="12"/>
  <c r="J212" i="12" s="1"/>
  <c r="O212" i="12" s="1"/>
  <c r="M212" i="12"/>
  <c r="L192" i="11" l="1"/>
  <c r="M192" i="11" s="1"/>
  <c r="N192" i="11" s="1"/>
  <c r="C196" i="11"/>
  <c r="D196" i="11" s="1"/>
  <c r="E196" i="11" s="1"/>
  <c r="C204" i="12"/>
  <c r="D204" i="12" s="1"/>
  <c r="E204" i="12" s="1"/>
  <c r="K213" i="12"/>
  <c r="J213" i="12" s="1"/>
  <c r="O213" i="12" s="1"/>
  <c r="M213" i="12"/>
  <c r="C205" i="12" l="1"/>
  <c r="D205" i="12" s="1"/>
  <c r="E205" i="12" s="1"/>
  <c r="C197" i="11"/>
  <c r="D197" i="11" s="1"/>
  <c r="E197" i="11"/>
  <c r="M214" i="12"/>
  <c r="K214" i="12"/>
  <c r="J214" i="12" s="1"/>
  <c r="O214" i="12" s="1"/>
  <c r="L193" i="11"/>
  <c r="M193" i="11" s="1"/>
  <c r="N193" i="11" s="1"/>
  <c r="C206" i="12" l="1"/>
  <c r="D206" i="12" s="1"/>
  <c r="E206" i="12"/>
  <c r="C198" i="11"/>
  <c r="D198" i="11" s="1"/>
  <c r="E198" i="11" s="1"/>
  <c r="M215" i="12"/>
  <c r="K215" i="12"/>
  <c r="J215" i="12" s="1"/>
  <c r="O215" i="12" s="1"/>
  <c r="L194" i="11"/>
  <c r="M194" i="11" s="1"/>
  <c r="N194" i="11" s="1"/>
  <c r="L195" i="11" l="1"/>
  <c r="M195" i="11" s="1"/>
  <c r="N195" i="11" s="1"/>
  <c r="C199" i="11"/>
  <c r="D199" i="11" s="1"/>
  <c r="E199" i="11" s="1"/>
  <c r="C207" i="12"/>
  <c r="D207" i="12" s="1"/>
  <c r="E207" i="12" s="1"/>
  <c r="K216" i="12"/>
  <c r="J216" i="12" s="1"/>
  <c r="O216" i="12" s="1"/>
  <c r="M216" i="12"/>
  <c r="C208" i="12" l="1"/>
  <c r="D208" i="12" s="1"/>
  <c r="E208" i="12"/>
  <c r="C200" i="11"/>
  <c r="D200" i="11" s="1"/>
  <c r="E200" i="11" s="1"/>
  <c r="L196" i="11"/>
  <c r="M196" i="11" s="1"/>
  <c r="N196" i="11" s="1"/>
  <c r="M217" i="12"/>
  <c r="K217" i="12"/>
  <c r="J217" i="12" s="1"/>
  <c r="O217" i="12" s="1"/>
  <c r="L197" i="11" l="1"/>
  <c r="M197" i="11" s="1"/>
  <c r="N197" i="11" s="1"/>
  <c r="C201" i="11"/>
  <c r="D201" i="11" s="1"/>
  <c r="E201" i="11" s="1"/>
  <c r="C209" i="12"/>
  <c r="D209" i="12" s="1"/>
  <c r="E209" i="12" s="1"/>
  <c r="M218" i="12"/>
  <c r="K218" i="12"/>
  <c r="J218" i="12" s="1"/>
  <c r="O218" i="12" s="1"/>
  <c r="C210" i="12" l="1"/>
  <c r="D210" i="12" s="1"/>
  <c r="E210" i="12" s="1"/>
  <c r="C202" i="11"/>
  <c r="D202" i="11" s="1"/>
  <c r="E202" i="11" s="1"/>
  <c r="L198" i="11"/>
  <c r="M198" i="11" s="1"/>
  <c r="N198" i="11" s="1"/>
  <c r="K219" i="12"/>
  <c r="J219" i="12" s="1"/>
  <c r="O219" i="12" s="1"/>
  <c r="M219" i="12"/>
  <c r="C203" i="11" l="1"/>
  <c r="D203" i="11" s="1"/>
  <c r="E203" i="11"/>
  <c r="C211" i="12"/>
  <c r="D211" i="12" s="1"/>
  <c r="E211" i="12" s="1"/>
  <c r="L199" i="11"/>
  <c r="M199" i="11" s="1"/>
  <c r="N199" i="11" s="1"/>
  <c r="M220" i="12"/>
  <c r="K220" i="12"/>
  <c r="J220" i="12" s="1"/>
  <c r="O220" i="12" s="1"/>
  <c r="L200" i="11" l="1"/>
  <c r="M200" i="11" s="1"/>
  <c r="N200" i="11" s="1"/>
  <c r="C212" i="12"/>
  <c r="D212" i="12" s="1"/>
  <c r="E212" i="12"/>
  <c r="C204" i="11"/>
  <c r="D204" i="11" s="1"/>
  <c r="E204" i="11" s="1"/>
  <c r="K221" i="12"/>
  <c r="J221" i="12" s="1"/>
  <c r="O221" i="12" s="1"/>
  <c r="M221" i="12"/>
  <c r="C205" i="11" l="1"/>
  <c r="D205" i="11" s="1"/>
  <c r="E205" i="11" s="1"/>
  <c r="L201" i="11"/>
  <c r="M201" i="11" s="1"/>
  <c r="N201" i="11" s="1"/>
  <c r="C213" i="12"/>
  <c r="D213" i="12" s="1"/>
  <c r="E213" i="12" s="1"/>
  <c r="K222" i="12"/>
  <c r="J222" i="12" s="1"/>
  <c r="O222" i="12" s="1"/>
  <c r="M222" i="12"/>
  <c r="C214" i="12" l="1"/>
  <c r="D214" i="12" s="1"/>
  <c r="E214" i="12" s="1"/>
  <c r="L202" i="11"/>
  <c r="M202" i="11" s="1"/>
  <c r="N202" i="11" s="1"/>
  <c r="C206" i="11"/>
  <c r="D206" i="11" s="1"/>
  <c r="E206" i="11" s="1"/>
  <c r="M223" i="12"/>
  <c r="K223" i="12"/>
  <c r="J223" i="12" s="1"/>
  <c r="O223" i="12" s="1"/>
  <c r="C207" i="11" l="1"/>
  <c r="D207" i="11" s="1"/>
  <c r="E207" i="11"/>
  <c r="C215" i="12"/>
  <c r="D215" i="12" s="1"/>
  <c r="E215" i="12" s="1"/>
  <c r="L203" i="11"/>
  <c r="M203" i="11" s="1"/>
  <c r="N203" i="11" s="1"/>
  <c r="M224" i="12"/>
  <c r="K224" i="12"/>
  <c r="J224" i="12" s="1"/>
  <c r="O224" i="12" s="1"/>
  <c r="L204" i="11" l="1"/>
  <c r="M204" i="11" s="1"/>
  <c r="N204" i="11" s="1"/>
  <c r="C216" i="12"/>
  <c r="D216" i="12" s="1"/>
  <c r="E216" i="12" s="1"/>
  <c r="C208" i="11"/>
  <c r="D208" i="11" s="1"/>
  <c r="E208" i="11" s="1"/>
  <c r="K225" i="12"/>
  <c r="J225" i="12" s="1"/>
  <c r="O225" i="12" s="1"/>
  <c r="M225" i="12"/>
  <c r="C209" i="11" l="1"/>
  <c r="D209" i="11" s="1"/>
  <c r="E209" i="11"/>
  <c r="C217" i="12"/>
  <c r="D217" i="12" s="1"/>
  <c r="E217" i="12" s="1"/>
  <c r="M226" i="12"/>
  <c r="K226" i="12"/>
  <c r="J226" i="12" s="1"/>
  <c r="O226" i="12" s="1"/>
  <c r="L205" i="11"/>
  <c r="M205" i="11" s="1"/>
  <c r="N205" i="11" s="1"/>
  <c r="L206" i="11" l="1"/>
  <c r="M206" i="11" s="1"/>
  <c r="N206" i="11" s="1"/>
  <c r="C218" i="12"/>
  <c r="D218" i="12" s="1"/>
  <c r="E218" i="12"/>
  <c r="C210" i="11"/>
  <c r="D210" i="11" s="1"/>
  <c r="E210" i="11" s="1"/>
  <c r="M227" i="12"/>
  <c r="K227" i="12"/>
  <c r="J227" i="12" s="1"/>
  <c r="O227" i="12" s="1"/>
  <c r="C211" i="11" l="1"/>
  <c r="D211" i="11" s="1"/>
  <c r="E211" i="11" s="1"/>
  <c r="L207" i="11"/>
  <c r="M207" i="11" s="1"/>
  <c r="N207" i="11" s="1"/>
  <c r="C219" i="12"/>
  <c r="D219" i="12" s="1"/>
  <c r="E219" i="12" s="1"/>
  <c r="M228" i="12"/>
  <c r="K228" i="12"/>
  <c r="J228" i="12" s="1"/>
  <c r="O228" i="12" s="1"/>
  <c r="C220" i="12" l="1"/>
  <c r="D220" i="12" s="1"/>
  <c r="E220" i="12" s="1"/>
  <c r="L208" i="11"/>
  <c r="M208" i="11" s="1"/>
  <c r="N208" i="11" s="1"/>
  <c r="C212" i="11"/>
  <c r="D212" i="11" s="1"/>
  <c r="E212" i="11" s="1"/>
  <c r="K229" i="12"/>
  <c r="J229" i="12" s="1"/>
  <c r="O229" i="12" s="1"/>
  <c r="M229" i="12"/>
  <c r="C213" i="11" l="1"/>
  <c r="D213" i="11" s="1"/>
  <c r="E213" i="11" s="1"/>
  <c r="L209" i="11"/>
  <c r="M209" i="11" s="1"/>
  <c r="N209" i="11" s="1"/>
  <c r="C221" i="12"/>
  <c r="D221" i="12" s="1"/>
  <c r="E221" i="12" s="1"/>
  <c r="M230" i="12"/>
  <c r="K230" i="12"/>
  <c r="J230" i="12" s="1"/>
  <c r="O230" i="12" s="1"/>
  <c r="C222" i="12" l="1"/>
  <c r="D222" i="12" s="1"/>
  <c r="E222" i="12" s="1"/>
  <c r="L210" i="11"/>
  <c r="M210" i="11" s="1"/>
  <c r="N210" i="11" s="1"/>
  <c r="C214" i="11"/>
  <c r="D214" i="11" s="1"/>
  <c r="E214" i="11" s="1"/>
  <c r="K231" i="12"/>
  <c r="J231" i="12" s="1"/>
  <c r="O231" i="12" s="1"/>
  <c r="M231" i="12"/>
  <c r="C215" i="11" l="1"/>
  <c r="D215" i="11" s="1"/>
  <c r="E215" i="11"/>
  <c r="C223" i="12"/>
  <c r="D223" i="12" s="1"/>
  <c r="E223" i="12" s="1"/>
  <c r="L211" i="11"/>
  <c r="M211" i="11" s="1"/>
  <c r="N211" i="11" s="1"/>
  <c r="K232" i="12"/>
  <c r="J232" i="12" s="1"/>
  <c r="O232" i="12" s="1"/>
  <c r="M232" i="12"/>
  <c r="L212" i="11" l="1"/>
  <c r="M212" i="11" s="1"/>
  <c r="N212" i="11" s="1"/>
  <c r="C224" i="12"/>
  <c r="D224" i="12" s="1"/>
  <c r="E224" i="12"/>
  <c r="M233" i="12"/>
  <c r="K233" i="12"/>
  <c r="J233" i="12" s="1"/>
  <c r="O233" i="12" s="1"/>
  <c r="C216" i="11"/>
  <c r="D216" i="11" s="1"/>
  <c r="E216" i="11" s="1"/>
  <c r="C217" i="11" l="1"/>
  <c r="D217" i="11" s="1"/>
  <c r="E217" i="11" s="1"/>
  <c r="L213" i="11"/>
  <c r="M213" i="11" s="1"/>
  <c r="N213" i="11" s="1"/>
  <c r="K234" i="12"/>
  <c r="J234" i="12" s="1"/>
  <c r="O234" i="12" s="1"/>
  <c r="M234" i="12"/>
  <c r="C225" i="12"/>
  <c r="D225" i="12" s="1"/>
  <c r="E225" i="12" s="1"/>
  <c r="C226" i="12" l="1"/>
  <c r="D226" i="12" s="1"/>
  <c r="E226" i="12" s="1"/>
  <c r="C218" i="11"/>
  <c r="D218" i="11" s="1"/>
  <c r="E218" i="11" s="1"/>
  <c r="K235" i="12"/>
  <c r="J235" i="12" s="1"/>
  <c r="O235" i="12" s="1"/>
  <c r="M235" i="12"/>
  <c r="L214" i="11"/>
  <c r="M214" i="11" s="1"/>
  <c r="N214" i="11" s="1"/>
  <c r="C219" i="11" l="1"/>
  <c r="D219" i="11" s="1"/>
  <c r="E219" i="11" s="1"/>
  <c r="C227" i="12"/>
  <c r="D227" i="12" s="1"/>
  <c r="E227" i="12"/>
  <c r="M236" i="12"/>
  <c r="K236" i="12"/>
  <c r="J236" i="12" s="1"/>
  <c r="O236" i="12" s="1"/>
  <c r="L215" i="11"/>
  <c r="M215" i="11" s="1"/>
  <c r="N215" i="11" s="1"/>
  <c r="L216" i="11" l="1"/>
  <c r="M216" i="11" s="1"/>
  <c r="N216" i="11" s="1"/>
  <c r="C220" i="11"/>
  <c r="D220" i="11" s="1"/>
  <c r="E220" i="11" s="1"/>
  <c r="C228" i="12"/>
  <c r="D228" i="12" s="1"/>
  <c r="E228" i="12" s="1"/>
  <c r="M237" i="12"/>
  <c r="K237" i="12"/>
  <c r="J237" i="12" s="1"/>
  <c r="O237" i="12" s="1"/>
  <c r="C221" i="11" l="1"/>
  <c r="D221" i="11" s="1"/>
  <c r="E221" i="11" s="1"/>
  <c r="C229" i="12"/>
  <c r="D229" i="12" s="1"/>
  <c r="E229" i="12" s="1"/>
  <c r="L217" i="11"/>
  <c r="M217" i="11" s="1"/>
  <c r="N217" i="11" s="1"/>
  <c r="K238" i="12"/>
  <c r="J238" i="12" s="1"/>
  <c r="O238" i="12" s="1"/>
  <c r="M238" i="12"/>
  <c r="L218" i="11" l="1"/>
  <c r="M218" i="11" s="1"/>
  <c r="N218" i="11" s="1"/>
  <c r="C230" i="12"/>
  <c r="D230" i="12" s="1"/>
  <c r="E230" i="12" s="1"/>
  <c r="C222" i="11"/>
  <c r="D222" i="11" s="1"/>
  <c r="E222" i="11" s="1"/>
  <c r="M239" i="12"/>
  <c r="K239" i="12"/>
  <c r="J239" i="12" s="1"/>
  <c r="O239" i="12" s="1"/>
  <c r="C223" i="11" l="1"/>
  <c r="D223" i="11" s="1"/>
  <c r="E223" i="11" s="1"/>
  <c r="C231" i="12"/>
  <c r="D231" i="12" s="1"/>
  <c r="E231" i="12"/>
  <c r="L219" i="11"/>
  <c r="M219" i="11" s="1"/>
  <c r="N219" i="11" s="1"/>
  <c r="K240" i="12"/>
  <c r="J240" i="12" s="1"/>
  <c r="O240" i="12" s="1"/>
  <c r="M240" i="12"/>
  <c r="L220" i="11" l="1"/>
  <c r="M220" i="11" s="1"/>
  <c r="N220" i="11" s="1"/>
  <c r="C224" i="11"/>
  <c r="D224" i="11" s="1"/>
  <c r="E224" i="11"/>
  <c r="C232" i="12"/>
  <c r="D232" i="12" s="1"/>
  <c r="E232" i="12" s="1"/>
  <c r="K241" i="12"/>
  <c r="J241" i="12" s="1"/>
  <c r="O241" i="12" s="1"/>
  <c r="M241" i="12"/>
  <c r="C233" i="12" l="1"/>
  <c r="D233" i="12" s="1"/>
  <c r="E233" i="12" s="1"/>
  <c r="C225" i="11"/>
  <c r="D225" i="11" s="1"/>
  <c r="E225" i="11"/>
  <c r="M242" i="12"/>
  <c r="K242" i="12"/>
  <c r="J242" i="12" s="1"/>
  <c r="O242" i="12" s="1"/>
  <c r="L221" i="11"/>
  <c r="M221" i="11" s="1"/>
  <c r="N221" i="11" s="1"/>
  <c r="L222" i="11" l="1"/>
  <c r="M222" i="11" s="1"/>
  <c r="N222" i="11" s="1"/>
  <c r="C234" i="12"/>
  <c r="D234" i="12" s="1"/>
  <c r="E234" i="12" s="1"/>
  <c r="M243" i="12"/>
  <c r="K243" i="12"/>
  <c r="J243" i="12" s="1"/>
  <c r="O243" i="12" s="1"/>
  <c r="C226" i="11"/>
  <c r="D226" i="11" s="1"/>
  <c r="E226" i="11" s="1"/>
  <c r="C227" i="11" l="1"/>
  <c r="D227" i="11" s="1"/>
  <c r="E227" i="11"/>
  <c r="C235" i="12"/>
  <c r="D235" i="12" s="1"/>
  <c r="E235" i="12"/>
  <c r="K244" i="12"/>
  <c r="J244" i="12" s="1"/>
  <c r="O244" i="12" s="1"/>
  <c r="M244" i="12"/>
  <c r="L223" i="11"/>
  <c r="M223" i="11" s="1"/>
  <c r="N223" i="11" s="1"/>
  <c r="L224" i="11" l="1"/>
  <c r="M224" i="11" s="1"/>
  <c r="N224" i="11" s="1"/>
  <c r="M245" i="12"/>
  <c r="K245" i="12"/>
  <c r="J245" i="12" s="1"/>
  <c r="O245" i="12" s="1"/>
  <c r="C236" i="12"/>
  <c r="D236" i="12" s="1"/>
  <c r="E236" i="12" s="1"/>
  <c r="C228" i="11"/>
  <c r="D228" i="11" s="1"/>
  <c r="E228" i="11" s="1"/>
  <c r="C229" i="11" l="1"/>
  <c r="D229" i="11" s="1"/>
  <c r="E229" i="11" s="1"/>
  <c r="C237" i="12"/>
  <c r="D237" i="12" s="1"/>
  <c r="E237" i="12" s="1"/>
  <c r="L225" i="11"/>
  <c r="M225" i="11" s="1"/>
  <c r="N225" i="11" s="1"/>
  <c r="M246" i="12"/>
  <c r="K246" i="12"/>
  <c r="J246" i="12" s="1"/>
  <c r="O246" i="12" s="1"/>
  <c r="L226" i="11" l="1"/>
  <c r="M226" i="11" s="1"/>
  <c r="N226" i="11" s="1"/>
  <c r="C238" i="12"/>
  <c r="D238" i="12" s="1"/>
  <c r="E238" i="12"/>
  <c r="C230" i="11"/>
  <c r="D230" i="11" s="1"/>
  <c r="E230" i="11"/>
  <c r="K247" i="12"/>
  <c r="J247" i="12" s="1"/>
  <c r="O247" i="12" s="1"/>
  <c r="M247" i="12"/>
  <c r="L227" i="11" l="1"/>
  <c r="M227" i="11" s="1"/>
  <c r="N227" i="11" s="1"/>
  <c r="C231" i="11"/>
  <c r="D231" i="11" s="1"/>
  <c r="E231" i="11" s="1"/>
  <c r="C239" i="12"/>
  <c r="D239" i="12" s="1"/>
  <c r="E239" i="12" s="1"/>
  <c r="M248" i="12"/>
  <c r="K248" i="12"/>
  <c r="J248" i="12" s="1"/>
  <c r="O248" i="12" s="1"/>
  <c r="C240" i="12" l="1"/>
  <c r="D240" i="12" s="1"/>
  <c r="E240" i="12"/>
  <c r="C232" i="11"/>
  <c r="D232" i="11" s="1"/>
  <c r="E232" i="11" s="1"/>
  <c r="L228" i="11"/>
  <c r="M228" i="11" s="1"/>
  <c r="N228" i="11" s="1"/>
  <c r="K249" i="12"/>
  <c r="J249" i="12" s="1"/>
  <c r="O249" i="12" s="1"/>
  <c r="M249" i="12"/>
  <c r="L229" i="11" l="1"/>
  <c r="M229" i="11" s="1"/>
  <c r="N229" i="11" s="1"/>
  <c r="C233" i="11"/>
  <c r="D233" i="11" s="1"/>
  <c r="E233" i="11"/>
  <c r="C241" i="12"/>
  <c r="D241" i="12" s="1"/>
  <c r="E241" i="12" s="1"/>
  <c r="K250" i="12"/>
  <c r="J250" i="12" s="1"/>
  <c r="O250" i="12" s="1"/>
  <c r="M250" i="12"/>
  <c r="C242" i="12" l="1"/>
  <c r="D242" i="12" s="1"/>
  <c r="E242" i="12" s="1"/>
  <c r="L230" i="11"/>
  <c r="M230" i="11" s="1"/>
  <c r="N230" i="11" s="1"/>
  <c r="C234" i="11"/>
  <c r="D234" i="11" s="1"/>
  <c r="E234" i="11" s="1"/>
  <c r="M251" i="12"/>
  <c r="K251" i="12"/>
  <c r="J251" i="12" s="1"/>
  <c r="O251" i="12" s="1"/>
  <c r="C235" i="11" l="1"/>
  <c r="D235" i="11" s="1"/>
  <c r="E235" i="11" s="1"/>
  <c r="L231" i="11"/>
  <c r="M231" i="11" s="1"/>
  <c r="N231" i="11" s="1"/>
  <c r="C243" i="12"/>
  <c r="D243" i="12" s="1"/>
  <c r="E243" i="12" s="1"/>
  <c r="M252" i="12"/>
  <c r="K252" i="12"/>
  <c r="J252" i="12" s="1"/>
  <c r="O252" i="12" s="1"/>
  <c r="C244" i="12" l="1"/>
  <c r="D244" i="12" s="1"/>
  <c r="E244" i="12"/>
  <c r="C236" i="11"/>
  <c r="D236" i="11" s="1"/>
  <c r="E236" i="11"/>
  <c r="L232" i="11"/>
  <c r="M232" i="11" s="1"/>
  <c r="N232" i="11" s="1"/>
  <c r="K253" i="12"/>
  <c r="J253" i="12" s="1"/>
  <c r="O253" i="12" s="1"/>
  <c r="M253" i="12"/>
  <c r="L233" i="11" l="1"/>
  <c r="M233" i="11" s="1"/>
  <c r="N233" i="11" s="1"/>
  <c r="C237" i="11"/>
  <c r="D237" i="11" s="1"/>
  <c r="E237" i="11" s="1"/>
  <c r="C245" i="12"/>
  <c r="D245" i="12" s="1"/>
  <c r="E245" i="12" s="1"/>
  <c r="M254" i="12"/>
  <c r="K254" i="12"/>
  <c r="J254" i="12" s="1"/>
  <c r="O254" i="12" s="1"/>
  <c r="C246" i="12" l="1"/>
  <c r="D246" i="12" s="1"/>
  <c r="E246" i="12" s="1"/>
  <c r="C238" i="11"/>
  <c r="D238" i="11" s="1"/>
  <c r="E238" i="11" s="1"/>
  <c r="L234" i="11"/>
  <c r="M234" i="11" s="1"/>
  <c r="N234" i="11" s="1"/>
  <c r="M255" i="12"/>
  <c r="K255" i="12"/>
  <c r="J255" i="12" s="1"/>
  <c r="O255" i="12" s="1"/>
  <c r="L235" i="11" l="1"/>
  <c r="M235" i="11" s="1"/>
  <c r="N235" i="11" s="1"/>
  <c r="C239" i="11"/>
  <c r="D239" i="11" s="1"/>
  <c r="E239" i="11"/>
  <c r="C247" i="12"/>
  <c r="D247" i="12" s="1"/>
  <c r="E247" i="12"/>
  <c r="K256" i="12"/>
  <c r="J256" i="12" s="1"/>
  <c r="O256" i="12" s="1"/>
  <c r="M256" i="12"/>
  <c r="L236" i="11" l="1"/>
  <c r="M236" i="11" s="1"/>
  <c r="N236" i="11" s="1"/>
  <c r="C248" i="12"/>
  <c r="D248" i="12" s="1"/>
  <c r="E248" i="12" s="1"/>
  <c r="C240" i="11"/>
  <c r="D240" i="11" s="1"/>
  <c r="E240" i="11" s="1"/>
  <c r="M257" i="12"/>
  <c r="K257" i="12"/>
  <c r="J257" i="12" s="1"/>
  <c r="O257" i="12" s="1"/>
  <c r="C241" i="11" l="1"/>
  <c r="D241" i="11" s="1"/>
  <c r="E241" i="11" s="1"/>
  <c r="C249" i="12"/>
  <c r="D249" i="12" s="1"/>
  <c r="E249" i="12" s="1"/>
  <c r="L237" i="11"/>
  <c r="M237" i="11" s="1"/>
  <c r="N237" i="11" s="1"/>
  <c r="K258" i="12"/>
  <c r="J258" i="12" s="1"/>
  <c r="O258" i="12" s="1"/>
  <c r="M258" i="12"/>
  <c r="L238" i="11" l="1"/>
  <c r="M238" i="11" s="1"/>
  <c r="N238" i="11" s="1"/>
  <c r="C250" i="12"/>
  <c r="D250" i="12" s="1"/>
  <c r="E250" i="12" s="1"/>
  <c r="C242" i="11"/>
  <c r="D242" i="11" s="1"/>
  <c r="E242" i="11" s="1"/>
  <c r="K259" i="12"/>
  <c r="J259" i="12" s="1"/>
  <c r="O259" i="12" s="1"/>
  <c r="M259" i="12"/>
  <c r="C243" i="11" l="1"/>
  <c r="D243" i="11" s="1"/>
  <c r="E243" i="11"/>
  <c r="C251" i="12"/>
  <c r="D251" i="12" s="1"/>
  <c r="E251" i="12" s="1"/>
  <c r="L239" i="11"/>
  <c r="M239" i="11" s="1"/>
  <c r="N239" i="11" s="1"/>
  <c r="M260" i="12"/>
  <c r="K260" i="12"/>
  <c r="J260" i="12" s="1"/>
  <c r="O260" i="12" s="1"/>
  <c r="L240" i="11" l="1"/>
  <c r="M240" i="11" s="1"/>
  <c r="N240" i="11" s="1"/>
  <c r="C252" i="12"/>
  <c r="D252" i="12" s="1"/>
  <c r="E252" i="12" s="1"/>
  <c r="C244" i="11"/>
  <c r="D244" i="11" s="1"/>
  <c r="E244" i="11" s="1"/>
  <c r="K261" i="12"/>
  <c r="J261" i="12" s="1"/>
  <c r="O261" i="12" s="1"/>
  <c r="M261" i="12"/>
  <c r="C245" i="11" l="1"/>
  <c r="D245" i="11" s="1"/>
  <c r="E245" i="11"/>
  <c r="C253" i="12"/>
  <c r="D253" i="12" s="1"/>
  <c r="E253" i="12" s="1"/>
  <c r="L241" i="11"/>
  <c r="M241" i="11" s="1"/>
  <c r="N241" i="11" s="1"/>
  <c r="K262" i="12"/>
  <c r="J262" i="12" s="1"/>
  <c r="O262" i="12" s="1"/>
  <c r="M262" i="12"/>
  <c r="L242" i="11" l="1"/>
  <c r="M242" i="11" s="1"/>
  <c r="N242" i="11" s="1"/>
  <c r="C254" i="12"/>
  <c r="D254" i="12" s="1"/>
  <c r="E254" i="12" s="1"/>
  <c r="M263" i="12"/>
  <c r="K263" i="12"/>
  <c r="J263" i="12" s="1"/>
  <c r="O263" i="12" s="1"/>
  <c r="C246" i="11"/>
  <c r="D246" i="11" s="1"/>
  <c r="E246" i="11" s="1"/>
  <c r="C247" i="11" l="1"/>
  <c r="D247" i="11" s="1"/>
  <c r="E247" i="11" s="1"/>
  <c r="C255" i="12"/>
  <c r="D255" i="12" s="1"/>
  <c r="E255" i="12" s="1"/>
  <c r="L243" i="11"/>
  <c r="M243" i="11" s="1"/>
  <c r="N243" i="11" s="1"/>
  <c r="M264" i="12"/>
  <c r="K264" i="12"/>
  <c r="J264" i="12" s="1"/>
  <c r="O264" i="12" s="1"/>
  <c r="L244" i="11" l="1"/>
  <c r="M244" i="11" s="1"/>
  <c r="N244" i="11" s="1"/>
  <c r="C256" i="12"/>
  <c r="D256" i="12" s="1"/>
  <c r="E256" i="12" s="1"/>
  <c r="C248" i="11"/>
  <c r="D248" i="11" s="1"/>
  <c r="E248" i="11" s="1"/>
  <c r="K265" i="12"/>
  <c r="J265" i="12" s="1"/>
  <c r="O265" i="12" s="1"/>
  <c r="M265" i="12"/>
  <c r="C249" i="11" l="1"/>
  <c r="D249" i="11" s="1"/>
  <c r="E249" i="11" s="1"/>
  <c r="C257" i="12"/>
  <c r="D257" i="12" s="1"/>
  <c r="E257" i="12" s="1"/>
  <c r="L245" i="11"/>
  <c r="M245" i="11" s="1"/>
  <c r="N245" i="11" s="1"/>
  <c r="M266" i="12"/>
  <c r="K266" i="12"/>
  <c r="J266" i="12" s="1"/>
  <c r="O266" i="12" s="1"/>
  <c r="L246" i="11" l="1"/>
  <c r="M246" i="11" s="1"/>
  <c r="N246" i="11" s="1"/>
  <c r="C258" i="12"/>
  <c r="D258" i="12" s="1"/>
  <c r="E258" i="12" s="1"/>
  <c r="C250" i="11"/>
  <c r="D250" i="11" s="1"/>
  <c r="E250" i="11" s="1"/>
  <c r="K267" i="12"/>
  <c r="J267" i="12" s="1"/>
  <c r="O267" i="12" s="1"/>
  <c r="M267" i="12"/>
  <c r="C251" i="11" l="1"/>
  <c r="D251" i="11" s="1"/>
  <c r="E251" i="11"/>
  <c r="C259" i="12"/>
  <c r="D259" i="12" s="1"/>
  <c r="E259" i="12" s="1"/>
  <c r="L247" i="11"/>
  <c r="M247" i="11" s="1"/>
  <c r="N247" i="11" s="1"/>
  <c r="K268" i="12"/>
  <c r="J268" i="12" s="1"/>
  <c r="O268" i="12" s="1"/>
  <c r="M268" i="12"/>
  <c r="L248" i="11" l="1"/>
  <c r="M248" i="11" s="1"/>
  <c r="N248" i="11" s="1"/>
  <c r="C260" i="12"/>
  <c r="D260" i="12" s="1"/>
  <c r="E260" i="12" s="1"/>
  <c r="M269" i="12"/>
  <c r="K269" i="12"/>
  <c r="J269" i="12" s="1"/>
  <c r="O269" i="12" s="1"/>
  <c r="C252" i="11"/>
  <c r="D252" i="11" s="1"/>
  <c r="E252" i="11"/>
  <c r="C261" i="12" l="1"/>
  <c r="D261" i="12" s="1"/>
  <c r="E261" i="12" s="1"/>
  <c r="L249" i="11"/>
  <c r="M249" i="11" s="1"/>
  <c r="N249" i="11" s="1"/>
  <c r="M270" i="12"/>
  <c r="K270" i="12"/>
  <c r="J270" i="12" s="1"/>
  <c r="O270" i="12" s="1"/>
  <c r="C253" i="11"/>
  <c r="D253" i="11" s="1"/>
  <c r="E253" i="11" s="1"/>
  <c r="C254" i="11" l="1"/>
  <c r="D254" i="11" s="1"/>
  <c r="E254" i="11"/>
  <c r="L250" i="11"/>
  <c r="M250" i="11" s="1"/>
  <c r="N250" i="11" s="1"/>
  <c r="C262" i="12"/>
  <c r="D262" i="12" s="1"/>
  <c r="E262" i="12"/>
  <c r="K271" i="12"/>
  <c r="J271" i="12" s="1"/>
  <c r="O271" i="12" s="1"/>
  <c r="M271" i="12"/>
  <c r="L251" i="11" l="1"/>
  <c r="M251" i="11" s="1"/>
  <c r="N251" i="11" s="1"/>
  <c r="M272" i="12"/>
  <c r="K272" i="12"/>
  <c r="J272" i="12" s="1"/>
  <c r="O272" i="12" s="1"/>
  <c r="C263" i="12"/>
  <c r="D263" i="12" s="1"/>
  <c r="E263" i="12" s="1"/>
  <c r="C255" i="11"/>
  <c r="D255" i="11" s="1"/>
  <c r="E255" i="11" s="1"/>
  <c r="C256" i="11" l="1"/>
  <c r="D256" i="11" s="1"/>
  <c r="E256" i="11" s="1"/>
  <c r="C264" i="12"/>
  <c r="D264" i="12" s="1"/>
  <c r="E264" i="12" s="1"/>
  <c r="L252" i="11"/>
  <c r="M252" i="11" s="1"/>
  <c r="N252" i="11" s="1"/>
  <c r="M273" i="12"/>
  <c r="K273" i="12"/>
  <c r="J273" i="12" s="1"/>
  <c r="O273" i="12" s="1"/>
  <c r="L253" i="11" l="1"/>
  <c r="M253" i="11" s="1"/>
  <c r="N253" i="11" s="1"/>
  <c r="C265" i="12"/>
  <c r="D265" i="12" s="1"/>
  <c r="E265" i="12" s="1"/>
  <c r="C257" i="11"/>
  <c r="D257" i="11" s="1"/>
  <c r="E257" i="11" s="1"/>
  <c r="K274" i="12"/>
  <c r="J274" i="12" s="1"/>
  <c r="O274" i="12" s="1"/>
  <c r="M274" i="12"/>
  <c r="C258" i="11" l="1"/>
  <c r="D258" i="11" s="1"/>
  <c r="E258" i="11" s="1"/>
  <c r="C266" i="12"/>
  <c r="D266" i="12" s="1"/>
  <c r="E266" i="12" s="1"/>
  <c r="L254" i="11"/>
  <c r="M254" i="11" s="1"/>
  <c r="N254" i="11" s="1"/>
  <c r="M275" i="12"/>
  <c r="K275" i="12"/>
  <c r="J275" i="12" s="1"/>
  <c r="O275" i="12" s="1"/>
  <c r="C267" i="12" l="1"/>
  <c r="D267" i="12" s="1"/>
  <c r="E267" i="12" s="1"/>
  <c r="L255" i="11"/>
  <c r="M255" i="11" s="1"/>
  <c r="N255" i="11" s="1"/>
  <c r="C259" i="11"/>
  <c r="D259" i="11" s="1"/>
  <c r="E259" i="11" s="1"/>
  <c r="K276" i="12"/>
  <c r="J276" i="12" s="1"/>
  <c r="O276" i="12" s="1"/>
  <c r="M276" i="12"/>
  <c r="C260" i="11" l="1"/>
  <c r="D260" i="11" s="1"/>
  <c r="E260" i="11"/>
  <c r="L256" i="11"/>
  <c r="M256" i="11" s="1"/>
  <c r="N256" i="11" s="1"/>
  <c r="C268" i="12"/>
  <c r="D268" i="12" s="1"/>
  <c r="E268" i="12" s="1"/>
  <c r="K277" i="12"/>
  <c r="J277" i="12" s="1"/>
  <c r="O277" i="12" s="1"/>
  <c r="M277" i="12"/>
  <c r="C269" i="12" l="1"/>
  <c r="D269" i="12" s="1"/>
  <c r="E269" i="12" s="1"/>
  <c r="L257" i="11"/>
  <c r="M257" i="11" s="1"/>
  <c r="N257" i="11" s="1"/>
  <c r="C261" i="11"/>
  <c r="D261" i="11" s="1"/>
  <c r="E261" i="11" s="1"/>
  <c r="M278" i="12"/>
  <c r="K278" i="12"/>
  <c r="J278" i="12" s="1"/>
  <c r="O278" i="12" s="1"/>
  <c r="C262" i="11" l="1"/>
  <c r="D262" i="11" s="1"/>
  <c r="E262" i="11" s="1"/>
  <c r="L258" i="11"/>
  <c r="M258" i="11" s="1"/>
  <c r="N258" i="11" s="1"/>
  <c r="C270" i="12"/>
  <c r="D270" i="12" s="1"/>
  <c r="E270" i="12" s="1"/>
  <c r="M279" i="12"/>
  <c r="K279" i="12"/>
  <c r="J279" i="12" s="1"/>
  <c r="O279" i="12" s="1"/>
  <c r="C271" i="12" l="1"/>
  <c r="D271" i="12" s="1"/>
  <c r="E271" i="12"/>
  <c r="L259" i="11"/>
  <c r="M259" i="11" s="1"/>
  <c r="N259" i="11" s="1"/>
  <c r="C263" i="11"/>
  <c r="D263" i="11" s="1"/>
  <c r="E263" i="11"/>
  <c r="K280" i="12"/>
  <c r="J280" i="12" s="1"/>
  <c r="O280" i="12" s="1"/>
  <c r="M280" i="12"/>
  <c r="L260" i="11" l="1"/>
  <c r="M260" i="11" s="1"/>
  <c r="N260" i="11" s="1"/>
  <c r="C264" i="11"/>
  <c r="D264" i="11" s="1"/>
  <c r="E264" i="11" s="1"/>
  <c r="C272" i="12"/>
  <c r="D272" i="12" s="1"/>
  <c r="E272" i="12" s="1"/>
  <c r="M281" i="12"/>
  <c r="K281" i="12"/>
  <c r="J281" i="12" s="1"/>
  <c r="O281" i="12" s="1"/>
  <c r="C273" i="12" l="1"/>
  <c r="D273" i="12" s="1"/>
  <c r="E273" i="12" s="1"/>
  <c r="C265" i="11"/>
  <c r="D265" i="11" s="1"/>
  <c r="E265" i="11" s="1"/>
  <c r="L261" i="11"/>
  <c r="M261" i="11" s="1"/>
  <c r="N261" i="11" s="1"/>
  <c r="M282" i="12"/>
  <c r="K282" i="12"/>
  <c r="J282" i="12" s="1"/>
  <c r="O282" i="12" s="1"/>
  <c r="L262" i="11" l="1"/>
  <c r="M262" i="11" s="1"/>
  <c r="N262" i="11" s="1"/>
  <c r="C266" i="11"/>
  <c r="D266" i="11" s="1"/>
  <c r="E266" i="11" s="1"/>
  <c r="C274" i="12"/>
  <c r="D274" i="12" s="1"/>
  <c r="E274" i="12" s="1"/>
  <c r="K283" i="12"/>
  <c r="J283" i="12" s="1"/>
  <c r="O283" i="12" s="1"/>
  <c r="M283" i="12"/>
  <c r="C275" i="12" l="1"/>
  <c r="D275" i="12" s="1"/>
  <c r="E275" i="12" s="1"/>
  <c r="C267" i="11"/>
  <c r="D267" i="11" s="1"/>
  <c r="E267" i="11" s="1"/>
  <c r="L263" i="11"/>
  <c r="M263" i="11" s="1"/>
  <c r="N263" i="11" s="1"/>
  <c r="M284" i="12"/>
  <c r="K284" i="12"/>
  <c r="J284" i="12" s="1"/>
  <c r="O284" i="12" s="1"/>
  <c r="L264" i="11" l="1"/>
  <c r="M264" i="11" s="1"/>
  <c r="N264" i="11" s="1"/>
  <c r="C268" i="11"/>
  <c r="D268" i="11" s="1"/>
  <c r="E268" i="11" s="1"/>
  <c r="C276" i="12"/>
  <c r="D276" i="12" s="1"/>
  <c r="E276" i="12" s="1"/>
  <c r="K285" i="12"/>
  <c r="J285" i="12" s="1"/>
  <c r="O285" i="12" s="1"/>
  <c r="M285" i="12"/>
  <c r="C277" i="12" l="1"/>
  <c r="D277" i="12" s="1"/>
  <c r="E277" i="12"/>
  <c r="C269" i="11"/>
  <c r="D269" i="11" s="1"/>
  <c r="E269" i="11" s="1"/>
  <c r="L265" i="11"/>
  <c r="M265" i="11" s="1"/>
  <c r="N265" i="11" s="1"/>
  <c r="K286" i="12"/>
  <c r="J286" i="12" s="1"/>
  <c r="O286" i="12" s="1"/>
  <c r="M286" i="12"/>
  <c r="L266" i="11" l="1"/>
  <c r="M266" i="11" s="1"/>
  <c r="N266" i="11" s="1"/>
  <c r="C270" i="11"/>
  <c r="D270" i="11" s="1"/>
  <c r="E270" i="11" s="1"/>
  <c r="C278" i="12"/>
  <c r="D278" i="12" s="1"/>
  <c r="E278" i="12" s="1"/>
  <c r="M287" i="12"/>
  <c r="K287" i="12"/>
  <c r="J287" i="12" s="1"/>
  <c r="O287" i="12" s="1"/>
  <c r="C279" i="12" l="1"/>
  <c r="D279" i="12" s="1"/>
  <c r="E279" i="12" s="1"/>
  <c r="L267" i="11"/>
  <c r="M267" i="11" s="1"/>
  <c r="N267" i="11" s="1"/>
  <c r="C271" i="11"/>
  <c r="D271" i="11" s="1"/>
  <c r="E271" i="11" s="1"/>
  <c r="M288" i="12"/>
  <c r="K288" i="12"/>
  <c r="J288" i="12" s="1"/>
  <c r="O288" i="12" s="1"/>
  <c r="C272" i="11" l="1"/>
  <c r="D272" i="11" s="1"/>
  <c r="E272" i="11"/>
  <c r="L268" i="11"/>
  <c r="M268" i="11" s="1"/>
  <c r="N268" i="11" s="1"/>
  <c r="C280" i="12"/>
  <c r="D280" i="12" s="1"/>
  <c r="E280" i="12"/>
  <c r="K289" i="12"/>
  <c r="J289" i="12" s="1"/>
  <c r="O289" i="12" s="1"/>
  <c r="M289" i="12"/>
  <c r="C281" i="12" l="1"/>
  <c r="D281" i="12" s="1"/>
  <c r="E281" i="12" s="1"/>
  <c r="L269" i="11"/>
  <c r="M269" i="11" s="1"/>
  <c r="N269" i="11" s="1"/>
  <c r="C273" i="11"/>
  <c r="D273" i="11" s="1"/>
  <c r="E273" i="11" s="1"/>
  <c r="M290" i="12"/>
  <c r="K290" i="12"/>
  <c r="J290" i="12" s="1"/>
  <c r="O290" i="12" s="1"/>
  <c r="L270" i="11" l="1"/>
  <c r="M270" i="11" s="1"/>
  <c r="N270" i="11" s="1"/>
  <c r="E274" i="11"/>
  <c r="C274" i="11"/>
  <c r="D274" i="11" s="1"/>
  <c r="C282" i="12"/>
  <c r="D282" i="12" s="1"/>
  <c r="E282" i="12" s="1"/>
  <c r="M291" i="12"/>
  <c r="K291" i="12"/>
  <c r="J291" i="12" s="1"/>
  <c r="O291" i="12" s="1"/>
  <c r="C283" i="12" l="1"/>
  <c r="D283" i="12" s="1"/>
  <c r="E283" i="12" s="1"/>
  <c r="C275" i="11"/>
  <c r="D275" i="11" s="1"/>
  <c r="E275" i="11" s="1"/>
  <c r="L271" i="11"/>
  <c r="M271" i="11" s="1"/>
  <c r="N271" i="11" s="1"/>
  <c r="K292" i="12"/>
  <c r="J292" i="12" s="1"/>
  <c r="O292" i="12" s="1"/>
  <c r="M292" i="12"/>
  <c r="C276" i="11" l="1"/>
  <c r="D276" i="11" s="1"/>
  <c r="E276" i="11" s="1"/>
  <c r="L272" i="11"/>
  <c r="M272" i="11" s="1"/>
  <c r="N272" i="11" s="1"/>
  <c r="C284" i="12"/>
  <c r="D284" i="12" s="1"/>
  <c r="E284" i="12" s="1"/>
  <c r="M293" i="12"/>
  <c r="K293" i="12"/>
  <c r="J293" i="12" s="1"/>
  <c r="O293" i="12" s="1"/>
  <c r="C277" i="11" l="1"/>
  <c r="D277" i="11" s="1"/>
  <c r="E277" i="11" s="1"/>
  <c r="C285" i="12"/>
  <c r="D285" i="12" s="1"/>
  <c r="E285" i="12" s="1"/>
  <c r="L273" i="11"/>
  <c r="M273" i="11" s="1"/>
  <c r="N273" i="11" s="1"/>
  <c r="K294" i="12"/>
  <c r="J294" i="12" s="1"/>
  <c r="O294" i="12" s="1"/>
  <c r="M294" i="12"/>
  <c r="L274" i="11" l="1"/>
  <c r="M274" i="11" s="1"/>
  <c r="N274" i="11" s="1"/>
  <c r="C286" i="12"/>
  <c r="D286" i="12" s="1"/>
  <c r="E286" i="12" s="1"/>
  <c r="C278" i="11"/>
  <c r="D278" i="11" s="1"/>
  <c r="E278" i="11" s="1"/>
  <c r="K295" i="12"/>
  <c r="J295" i="12" s="1"/>
  <c r="O295" i="12" s="1"/>
  <c r="M295" i="12"/>
  <c r="C279" i="11" l="1"/>
  <c r="D279" i="11" s="1"/>
  <c r="E279" i="11" s="1"/>
  <c r="C287" i="12"/>
  <c r="D287" i="12" s="1"/>
  <c r="E287" i="12" s="1"/>
  <c r="M296" i="12"/>
  <c r="K296" i="12"/>
  <c r="J296" i="12" s="1"/>
  <c r="O296" i="12" s="1"/>
  <c r="L275" i="11"/>
  <c r="M275" i="11" s="1"/>
  <c r="N275" i="11" s="1"/>
  <c r="L276" i="11" l="1"/>
  <c r="M276" i="11" s="1"/>
  <c r="N276" i="11" s="1"/>
  <c r="C288" i="12"/>
  <c r="D288" i="12" s="1"/>
  <c r="E288" i="12" s="1"/>
  <c r="C280" i="11"/>
  <c r="D280" i="11" s="1"/>
  <c r="E280" i="11" s="1"/>
  <c r="M297" i="12"/>
  <c r="K297" i="12"/>
  <c r="J297" i="12" s="1"/>
  <c r="O297" i="12" s="1"/>
  <c r="C281" i="11" l="1"/>
  <c r="D281" i="11" s="1"/>
  <c r="E281" i="11" s="1"/>
  <c r="C289" i="12"/>
  <c r="D289" i="12" s="1"/>
  <c r="E289" i="12" s="1"/>
  <c r="L277" i="11"/>
  <c r="M277" i="11" s="1"/>
  <c r="N277" i="11" s="1"/>
  <c r="K298" i="12"/>
  <c r="J298" i="12" s="1"/>
  <c r="O298" i="12" s="1"/>
  <c r="M298" i="12"/>
  <c r="C290" i="12" l="1"/>
  <c r="D290" i="12" s="1"/>
  <c r="E290" i="12" s="1"/>
  <c r="L278" i="11"/>
  <c r="M278" i="11" s="1"/>
  <c r="N278" i="11" s="1"/>
  <c r="C282" i="11"/>
  <c r="D282" i="11" s="1"/>
  <c r="E282" i="11"/>
  <c r="M299" i="12"/>
  <c r="K299" i="12"/>
  <c r="J299" i="12" s="1"/>
  <c r="O299" i="12" s="1"/>
  <c r="C291" i="12" l="1"/>
  <c r="D291" i="12" s="1"/>
  <c r="E291" i="12"/>
  <c r="C283" i="11"/>
  <c r="D283" i="11" s="1"/>
  <c r="E283" i="11" s="1"/>
  <c r="L279" i="11"/>
  <c r="M279" i="11" s="1"/>
  <c r="N279" i="11" s="1"/>
  <c r="M300" i="12"/>
  <c r="K300" i="12"/>
  <c r="J300" i="12" s="1"/>
  <c r="O300" i="12" s="1"/>
  <c r="L280" i="11" l="1"/>
  <c r="M280" i="11" s="1"/>
  <c r="N280" i="11" s="1"/>
  <c r="C284" i="11"/>
  <c r="D284" i="11" s="1"/>
  <c r="E284" i="11" s="1"/>
  <c r="C292" i="12"/>
  <c r="D292" i="12" s="1"/>
  <c r="E292" i="12" s="1"/>
  <c r="K301" i="12"/>
  <c r="J301" i="12" s="1"/>
  <c r="O301" i="12" s="1"/>
  <c r="M301" i="12"/>
  <c r="C285" i="11" l="1"/>
  <c r="D285" i="11" s="1"/>
  <c r="E285" i="11" s="1"/>
  <c r="C293" i="12"/>
  <c r="D293" i="12" s="1"/>
  <c r="E293" i="12" s="1"/>
  <c r="L281" i="11"/>
  <c r="M281" i="11" s="1"/>
  <c r="N281" i="11" s="1"/>
  <c r="M302" i="12"/>
  <c r="K302" i="12"/>
  <c r="J302" i="12" s="1"/>
  <c r="O302" i="12" s="1"/>
  <c r="L282" i="11" l="1"/>
  <c r="M282" i="11" s="1"/>
  <c r="N282" i="11" s="1"/>
  <c r="C294" i="12"/>
  <c r="D294" i="12" s="1"/>
  <c r="E294" i="12" s="1"/>
  <c r="C286" i="11"/>
  <c r="D286" i="11" s="1"/>
  <c r="E286" i="11" s="1"/>
  <c r="K303" i="12"/>
  <c r="J303" i="12" s="1"/>
  <c r="O303" i="12" s="1"/>
  <c r="M303" i="12"/>
  <c r="C295" i="12" l="1"/>
  <c r="D295" i="12" s="1"/>
  <c r="E295" i="12" s="1"/>
  <c r="C287" i="11"/>
  <c r="D287" i="11" s="1"/>
  <c r="E287" i="11" s="1"/>
  <c r="L283" i="11"/>
  <c r="M283" i="11" s="1"/>
  <c r="N283" i="11" s="1"/>
  <c r="K304" i="12"/>
  <c r="J304" i="12" s="1"/>
  <c r="O304" i="12" s="1"/>
  <c r="M304" i="12"/>
  <c r="C288" i="11" l="1"/>
  <c r="D288" i="11" s="1"/>
  <c r="E288" i="11"/>
  <c r="L284" i="11"/>
  <c r="M284" i="11" s="1"/>
  <c r="N284" i="11" s="1"/>
  <c r="C296" i="12"/>
  <c r="D296" i="12" s="1"/>
  <c r="E296" i="12" s="1"/>
  <c r="M305" i="12"/>
  <c r="K305" i="12"/>
  <c r="J305" i="12" s="1"/>
  <c r="O305" i="12" s="1"/>
  <c r="C297" i="12" l="1"/>
  <c r="D297" i="12" s="1"/>
  <c r="E297" i="12"/>
  <c r="L285" i="11"/>
  <c r="M285" i="11" s="1"/>
  <c r="N285" i="11" s="1"/>
  <c r="C289" i="11"/>
  <c r="D289" i="11" s="1"/>
  <c r="E289" i="11" s="1"/>
  <c r="M306" i="12"/>
  <c r="K306" i="12"/>
  <c r="J306" i="12" s="1"/>
  <c r="O306" i="12" s="1"/>
  <c r="C290" i="11" l="1"/>
  <c r="D290" i="11" s="1"/>
  <c r="E290" i="11" s="1"/>
  <c r="L286" i="11"/>
  <c r="M286" i="11" s="1"/>
  <c r="N286" i="11" s="1"/>
  <c r="C298" i="12"/>
  <c r="D298" i="12" s="1"/>
  <c r="E298" i="12" s="1"/>
  <c r="K307" i="12"/>
  <c r="J307" i="12" s="1"/>
  <c r="O307" i="12" s="1"/>
  <c r="M307" i="12"/>
  <c r="L287" i="11" l="1"/>
  <c r="M287" i="11" s="1"/>
  <c r="N287" i="11" s="1"/>
  <c r="C299" i="12"/>
  <c r="D299" i="12" s="1"/>
  <c r="E299" i="12" s="1"/>
  <c r="C291" i="11"/>
  <c r="D291" i="11" s="1"/>
  <c r="E291" i="11" s="1"/>
  <c r="M308" i="12"/>
  <c r="K308" i="12"/>
  <c r="J308" i="12" s="1"/>
  <c r="O308" i="12" s="1"/>
  <c r="C292" i="11" l="1"/>
  <c r="D292" i="11" s="1"/>
  <c r="E292" i="11" s="1"/>
  <c r="C300" i="12"/>
  <c r="D300" i="12" s="1"/>
  <c r="E300" i="12" s="1"/>
  <c r="L288" i="11"/>
  <c r="M288" i="11" s="1"/>
  <c r="N288" i="11" s="1"/>
  <c r="M309" i="12"/>
  <c r="K309" i="12"/>
  <c r="J309" i="12" s="1"/>
  <c r="O309" i="12" s="1"/>
  <c r="L289" i="11" l="1"/>
  <c r="M289" i="11" s="1"/>
  <c r="N289" i="11" s="1"/>
  <c r="C301" i="12"/>
  <c r="D301" i="12" s="1"/>
  <c r="E301" i="12" s="1"/>
  <c r="C293" i="11"/>
  <c r="D293" i="11" s="1"/>
  <c r="E293" i="11" s="1"/>
  <c r="K310" i="12"/>
  <c r="J310" i="12" s="1"/>
  <c r="O310" i="12" s="1"/>
  <c r="M310" i="12"/>
  <c r="C294" i="11" l="1"/>
  <c r="D294" i="11" s="1"/>
  <c r="E294" i="11"/>
  <c r="C302" i="12"/>
  <c r="D302" i="12" s="1"/>
  <c r="E302" i="12" s="1"/>
  <c r="M311" i="12"/>
  <c r="K311" i="12"/>
  <c r="J311" i="12" s="1"/>
  <c r="O311" i="12" s="1"/>
  <c r="L290" i="11"/>
  <c r="M290" i="11" s="1"/>
  <c r="N290" i="11" s="1"/>
  <c r="L291" i="11" l="1"/>
  <c r="M291" i="11" s="1"/>
  <c r="N291" i="11" s="1"/>
  <c r="C303" i="12"/>
  <c r="D303" i="12" s="1"/>
  <c r="E303" i="12"/>
  <c r="K312" i="12"/>
  <c r="J312" i="12" s="1"/>
  <c r="O312" i="12" s="1"/>
  <c r="M312" i="12"/>
  <c r="C295" i="11"/>
  <c r="D295" i="11" s="1"/>
  <c r="E295" i="11" s="1"/>
  <c r="C296" i="11" l="1"/>
  <c r="D296" i="11" s="1"/>
  <c r="E296" i="11" s="1"/>
  <c r="L292" i="11"/>
  <c r="M292" i="11" s="1"/>
  <c r="N292" i="11" s="1"/>
  <c r="C304" i="12"/>
  <c r="D304" i="12" s="1"/>
  <c r="E304" i="12" s="1"/>
  <c r="K313" i="12"/>
  <c r="J313" i="12" s="1"/>
  <c r="O313" i="12" s="1"/>
  <c r="M313" i="12"/>
  <c r="C305" i="12" l="1"/>
  <c r="D305" i="12" s="1"/>
  <c r="E305" i="12" s="1"/>
  <c r="L293" i="11"/>
  <c r="M293" i="11" s="1"/>
  <c r="N293" i="11" s="1"/>
  <c r="C297" i="11"/>
  <c r="D297" i="11" s="1"/>
  <c r="E297" i="11" s="1"/>
  <c r="M314" i="12"/>
  <c r="K314" i="12"/>
  <c r="J314" i="12" s="1"/>
  <c r="O314" i="12" s="1"/>
  <c r="C298" i="11" l="1"/>
  <c r="D298" i="11" s="1"/>
  <c r="E298" i="11" s="1"/>
  <c r="L294" i="11"/>
  <c r="M294" i="11" s="1"/>
  <c r="N294" i="11" s="1"/>
  <c r="C306" i="12"/>
  <c r="D306" i="12" s="1"/>
  <c r="E306" i="12" s="1"/>
  <c r="K315" i="12"/>
  <c r="J315" i="12" s="1"/>
  <c r="O315" i="12" s="1"/>
  <c r="M315" i="12"/>
  <c r="C307" i="12" l="1"/>
  <c r="D307" i="12" s="1"/>
  <c r="E307" i="12" s="1"/>
  <c r="L295" i="11"/>
  <c r="M295" i="11" s="1"/>
  <c r="N295" i="11" s="1"/>
  <c r="C299" i="11"/>
  <c r="D299" i="11" s="1"/>
  <c r="E299" i="11" s="1"/>
  <c r="K316" i="12"/>
  <c r="J316" i="12" s="1"/>
  <c r="O316" i="12" s="1"/>
  <c r="M316" i="12"/>
  <c r="C300" i="11" l="1"/>
  <c r="D300" i="11" s="1"/>
  <c r="E300" i="11"/>
  <c r="C308" i="12"/>
  <c r="D308" i="12" s="1"/>
  <c r="E308" i="12" s="1"/>
  <c r="L296" i="11"/>
  <c r="M296" i="11" s="1"/>
  <c r="N296" i="11" s="1"/>
  <c r="M317" i="12"/>
  <c r="K317" i="12"/>
  <c r="J317" i="12" s="1"/>
  <c r="O317" i="12" s="1"/>
  <c r="L297" i="11" l="1"/>
  <c r="M297" i="11" s="1"/>
  <c r="N297" i="11" s="1"/>
  <c r="C309" i="12"/>
  <c r="D309" i="12" s="1"/>
  <c r="E309" i="12" s="1"/>
  <c r="C301" i="11"/>
  <c r="D301" i="11" s="1"/>
  <c r="E301" i="11" s="1"/>
  <c r="K318" i="12"/>
  <c r="J318" i="12" s="1"/>
  <c r="O318" i="12" s="1"/>
  <c r="M318" i="12"/>
  <c r="C302" i="11" l="1"/>
  <c r="D302" i="11" s="1"/>
  <c r="E302" i="11" s="1"/>
  <c r="C310" i="12"/>
  <c r="D310" i="12" s="1"/>
  <c r="E310" i="12" s="1"/>
  <c r="L298" i="11"/>
  <c r="M298" i="11" s="1"/>
  <c r="N298" i="11" s="1"/>
  <c r="K319" i="12"/>
  <c r="J319" i="12" s="1"/>
  <c r="O319" i="12" s="1"/>
  <c r="M319" i="12"/>
  <c r="L299" i="11" l="1"/>
  <c r="M299" i="11" s="1"/>
  <c r="N299" i="11" s="1"/>
  <c r="C311" i="12"/>
  <c r="D311" i="12" s="1"/>
  <c r="E311" i="12" s="1"/>
  <c r="C303" i="11"/>
  <c r="D303" i="11" s="1"/>
  <c r="E303" i="11" s="1"/>
  <c r="M320" i="12"/>
  <c r="K320" i="12"/>
  <c r="J320" i="12" s="1"/>
  <c r="O320" i="12" s="1"/>
  <c r="C304" i="11" l="1"/>
  <c r="D304" i="11" s="1"/>
  <c r="E304" i="11" s="1"/>
  <c r="C312" i="12"/>
  <c r="D312" i="12" s="1"/>
  <c r="E312" i="12" s="1"/>
  <c r="L300" i="11"/>
  <c r="M300" i="11" s="1"/>
  <c r="N300" i="11" s="1"/>
  <c r="K321" i="12"/>
  <c r="J321" i="12" s="1"/>
  <c r="O321" i="12" s="1"/>
  <c r="M321" i="12"/>
  <c r="L301" i="11" l="1"/>
  <c r="M301" i="11" s="1"/>
  <c r="N301" i="11" s="1"/>
  <c r="C313" i="12"/>
  <c r="D313" i="12" s="1"/>
  <c r="E313" i="12" s="1"/>
  <c r="C305" i="11"/>
  <c r="D305" i="11" s="1"/>
  <c r="E305" i="11" s="1"/>
  <c r="K322" i="12"/>
  <c r="J322" i="12" s="1"/>
  <c r="O322" i="12" s="1"/>
  <c r="M322" i="12"/>
  <c r="C306" i="11" l="1"/>
  <c r="D306" i="11" s="1"/>
  <c r="E306" i="11"/>
  <c r="C314" i="12"/>
  <c r="D314" i="12" s="1"/>
  <c r="E314" i="12" s="1"/>
  <c r="M323" i="12"/>
  <c r="K323" i="12"/>
  <c r="J323" i="12" s="1"/>
  <c r="O323" i="12" s="1"/>
  <c r="L302" i="11"/>
  <c r="M302" i="11" s="1"/>
  <c r="N302" i="11" s="1"/>
  <c r="L303" i="11" l="1"/>
  <c r="M303" i="11" s="1"/>
  <c r="N303" i="11" s="1"/>
  <c r="C315" i="12"/>
  <c r="D315" i="12" s="1"/>
  <c r="E315" i="12"/>
  <c r="K324" i="12"/>
  <c r="J324" i="12" s="1"/>
  <c r="O324" i="12" s="1"/>
  <c r="M324" i="12"/>
  <c r="C307" i="11"/>
  <c r="D307" i="11" s="1"/>
  <c r="E307" i="11" s="1"/>
  <c r="C308" i="11" l="1"/>
  <c r="D308" i="11" s="1"/>
  <c r="E308" i="11" s="1"/>
  <c r="L304" i="11"/>
  <c r="M304" i="11" s="1"/>
  <c r="N304" i="11" s="1"/>
  <c r="K325" i="12"/>
  <c r="J325" i="12" s="1"/>
  <c r="O325" i="12" s="1"/>
  <c r="M325" i="12"/>
  <c r="C316" i="12"/>
  <c r="D316" i="12" s="1"/>
  <c r="E316" i="12" s="1"/>
  <c r="C317" i="12" l="1"/>
  <c r="D317" i="12" s="1"/>
  <c r="E317" i="12" s="1"/>
  <c r="L305" i="11"/>
  <c r="M305" i="11" s="1"/>
  <c r="N305" i="11" s="1"/>
  <c r="C309" i="11"/>
  <c r="D309" i="11" s="1"/>
  <c r="E309" i="11" s="1"/>
  <c r="M326" i="12"/>
  <c r="K326" i="12"/>
  <c r="J326" i="12" s="1"/>
  <c r="O326" i="12" s="1"/>
  <c r="C310" i="11" l="1"/>
  <c r="D310" i="11" s="1"/>
  <c r="E310" i="11" s="1"/>
  <c r="L306" i="11"/>
  <c r="M306" i="11" s="1"/>
  <c r="N306" i="11" s="1"/>
  <c r="C318" i="12"/>
  <c r="D318" i="12" s="1"/>
  <c r="E318" i="12" s="1"/>
  <c r="K327" i="12"/>
  <c r="J327" i="12" s="1"/>
  <c r="O327" i="12" s="1"/>
  <c r="M327" i="12"/>
  <c r="C319" i="12" l="1"/>
  <c r="D319" i="12" s="1"/>
  <c r="E319" i="12" s="1"/>
  <c r="L307" i="11"/>
  <c r="M307" i="11" s="1"/>
  <c r="N307" i="11" s="1"/>
  <c r="C311" i="11"/>
  <c r="D311" i="11" s="1"/>
  <c r="E311" i="11" s="1"/>
  <c r="K328" i="12"/>
  <c r="J328" i="12" s="1"/>
  <c r="O328" i="12" s="1"/>
  <c r="M328" i="12"/>
  <c r="C312" i="11" l="1"/>
  <c r="D312" i="11" s="1"/>
  <c r="E312" i="11"/>
  <c r="L308" i="11"/>
  <c r="M308" i="11" s="1"/>
  <c r="N308" i="11" s="1"/>
  <c r="C320" i="12"/>
  <c r="D320" i="12" s="1"/>
  <c r="E320" i="12" s="1"/>
  <c r="M329" i="12"/>
  <c r="K329" i="12"/>
  <c r="J329" i="12" s="1"/>
  <c r="O329" i="12" s="1"/>
  <c r="C321" i="12" l="1"/>
  <c r="D321" i="12" s="1"/>
  <c r="E321" i="12"/>
  <c r="L309" i="11"/>
  <c r="M309" i="11" s="1"/>
  <c r="N309" i="11" s="1"/>
  <c r="C313" i="11"/>
  <c r="D313" i="11" s="1"/>
  <c r="E313" i="11" s="1"/>
  <c r="K330" i="12"/>
  <c r="J330" i="12" s="1"/>
  <c r="O330" i="12" s="1"/>
  <c r="M330" i="12"/>
  <c r="C314" i="11" l="1"/>
  <c r="D314" i="11" s="1"/>
  <c r="E314" i="11" s="1"/>
  <c r="L310" i="11"/>
  <c r="M310" i="11" s="1"/>
  <c r="N310" i="11" s="1"/>
  <c r="C322" i="12"/>
  <c r="D322" i="12" s="1"/>
  <c r="E322" i="12" s="1"/>
  <c r="K331" i="12"/>
  <c r="J331" i="12" s="1"/>
  <c r="O331" i="12" s="1"/>
  <c r="M331" i="12"/>
  <c r="C323" i="12" l="1"/>
  <c r="D323" i="12" s="1"/>
  <c r="E323" i="12"/>
  <c r="L311" i="11"/>
  <c r="M311" i="11" s="1"/>
  <c r="N311" i="11" s="1"/>
  <c r="C315" i="11"/>
  <c r="D315" i="11" s="1"/>
  <c r="E315" i="11" s="1"/>
  <c r="M332" i="12"/>
  <c r="K332" i="12"/>
  <c r="J332" i="12" s="1"/>
  <c r="O332" i="12" s="1"/>
  <c r="C316" i="11" l="1"/>
  <c r="D316" i="11" s="1"/>
  <c r="E316" i="11" s="1"/>
  <c r="L312" i="11"/>
  <c r="M312" i="11" s="1"/>
  <c r="N312" i="11" s="1"/>
  <c r="C324" i="12"/>
  <c r="D324" i="12" s="1"/>
  <c r="E324" i="12" s="1"/>
  <c r="K333" i="12"/>
  <c r="J333" i="12" s="1"/>
  <c r="O333" i="12" s="1"/>
  <c r="M333" i="12"/>
  <c r="C325" i="12" l="1"/>
  <c r="D325" i="12" s="1"/>
  <c r="E325" i="12" s="1"/>
  <c r="L313" i="11"/>
  <c r="M313" i="11" s="1"/>
  <c r="N313" i="11" s="1"/>
  <c r="C317" i="11"/>
  <c r="D317" i="11" s="1"/>
  <c r="E317" i="11" s="1"/>
  <c r="K334" i="12"/>
  <c r="J334" i="12" s="1"/>
  <c r="O334" i="12" s="1"/>
  <c r="M334" i="12"/>
  <c r="C318" i="11" l="1"/>
  <c r="D318" i="11" s="1"/>
  <c r="E318" i="11"/>
  <c r="C326" i="12"/>
  <c r="D326" i="12" s="1"/>
  <c r="E326" i="12" s="1"/>
  <c r="L314" i="11"/>
  <c r="M314" i="11" s="1"/>
  <c r="N314" i="11" s="1"/>
  <c r="M335" i="12"/>
  <c r="K335" i="12"/>
  <c r="J335" i="12" s="1"/>
  <c r="O335" i="12" s="1"/>
  <c r="L315" i="11" l="1"/>
  <c r="M315" i="11" s="1"/>
  <c r="N315" i="11" s="1"/>
  <c r="C327" i="12"/>
  <c r="D327" i="12" s="1"/>
  <c r="E327" i="12" s="1"/>
  <c r="C319" i="11"/>
  <c r="D319" i="11" s="1"/>
  <c r="E319" i="11" s="1"/>
  <c r="K336" i="12"/>
  <c r="J336" i="12" s="1"/>
  <c r="O336" i="12" s="1"/>
  <c r="M336" i="12"/>
  <c r="C320" i="11" l="1"/>
  <c r="D320" i="11" s="1"/>
  <c r="E320" i="11" s="1"/>
  <c r="C328" i="12"/>
  <c r="D328" i="12" s="1"/>
  <c r="E328" i="12" s="1"/>
  <c r="L316" i="11"/>
  <c r="M316" i="11" s="1"/>
  <c r="N316" i="11" s="1"/>
  <c r="K337" i="12"/>
  <c r="J337" i="12" s="1"/>
  <c r="O337" i="12" s="1"/>
  <c r="M337" i="12"/>
  <c r="L317" i="11" l="1"/>
  <c r="M317" i="11" s="1"/>
  <c r="N317" i="11" s="1"/>
  <c r="C329" i="12"/>
  <c r="D329" i="12" s="1"/>
  <c r="E329" i="12"/>
  <c r="C321" i="11"/>
  <c r="D321" i="11" s="1"/>
  <c r="E321" i="11" s="1"/>
  <c r="M338" i="12"/>
  <c r="K338" i="12"/>
  <c r="J338" i="12" s="1"/>
  <c r="O338" i="12" s="1"/>
  <c r="C322" i="11" l="1"/>
  <c r="D322" i="11" s="1"/>
  <c r="E322" i="11" s="1"/>
  <c r="L318" i="11"/>
  <c r="M318" i="11" s="1"/>
  <c r="N318" i="11" s="1"/>
  <c r="C330" i="12"/>
  <c r="D330" i="12" s="1"/>
  <c r="E330" i="12" s="1"/>
  <c r="K339" i="12"/>
  <c r="J339" i="12" s="1"/>
  <c r="O339" i="12" s="1"/>
  <c r="M339" i="12"/>
  <c r="L319" i="11" l="1"/>
  <c r="M319" i="11" s="1"/>
  <c r="N319" i="11" s="1"/>
  <c r="C331" i="12"/>
  <c r="D331" i="12" s="1"/>
  <c r="E331" i="12" s="1"/>
  <c r="C323" i="11"/>
  <c r="D323" i="11" s="1"/>
  <c r="E323" i="11" s="1"/>
  <c r="K340" i="12"/>
  <c r="J340" i="12" s="1"/>
  <c r="O340" i="12" s="1"/>
  <c r="M340" i="12"/>
  <c r="C324" i="11" l="1"/>
  <c r="D324" i="11" s="1"/>
  <c r="E324" i="11"/>
  <c r="C332" i="12"/>
  <c r="D332" i="12" s="1"/>
  <c r="E332" i="12" s="1"/>
  <c r="L320" i="11"/>
  <c r="M320" i="11" s="1"/>
  <c r="N320" i="11" s="1"/>
  <c r="M341" i="12"/>
  <c r="K341" i="12"/>
  <c r="J341" i="12" s="1"/>
  <c r="O341" i="12" s="1"/>
  <c r="L321" i="11" l="1"/>
  <c r="M321" i="11" s="1"/>
  <c r="N321" i="11" s="1"/>
  <c r="C333" i="12"/>
  <c r="D333" i="12" s="1"/>
  <c r="E333" i="12" s="1"/>
  <c r="C325" i="11"/>
  <c r="D325" i="11" s="1"/>
  <c r="E325" i="11" s="1"/>
  <c r="K342" i="12"/>
  <c r="J342" i="12" s="1"/>
  <c r="O342" i="12" s="1"/>
  <c r="M342" i="12"/>
  <c r="C334" i="12" l="1"/>
  <c r="D334" i="12" s="1"/>
  <c r="E334" i="12" s="1"/>
  <c r="C326" i="11"/>
  <c r="D326" i="11" s="1"/>
  <c r="E326" i="11" s="1"/>
  <c r="L322" i="11"/>
  <c r="M322" i="11" s="1"/>
  <c r="N322" i="11" s="1"/>
  <c r="K343" i="12"/>
  <c r="J343" i="12" s="1"/>
  <c r="O343" i="12" s="1"/>
  <c r="M343" i="12"/>
  <c r="C327" i="11" l="1"/>
  <c r="D327" i="11" s="1"/>
  <c r="E327" i="11"/>
  <c r="L323" i="11"/>
  <c r="M323" i="11" s="1"/>
  <c r="N323" i="11" s="1"/>
  <c r="C335" i="12"/>
  <c r="D335" i="12" s="1"/>
  <c r="E335" i="12"/>
  <c r="M344" i="12"/>
  <c r="K344" i="12"/>
  <c r="J344" i="12" s="1"/>
  <c r="O344" i="12" s="1"/>
  <c r="L324" i="11" l="1"/>
  <c r="M324" i="11" s="1"/>
  <c r="N324" i="11" s="1"/>
  <c r="C336" i="12"/>
  <c r="D336" i="12" s="1"/>
  <c r="E336" i="12" s="1"/>
  <c r="C328" i="11"/>
  <c r="D328" i="11" s="1"/>
  <c r="E328" i="11" s="1"/>
  <c r="K345" i="12"/>
  <c r="J345" i="12" s="1"/>
  <c r="O345" i="12" s="1"/>
  <c r="M345" i="12"/>
  <c r="C329" i="11" l="1"/>
  <c r="D329" i="11" s="1"/>
  <c r="E329" i="11" s="1"/>
  <c r="C337" i="12"/>
  <c r="D337" i="12" s="1"/>
  <c r="E337" i="12" s="1"/>
  <c r="L325" i="11"/>
  <c r="M325" i="11" s="1"/>
  <c r="N325" i="11" s="1"/>
  <c r="M346" i="12"/>
  <c r="K346" i="12"/>
  <c r="J346" i="12" s="1"/>
  <c r="O346" i="12" s="1"/>
  <c r="C338" i="12" l="1"/>
  <c r="D338" i="12" s="1"/>
  <c r="E338" i="12"/>
  <c r="E330" i="11"/>
  <c r="C330" i="11"/>
  <c r="D330" i="11" s="1"/>
  <c r="L326" i="11"/>
  <c r="M326" i="11" s="1"/>
  <c r="N326" i="11" s="1"/>
  <c r="M347" i="12"/>
  <c r="K347" i="12"/>
  <c r="J347" i="12" s="1"/>
  <c r="O347" i="12" s="1"/>
  <c r="L327" i="11" l="1"/>
  <c r="M327" i="11" s="1"/>
  <c r="N327" i="11" s="1"/>
  <c r="C331" i="11"/>
  <c r="D331" i="11" s="1"/>
  <c r="E331" i="11" s="1"/>
  <c r="C339" i="12"/>
  <c r="D339" i="12" s="1"/>
  <c r="E339" i="12" s="1"/>
  <c r="K348" i="12"/>
  <c r="J348" i="12" s="1"/>
  <c r="O348" i="12" s="1"/>
  <c r="M348" i="12"/>
  <c r="C340" i="12" l="1"/>
  <c r="D340" i="12" s="1"/>
  <c r="E340" i="12" s="1"/>
  <c r="C332" i="11"/>
  <c r="D332" i="11" s="1"/>
  <c r="E332" i="11" s="1"/>
  <c r="L328" i="11"/>
  <c r="M328" i="11" s="1"/>
  <c r="N328" i="11" s="1"/>
  <c r="M349" i="12"/>
  <c r="K349" i="12"/>
  <c r="J349" i="12" s="1"/>
  <c r="O349" i="12" s="1"/>
  <c r="L329" i="11" l="1"/>
  <c r="M329" i="11" s="1"/>
  <c r="N329" i="11" s="1"/>
  <c r="C333" i="11"/>
  <c r="D333" i="11" s="1"/>
  <c r="E333" i="11" s="1"/>
  <c r="C341" i="12"/>
  <c r="D341" i="12" s="1"/>
  <c r="E341" i="12" s="1"/>
  <c r="M350" i="12"/>
  <c r="K350" i="12"/>
  <c r="J350" i="12" s="1"/>
  <c r="O350" i="12" s="1"/>
  <c r="C342" i="12" l="1"/>
  <c r="D342" i="12" s="1"/>
  <c r="E342" i="12"/>
  <c r="C334" i="11"/>
  <c r="D334" i="11" s="1"/>
  <c r="E334" i="11" s="1"/>
  <c r="L330" i="11"/>
  <c r="M330" i="11" s="1"/>
  <c r="N330" i="11" s="1"/>
  <c r="K351" i="12"/>
  <c r="J351" i="12" s="1"/>
  <c r="O351" i="12" s="1"/>
  <c r="M351" i="12"/>
  <c r="L331" i="11" l="1"/>
  <c r="M331" i="11" s="1"/>
  <c r="N331" i="11" s="1"/>
  <c r="C335" i="11"/>
  <c r="D335" i="11" s="1"/>
  <c r="E335" i="11" s="1"/>
  <c r="C343" i="12"/>
  <c r="D343" i="12" s="1"/>
  <c r="E343" i="12" s="1"/>
  <c r="M352" i="12"/>
  <c r="K352" i="12"/>
  <c r="J352" i="12" s="1"/>
  <c r="O352" i="12" s="1"/>
  <c r="C344" i="12" l="1"/>
  <c r="D344" i="12" s="1"/>
  <c r="E344" i="12" s="1"/>
  <c r="C336" i="11"/>
  <c r="D336" i="11" s="1"/>
  <c r="E336" i="11"/>
  <c r="L332" i="11"/>
  <c r="M332" i="11" s="1"/>
  <c r="N332" i="11" s="1"/>
  <c r="M353" i="12"/>
  <c r="K353" i="12"/>
  <c r="J353" i="12" s="1"/>
  <c r="O353" i="12" s="1"/>
  <c r="L333" i="11" l="1"/>
  <c r="M333" i="11" s="1"/>
  <c r="N333" i="11" s="1"/>
  <c r="C345" i="12"/>
  <c r="D345" i="12" s="1"/>
  <c r="E345" i="12"/>
  <c r="C337" i="11"/>
  <c r="D337" i="11" s="1"/>
  <c r="E337" i="11" s="1"/>
  <c r="K354" i="12"/>
  <c r="J354" i="12" s="1"/>
  <c r="O354" i="12" s="1"/>
  <c r="M354" i="12"/>
  <c r="C338" i="11" l="1"/>
  <c r="D338" i="11" s="1"/>
  <c r="E338" i="11" s="1"/>
  <c r="L334" i="11"/>
  <c r="M334" i="11" s="1"/>
  <c r="N334" i="11" s="1"/>
  <c r="C346" i="12"/>
  <c r="D346" i="12" s="1"/>
  <c r="E346" i="12" s="1"/>
  <c r="M355" i="12"/>
  <c r="K355" i="12"/>
  <c r="J355" i="12" s="1"/>
  <c r="O355" i="12" s="1"/>
  <c r="L335" i="11" l="1"/>
  <c r="M335" i="11" s="1"/>
  <c r="N335" i="11" s="1"/>
  <c r="C347" i="12"/>
  <c r="D347" i="12" s="1"/>
  <c r="E347" i="12"/>
  <c r="C339" i="11"/>
  <c r="D339" i="11" s="1"/>
  <c r="E339" i="11" s="1"/>
  <c r="M356" i="12"/>
  <c r="K356" i="12"/>
  <c r="J356" i="12" s="1"/>
  <c r="O356" i="12" s="1"/>
  <c r="C340" i="11" l="1"/>
  <c r="D340" i="11" s="1"/>
  <c r="E340" i="11"/>
  <c r="L336" i="11"/>
  <c r="M336" i="11" s="1"/>
  <c r="N336" i="11" s="1"/>
  <c r="C348" i="12"/>
  <c r="D348" i="12" s="1"/>
  <c r="E348" i="12" s="1"/>
  <c r="K357" i="12"/>
  <c r="J357" i="12" s="1"/>
  <c r="O357" i="12" s="1"/>
  <c r="M357" i="12"/>
  <c r="C349" i="12" l="1"/>
  <c r="D349" i="12" s="1"/>
  <c r="E349" i="12" s="1"/>
  <c r="L337" i="11"/>
  <c r="M337" i="11" s="1"/>
  <c r="N337" i="11" s="1"/>
  <c r="M358" i="12"/>
  <c r="K358" i="12"/>
  <c r="J358" i="12" s="1"/>
  <c r="O358" i="12" s="1"/>
  <c r="C341" i="11"/>
  <c r="D341" i="11" s="1"/>
  <c r="E341" i="11"/>
  <c r="C350" i="12" l="1"/>
  <c r="D350" i="12" s="1"/>
  <c r="E350" i="12"/>
  <c r="M359" i="12"/>
  <c r="K359" i="12"/>
  <c r="J359" i="12" s="1"/>
  <c r="O359" i="12" s="1"/>
  <c r="L338" i="11"/>
  <c r="M338" i="11" s="1"/>
  <c r="N338" i="11" s="1"/>
  <c r="C342" i="11"/>
  <c r="D342" i="11" s="1"/>
  <c r="E342" i="11"/>
  <c r="L339" i="11" l="1"/>
  <c r="M339" i="11" s="1"/>
  <c r="N339" i="11" s="1"/>
  <c r="C343" i="11"/>
  <c r="D343" i="11" s="1"/>
  <c r="E343" i="11" s="1"/>
  <c r="C351" i="12"/>
  <c r="D351" i="12" s="1"/>
  <c r="E351" i="12"/>
  <c r="K360" i="12"/>
  <c r="J360" i="12" s="1"/>
  <c r="O360" i="12" s="1"/>
  <c r="M360" i="12"/>
  <c r="C344" i="11" l="1"/>
  <c r="D344" i="11" s="1"/>
  <c r="E344" i="11" s="1"/>
  <c r="L340" i="11"/>
  <c r="M340" i="11" s="1"/>
  <c r="N340" i="11" s="1"/>
  <c r="C352" i="12"/>
  <c r="D352" i="12" s="1"/>
  <c r="E352" i="12" s="1"/>
  <c r="M361" i="12"/>
  <c r="K361" i="12"/>
  <c r="J361" i="12" s="1"/>
  <c r="O361" i="12" s="1"/>
  <c r="C353" i="12" l="1"/>
  <c r="D353" i="12" s="1"/>
  <c r="E353" i="12" s="1"/>
  <c r="L341" i="11"/>
  <c r="M341" i="11" s="1"/>
  <c r="N341" i="11" s="1"/>
  <c r="C345" i="11"/>
  <c r="D345" i="11" s="1"/>
  <c r="E345" i="11" s="1"/>
  <c r="M362" i="12"/>
  <c r="K362" i="12"/>
  <c r="J362" i="12" s="1"/>
  <c r="O362" i="12" s="1"/>
  <c r="C346" i="11" l="1"/>
  <c r="D346" i="11" s="1"/>
  <c r="E346" i="11" s="1"/>
  <c r="L342" i="11"/>
  <c r="M342" i="11" s="1"/>
  <c r="N342" i="11" s="1"/>
  <c r="C354" i="12"/>
  <c r="D354" i="12" s="1"/>
  <c r="E354" i="12" s="1"/>
  <c r="M363" i="12"/>
  <c r="K363" i="12"/>
  <c r="J363" i="12" s="1"/>
  <c r="O363" i="12" s="1"/>
  <c r="C355" i="12" l="1"/>
  <c r="D355" i="12" s="1"/>
  <c r="E355" i="12" s="1"/>
  <c r="L343" i="11"/>
  <c r="M343" i="11" s="1"/>
  <c r="N343" i="11" s="1"/>
  <c r="C347" i="11"/>
  <c r="D347" i="11" s="1"/>
  <c r="E347" i="11" s="1"/>
  <c r="K364" i="12"/>
  <c r="J364" i="12" s="1"/>
  <c r="O364" i="12" s="1"/>
  <c r="M364" i="12"/>
  <c r="L344" i="11" l="1"/>
  <c r="M344" i="11" s="1"/>
  <c r="N344" i="11" s="1"/>
  <c r="C348" i="11"/>
  <c r="D348" i="11" s="1"/>
  <c r="E348" i="11" s="1"/>
  <c r="C356" i="12"/>
  <c r="D356" i="12" s="1"/>
  <c r="E356" i="12" s="1"/>
  <c r="K365" i="12"/>
  <c r="J365" i="12" s="1"/>
  <c r="O365" i="12" s="1"/>
  <c r="M365" i="12"/>
  <c r="C357" i="12" l="1"/>
  <c r="D357" i="12" s="1"/>
  <c r="E357" i="12"/>
  <c r="C349" i="11"/>
  <c r="D349" i="11" s="1"/>
  <c r="E349" i="11" s="1"/>
  <c r="L345" i="11"/>
  <c r="M345" i="11" s="1"/>
  <c r="N345" i="11" s="1"/>
  <c r="M366" i="12"/>
  <c r="K366" i="12"/>
  <c r="J366" i="12" s="1"/>
  <c r="O366" i="12" s="1"/>
  <c r="L346" i="11" l="1"/>
  <c r="M346" i="11" s="1"/>
  <c r="N346" i="11" s="1"/>
  <c r="C350" i="11"/>
  <c r="C358" i="12"/>
  <c r="D358" i="12" s="1"/>
  <c r="E358" i="12" s="1"/>
  <c r="K367" i="12"/>
  <c r="J367" i="12" s="1"/>
  <c r="O367" i="12" s="1"/>
  <c r="M367" i="12"/>
  <c r="C359" i="12" l="1"/>
  <c r="D359" i="12" s="1"/>
  <c r="E359" i="12" s="1"/>
  <c r="L347" i="11"/>
  <c r="M347" i="11" s="1"/>
  <c r="N347" i="11" s="1"/>
  <c r="C351" i="11"/>
  <c r="K368" i="12"/>
  <c r="J368" i="12" s="1"/>
  <c r="O368" i="12" s="1"/>
  <c r="M368" i="12"/>
  <c r="L348" i="11" l="1"/>
  <c r="M348" i="11" s="1"/>
  <c r="N348" i="11" s="1"/>
  <c r="C360" i="12"/>
  <c r="D360" i="12" s="1"/>
  <c r="E360" i="12"/>
  <c r="D351" i="11"/>
  <c r="E350" i="11"/>
  <c r="M369" i="12"/>
  <c r="K369" i="12"/>
  <c r="J369" i="12" s="1"/>
  <c r="O369" i="12" s="1"/>
  <c r="L349" i="11" l="1"/>
  <c r="M349" i="11" s="1"/>
  <c r="N349" i="11" s="1"/>
  <c r="C361" i="12"/>
  <c r="D361" i="12" s="1"/>
  <c r="E361" i="12"/>
  <c r="K370" i="12"/>
  <c r="J370" i="12" s="1"/>
  <c r="O370" i="12" s="1"/>
  <c r="M370" i="12"/>
  <c r="K371" i="12" l="1"/>
  <c r="J371" i="12" s="1"/>
  <c r="O371" i="12" s="1"/>
  <c r="M371" i="12"/>
  <c r="C362" i="12"/>
  <c r="D362" i="12" s="1"/>
  <c r="E362" i="12" s="1"/>
  <c r="L350" i="11"/>
  <c r="M350" i="11" s="1"/>
  <c r="N350" i="11" s="1"/>
  <c r="L351" i="11" l="1"/>
  <c r="M351" i="11" s="1"/>
  <c r="N351" i="11" s="1"/>
  <c r="C363" i="12"/>
  <c r="D363" i="12" s="1"/>
  <c r="E363" i="12" s="1"/>
  <c r="M372" i="12"/>
  <c r="K372" i="12"/>
  <c r="J372" i="12" s="1"/>
  <c r="O372" i="12" s="1"/>
  <c r="C364" i="12" l="1"/>
  <c r="D364" i="12" s="1"/>
  <c r="E364" i="12"/>
  <c r="L352" i="11"/>
  <c r="M352" i="11" s="1"/>
  <c r="N352" i="11" s="1"/>
  <c r="M373" i="12"/>
  <c r="K373" i="12"/>
  <c r="J373" i="12" s="1"/>
  <c r="O373" i="12" s="1"/>
  <c r="L353" i="11" l="1"/>
  <c r="M353" i="11" s="1"/>
  <c r="N353" i="11" s="1"/>
  <c r="K374" i="12"/>
  <c r="J374" i="12" s="1"/>
  <c r="O374" i="12" s="1"/>
  <c r="M374" i="12"/>
  <c r="C365" i="12"/>
  <c r="D365" i="12" s="1"/>
  <c r="E365" i="12" s="1"/>
  <c r="C366" i="12" l="1"/>
  <c r="D366" i="12" s="1"/>
  <c r="E366" i="12"/>
  <c r="M375" i="12"/>
  <c r="K375" i="12"/>
  <c r="J375" i="12" s="1"/>
  <c r="O375" i="12" s="1"/>
  <c r="L354" i="11"/>
  <c r="M354" i="11" s="1"/>
  <c r="N354" i="11" s="1"/>
  <c r="L355" i="11" l="1"/>
  <c r="M355" i="11" s="1"/>
  <c r="N355" i="11" s="1"/>
  <c r="C367" i="12"/>
  <c r="D367" i="12" s="1"/>
  <c r="E367" i="12" s="1"/>
  <c r="K376" i="12"/>
  <c r="J376" i="12" s="1"/>
  <c r="O376" i="12" s="1"/>
  <c r="M376" i="12"/>
  <c r="C368" i="12" l="1"/>
  <c r="D368" i="12" s="1"/>
  <c r="E368" i="12" s="1"/>
  <c r="L356" i="11"/>
  <c r="M356" i="11" s="1"/>
  <c r="N356" i="11" s="1"/>
  <c r="K377" i="12"/>
  <c r="J377" i="12" s="1"/>
  <c r="O377" i="12" s="1"/>
  <c r="M377" i="12"/>
  <c r="L357" i="11" l="1"/>
  <c r="M357" i="11" s="1"/>
  <c r="N357" i="11" s="1"/>
  <c r="C369" i="12"/>
  <c r="D369" i="12" s="1"/>
  <c r="E369" i="12" s="1"/>
  <c r="M378" i="12"/>
  <c r="K378" i="12"/>
  <c r="J378" i="12" s="1"/>
  <c r="O378" i="12" s="1"/>
  <c r="L358" i="11" l="1"/>
  <c r="M358" i="11" s="1"/>
  <c r="N358" i="11" s="1"/>
  <c r="C370" i="12"/>
  <c r="D370" i="12" s="1"/>
  <c r="E370" i="12" s="1"/>
  <c r="K379" i="12"/>
  <c r="J379" i="12" s="1"/>
  <c r="O379" i="12" s="1"/>
  <c r="M379" i="12"/>
  <c r="C371" i="12" l="1"/>
  <c r="D371" i="12" s="1"/>
  <c r="E371" i="12" s="1"/>
  <c r="L359" i="11"/>
  <c r="M359" i="11" s="1"/>
  <c r="N359" i="11" s="1"/>
  <c r="K380" i="12"/>
  <c r="J380" i="12" s="1"/>
  <c r="O380" i="12" s="1"/>
  <c r="M380" i="12"/>
  <c r="L360" i="11" l="1"/>
  <c r="M360" i="11" s="1"/>
  <c r="N360" i="11" s="1"/>
  <c r="C372" i="12"/>
  <c r="D372" i="12" s="1"/>
  <c r="E372" i="12" s="1"/>
  <c r="M381" i="12"/>
  <c r="K381" i="12"/>
  <c r="J381" i="12" s="1"/>
  <c r="O381" i="12" s="1"/>
  <c r="C373" i="12" l="1"/>
  <c r="D373" i="12" s="1"/>
  <c r="E373" i="12" s="1"/>
  <c r="L361" i="11"/>
  <c r="M361" i="11" s="1"/>
  <c r="N361" i="11" s="1"/>
  <c r="M382" i="12"/>
  <c r="K382" i="12"/>
  <c r="J382" i="12" s="1"/>
  <c r="O382" i="12" s="1"/>
  <c r="C374" i="12" l="1"/>
  <c r="D374" i="12" s="1"/>
  <c r="E374" i="12"/>
  <c r="K383" i="12"/>
  <c r="J383" i="12" s="1"/>
  <c r="O383" i="12" s="1"/>
  <c r="M383" i="12"/>
  <c r="L362" i="11"/>
  <c r="M362" i="11" s="1"/>
  <c r="N362" i="11" s="1"/>
  <c r="L363" i="11" l="1"/>
  <c r="M363" i="11" s="1"/>
  <c r="N363" i="11" s="1"/>
  <c r="C375" i="12"/>
  <c r="D375" i="12" s="1"/>
  <c r="E375" i="12" s="1"/>
  <c r="M384" i="12"/>
  <c r="K384" i="12"/>
  <c r="J384" i="12" s="1"/>
  <c r="O384" i="12" s="1"/>
  <c r="C376" i="12" l="1"/>
  <c r="D376" i="12" s="1"/>
  <c r="E376" i="12" s="1"/>
  <c r="L364" i="11"/>
  <c r="M364" i="11" s="1"/>
  <c r="N364" i="11" s="1"/>
  <c r="K385" i="12"/>
  <c r="J385" i="12" s="1"/>
  <c r="O385" i="12" s="1"/>
  <c r="M385" i="12"/>
  <c r="L365" i="11" l="1"/>
  <c r="M365" i="11" s="1"/>
  <c r="N365" i="11" s="1"/>
  <c r="C377" i="12"/>
  <c r="D377" i="12" s="1"/>
  <c r="E377" i="12" s="1"/>
  <c r="K386" i="12"/>
  <c r="J386" i="12" s="1"/>
  <c r="O386" i="12" s="1"/>
  <c r="M386" i="12"/>
  <c r="L366" i="11" l="1"/>
  <c r="M366" i="11" s="1"/>
  <c r="N366" i="11" s="1"/>
  <c r="C378" i="12"/>
  <c r="D378" i="12" s="1"/>
  <c r="E378" i="12" s="1"/>
  <c r="M387" i="12"/>
  <c r="K387" i="12"/>
  <c r="J387" i="12" s="1"/>
  <c r="O387" i="12" s="1"/>
  <c r="C379" i="12" l="1"/>
  <c r="D379" i="12" s="1"/>
  <c r="E379" i="12" s="1"/>
  <c r="L367" i="11"/>
  <c r="M367" i="11" s="1"/>
  <c r="N367" i="11" s="1"/>
  <c r="K388" i="12"/>
  <c r="J388" i="12" s="1"/>
  <c r="O388" i="12" s="1"/>
  <c r="M388" i="12"/>
  <c r="L368" i="11" l="1"/>
  <c r="M368" i="11" s="1"/>
  <c r="N368" i="11" s="1"/>
  <c r="C380" i="12"/>
  <c r="D380" i="12" s="1"/>
  <c r="E380" i="12" s="1"/>
  <c r="K389" i="12"/>
  <c r="J389" i="12" s="1"/>
  <c r="O389" i="12" s="1"/>
  <c r="M389" i="12"/>
  <c r="C381" i="12" l="1"/>
  <c r="D381" i="12" s="1"/>
  <c r="E381" i="12" s="1"/>
  <c r="L369" i="11"/>
  <c r="M369" i="11" s="1"/>
  <c r="N369" i="11" s="1"/>
  <c r="M390" i="12"/>
  <c r="K390" i="12"/>
  <c r="J390" i="12" s="1"/>
  <c r="O390" i="12" s="1"/>
  <c r="L370" i="11" l="1"/>
  <c r="M370" i="11" s="1"/>
  <c r="N370" i="11" s="1"/>
  <c r="C382" i="12"/>
  <c r="D382" i="12" s="1"/>
  <c r="E382" i="12"/>
  <c r="M391" i="12"/>
  <c r="K391" i="12"/>
  <c r="J391" i="12" s="1"/>
  <c r="O391" i="12" s="1"/>
  <c r="K392" i="12" l="1"/>
  <c r="J392" i="12" s="1"/>
  <c r="O392" i="12" s="1"/>
  <c r="M392" i="12"/>
  <c r="L371" i="11"/>
  <c r="M371" i="11" s="1"/>
  <c r="N371" i="11" s="1"/>
  <c r="C383" i="12"/>
  <c r="D383" i="12" s="1"/>
  <c r="E383" i="12"/>
  <c r="L372" i="11" l="1"/>
  <c r="M372" i="11" s="1"/>
  <c r="N372" i="11" s="1"/>
  <c r="C384" i="12"/>
  <c r="D384" i="12" s="1"/>
  <c r="E384" i="12" s="1"/>
  <c r="M393" i="12"/>
  <c r="K393" i="12"/>
  <c r="J393" i="12" s="1"/>
  <c r="O393" i="12" s="1"/>
  <c r="C385" i="12" l="1"/>
  <c r="D385" i="12" s="1"/>
  <c r="E385" i="12" s="1"/>
  <c r="L373" i="11"/>
  <c r="M373" i="11" s="1"/>
  <c r="N373" i="11" s="1"/>
  <c r="K394" i="12"/>
  <c r="J394" i="12" s="1"/>
  <c r="O394" i="12" s="1"/>
  <c r="M394" i="12"/>
  <c r="L374" i="11" l="1"/>
  <c r="M374" i="11" s="1"/>
  <c r="N374" i="11" s="1"/>
  <c r="C386" i="12"/>
  <c r="D386" i="12" s="1"/>
  <c r="E386" i="12" s="1"/>
  <c r="K395" i="12"/>
  <c r="J395" i="12" s="1"/>
  <c r="O395" i="12" s="1"/>
  <c r="M395" i="12"/>
  <c r="C387" i="12" l="1"/>
  <c r="D387" i="12" s="1"/>
  <c r="E387" i="12" s="1"/>
  <c r="L375" i="11"/>
  <c r="M375" i="11" s="1"/>
  <c r="N375" i="11" s="1"/>
  <c r="M396" i="12"/>
  <c r="K396" i="12"/>
  <c r="J396" i="12" s="1"/>
  <c r="O396" i="12" s="1"/>
  <c r="L376" i="11" l="1"/>
  <c r="M376" i="11" s="1"/>
  <c r="N376" i="11" s="1"/>
  <c r="C388" i="12"/>
  <c r="D388" i="12" s="1"/>
  <c r="E388" i="12" s="1"/>
  <c r="M397" i="12"/>
  <c r="K397" i="12"/>
  <c r="J397" i="12" s="1"/>
  <c r="O397" i="12" s="1"/>
  <c r="C389" i="12" l="1"/>
  <c r="D389" i="12" s="1"/>
  <c r="E389" i="12"/>
  <c r="L377" i="11"/>
  <c r="M377" i="11" s="1"/>
  <c r="N377" i="11" s="1"/>
  <c r="K398" i="12"/>
  <c r="J398" i="12" s="1"/>
  <c r="O398" i="12" s="1"/>
  <c r="M398" i="12"/>
  <c r="L378" i="11" l="1"/>
  <c r="M378" i="11" s="1"/>
  <c r="N378" i="11" s="1"/>
  <c r="M399" i="12"/>
  <c r="K399" i="12"/>
  <c r="J399" i="12" s="1"/>
  <c r="O399" i="12" s="1"/>
  <c r="C390" i="12"/>
  <c r="D390" i="12" s="1"/>
  <c r="E390" i="12" s="1"/>
  <c r="C391" i="12" l="1"/>
  <c r="D391" i="12" s="1"/>
  <c r="E391" i="12" s="1"/>
  <c r="L379" i="11"/>
  <c r="M379" i="11" s="1"/>
  <c r="N379" i="11" s="1"/>
  <c r="K400" i="12"/>
  <c r="J400" i="12" s="1"/>
  <c r="O400" i="12" s="1"/>
  <c r="M400" i="12"/>
  <c r="L380" i="11" l="1"/>
  <c r="M380" i="11" s="1"/>
  <c r="N380" i="11" s="1"/>
  <c r="C392" i="12"/>
  <c r="D392" i="12" s="1"/>
  <c r="E392" i="12" s="1"/>
  <c r="K401" i="12"/>
  <c r="J401" i="12" s="1"/>
  <c r="O401" i="12" s="1"/>
  <c r="M401" i="12"/>
  <c r="C393" i="12" l="1"/>
  <c r="D393" i="12" s="1"/>
  <c r="E393" i="12" s="1"/>
  <c r="L381" i="11"/>
  <c r="M381" i="11" s="1"/>
  <c r="N381" i="11" s="1"/>
  <c r="M402" i="12"/>
  <c r="K402" i="12"/>
  <c r="J402" i="12" s="1"/>
  <c r="O402" i="12" s="1"/>
  <c r="L382" i="11" l="1"/>
  <c r="M382" i="11" s="1"/>
  <c r="N382" i="11" s="1"/>
  <c r="C394" i="12"/>
  <c r="D394" i="12" s="1"/>
  <c r="E394" i="12" s="1"/>
  <c r="M403" i="12"/>
  <c r="K403" i="12"/>
  <c r="J403" i="12" s="1"/>
  <c r="O403" i="12" s="1"/>
  <c r="C395" i="12" l="1"/>
  <c r="D395" i="12" s="1"/>
  <c r="E395" i="12"/>
  <c r="M404" i="12"/>
  <c r="K404" i="12"/>
  <c r="J404" i="12" s="1"/>
  <c r="O404" i="12" s="1"/>
  <c r="L383" i="11"/>
  <c r="M383" i="11" s="1"/>
  <c r="N383" i="11" s="1"/>
  <c r="L384" i="11" l="1"/>
  <c r="M384" i="11" s="1"/>
  <c r="N384" i="11" s="1"/>
  <c r="K405" i="12"/>
  <c r="J405" i="12" s="1"/>
  <c r="O405" i="12" s="1"/>
  <c r="M405" i="12"/>
  <c r="E396" i="12"/>
  <c r="C396" i="12"/>
  <c r="D396" i="12" s="1"/>
  <c r="L385" i="11" l="1"/>
  <c r="M385" i="11" s="1"/>
  <c r="N385" i="11" s="1"/>
  <c r="C397" i="12"/>
  <c r="D397" i="12" s="1"/>
  <c r="E397" i="12"/>
  <c r="K406" i="12"/>
  <c r="J406" i="12" s="1"/>
  <c r="O406" i="12" s="1"/>
  <c r="M406" i="12"/>
  <c r="M407" i="12" l="1"/>
  <c r="K407" i="12"/>
  <c r="J407" i="12" s="1"/>
  <c r="O407" i="12" s="1"/>
  <c r="C398" i="12"/>
  <c r="D398" i="12" s="1"/>
  <c r="E398" i="12" s="1"/>
  <c r="M386" i="11"/>
  <c r="M387" i="11" s="1"/>
  <c r="L386" i="11"/>
  <c r="C399" i="12" l="1"/>
  <c r="D399" i="12" s="1"/>
  <c r="E399" i="12"/>
  <c r="N386" i="11"/>
  <c r="P57" i="15" s="1"/>
  <c r="P58" i="15" s="1"/>
  <c r="K386" i="11"/>
  <c r="K387" i="11" s="1"/>
  <c r="L387" i="11"/>
  <c r="K408" i="12"/>
  <c r="J408" i="12" s="1"/>
  <c r="O408" i="12" s="1"/>
  <c r="M408" i="12"/>
  <c r="C400" i="12" l="1"/>
  <c r="D400" i="12" s="1"/>
  <c r="E400" i="12"/>
  <c r="X3" i="15"/>
  <c r="E2" i="15"/>
  <c r="M409" i="12"/>
  <c r="K409" i="12"/>
  <c r="J409" i="12" s="1"/>
  <c r="O409" i="12" s="1"/>
  <c r="K410" i="12" l="1"/>
  <c r="J410" i="12" s="1"/>
  <c r="O410" i="12" s="1"/>
  <c r="M410" i="12"/>
  <c r="C401" i="12"/>
  <c r="D401" i="12" s="1"/>
  <c r="E401" i="12" s="1"/>
  <c r="C402" i="12" l="1"/>
  <c r="D402" i="12" s="1"/>
  <c r="E402" i="12"/>
  <c r="K411" i="12"/>
  <c r="J411" i="12" s="1"/>
  <c r="O411" i="12" s="1"/>
  <c r="M411" i="12"/>
  <c r="C403" i="12" l="1"/>
  <c r="D403" i="12" s="1"/>
  <c r="E403" i="12"/>
  <c r="M412" i="12"/>
  <c r="K412" i="12"/>
  <c r="J412" i="12" s="1"/>
  <c r="O412" i="12" s="1"/>
  <c r="K413" i="12" l="1"/>
  <c r="J413" i="12" s="1"/>
  <c r="O413" i="12" s="1"/>
  <c r="M413" i="12"/>
  <c r="C404" i="12"/>
  <c r="D404" i="12" s="1"/>
  <c r="E404" i="12" s="1"/>
  <c r="C405" i="12" l="1"/>
  <c r="D405" i="12" s="1"/>
  <c r="E405" i="12"/>
  <c r="K414" i="12"/>
  <c r="J414" i="12" s="1"/>
  <c r="O414" i="12" s="1"/>
  <c r="M414" i="12"/>
  <c r="M415" i="12" l="1"/>
  <c r="K415" i="12"/>
  <c r="J415" i="12" s="1"/>
  <c r="O415" i="12" s="1"/>
  <c r="C406" i="12"/>
  <c r="D406" i="12" s="1"/>
  <c r="E406" i="12" s="1"/>
  <c r="C407" i="12" l="1"/>
  <c r="D407" i="12" s="1"/>
  <c r="E407" i="12" s="1"/>
  <c r="K416" i="12"/>
  <c r="J416" i="12" s="1"/>
  <c r="O416" i="12" s="1"/>
  <c r="M416" i="12"/>
  <c r="C408" i="12" l="1"/>
  <c r="D408" i="12" s="1"/>
  <c r="E408" i="12"/>
  <c r="K417" i="12"/>
  <c r="J417" i="12" s="1"/>
  <c r="O417" i="12" s="1"/>
  <c r="M417" i="12"/>
  <c r="C409" i="12" l="1"/>
  <c r="D409" i="12" s="1"/>
  <c r="E409" i="12"/>
  <c r="M418" i="12"/>
  <c r="K418" i="12"/>
  <c r="J418" i="12" s="1"/>
  <c r="O418" i="12" s="1"/>
  <c r="C410" i="12" l="1"/>
  <c r="D410" i="12" s="1"/>
  <c r="E410" i="12" s="1"/>
  <c r="K419" i="12"/>
  <c r="J419" i="12" s="1"/>
  <c r="O419" i="12" s="1"/>
  <c r="M419" i="12"/>
  <c r="C411" i="12" l="1"/>
  <c r="D411" i="12" s="1"/>
  <c r="E411" i="12" s="1"/>
  <c r="K420" i="12"/>
  <c r="J420" i="12" s="1"/>
  <c r="O420" i="12" s="1"/>
  <c r="M420" i="12"/>
  <c r="C412" i="12" l="1"/>
  <c r="D412" i="12" s="1"/>
  <c r="E412" i="12" s="1"/>
  <c r="M421" i="12"/>
  <c r="K421" i="12"/>
  <c r="J421" i="12" s="1"/>
  <c r="O421" i="12" s="1"/>
  <c r="C413" i="12" l="1"/>
  <c r="D413" i="12" s="1"/>
  <c r="E413" i="12"/>
  <c r="M422" i="12"/>
  <c r="K422" i="12"/>
  <c r="J422" i="12" s="1"/>
  <c r="O422" i="12" s="1"/>
  <c r="K423" i="12" l="1"/>
  <c r="J423" i="12" s="1"/>
  <c r="O423" i="12" s="1"/>
  <c r="M423" i="12"/>
  <c r="C414" i="12"/>
  <c r="D414" i="12" s="1"/>
  <c r="E414" i="12" s="1"/>
  <c r="C415" i="12" l="1"/>
  <c r="D415" i="12" s="1"/>
  <c r="E415" i="12"/>
  <c r="M424" i="12"/>
  <c r="K424" i="12"/>
  <c r="J424" i="12" s="1"/>
  <c r="O424" i="12" s="1"/>
  <c r="M425" i="12" l="1"/>
  <c r="K425" i="12"/>
  <c r="J425" i="12" s="1"/>
  <c r="O425" i="12" s="1"/>
  <c r="C416" i="12"/>
  <c r="D416" i="12" s="1"/>
  <c r="E416" i="12" s="1"/>
  <c r="C417" i="12" l="1"/>
  <c r="D417" i="12" s="1"/>
  <c r="E417" i="12" s="1"/>
  <c r="K426" i="12"/>
  <c r="J426" i="12" s="1"/>
  <c r="O426" i="12" s="1"/>
  <c r="M426" i="12"/>
  <c r="C418" i="12" l="1"/>
  <c r="D418" i="12" s="1"/>
  <c r="E418" i="12" s="1"/>
  <c r="M427" i="12"/>
  <c r="K427" i="12"/>
  <c r="J427" i="12" s="1"/>
  <c r="O427" i="12" s="1"/>
  <c r="C419" i="12" l="1"/>
  <c r="D419" i="12" s="1"/>
  <c r="E419" i="12" s="1"/>
  <c r="M428" i="12"/>
  <c r="K428" i="12"/>
  <c r="J428" i="12" s="1"/>
  <c r="O428" i="12" s="1"/>
  <c r="C420" i="12" l="1"/>
  <c r="D420" i="12" s="1"/>
  <c r="E420" i="12"/>
  <c r="K429" i="12"/>
  <c r="J429" i="12" s="1"/>
  <c r="O429" i="12" s="1"/>
  <c r="M429" i="12"/>
  <c r="M430" i="12" l="1"/>
  <c r="K430" i="12"/>
  <c r="J430" i="12" s="1"/>
  <c r="O430" i="12" s="1"/>
  <c r="C421" i="12"/>
  <c r="D421" i="12" s="1"/>
  <c r="E421" i="12" s="1"/>
  <c r="C422" i="12" l="1"/>
  <c r="D422" i="12" s="1"/>
  <c r="E422" i="12" s="1"/>
  <c r="K431" i="12"/>
  <c r="J431" i="12" s="1"/>
  <c r="O431" i="12" s="1"/>
  <c r="M431" i="12"/>
  <c r="C423" i="12" l="1"/>
  <c r="D423" i="12" s="1"/>
  <c r="E423" i="12"/>
  <c r="K432" i="12"/>
  <c r="M432" i="12"/>
  <c r="J432" i="12" l="1"/>
  <c r="K433" i="12"/>
  <c r="C424" i="12"/>
  <c r="D424" i="12" s="1"/>
  <c r="E424" i="12" s="1"/>
  <c r="C425" i="12" l="1"/>
  <c r="D425" i="12" s="1"/>
  <c r="E425" i="12"/>
  <c r="O432" i="12"/>
  <c r="O433" i="12" s="1"/>
  <c r="J433" i="12"/>
  <c r="C426" i="12" l="1"/>
  <c r="D426" i="12" s="1"/>
  <c r="E426" i="12"/>
  <c r="C427" i="12" l="1"/>
  <c r="D427" i="12" s="1"/>
  <c r="E427" i="12" s="1"/>
  <c r="C428" i="12" l="1"/>
  <c r="D428" i="12" s="1"/>
  <c r="E428" i="12"/>
  <c r="C429" i="12" l="1"/>
  <c r="D429" i="12" s="1"/>
  <c r="E429" i="12" s="1"/>
  <c r="C430" i="12" l="1"/>
  <c r="D430" i="12" s="1"/>
  <c r="E430" i="12" s="1"/>
  <c r="C431" i="12" l="1"/>
  <c r="D431" i="12" s="1"/>
  <c r="E431" i="12" s="1"/>
  <c r="C432" i="12" l="1"/>
  <c r="D432" i="12" l="1"/>
  <c r="C433" i="12"/>
  <c r="D433" i="12" l="1"/>
  <c r="E432" i="12"/>
</calcChain>
</file>

<file path=xl/sharedStrings.xml><?xml version="1.0" encoding="utf-8"?>
<sst xmlns="http://schemas.openxmlformats.org/spreadsheetml/2006/main" count="606" uniqueCount="277">
  <si>
    <t>MATEMATIKA</t>
  </si>
  <si>
    <t>Preddiplomski studij Digitalnog marketinga</t>
  </si>
  <si>
    <t>Visoko učilište Algebra</t>
  </si>
  <si>
    <t>ISHOD 1</t>
  </si>
  <si>
    <t>ne</t>
  </si>
  <si>
    <t>ISHOD 2</t>
  </si>
  <si>
    <t>ISHOD 3</t>
  </si>
  <si>
    <t>ISHOD 4</t>
  </si>
  <si>
    <t>Ukupno</t>
  </si>
  <si>
    <t>ishod</t>
  </si>
  <si>
    <t>I1</t>
  </si>
  <si>
    <t>I2</t>
  </si>
  <si>
    <t>I3</t>
  </si>
  <si>
    <t>I4</t>
  </si>
  <si>
    <t>broj bodova</t>
  </si>
  <si>
    <t>vrijeme rješavanja (minute)</t>
  </si>
  <si>
    <t>45 min</t>
  </si>
  <si>
    <t>180 min</t>
  </si>
  <si>
    <t>UVODNE NAPOMENE:</t>
  </si>
  <si>
    <t>Nije dozvoljeno korištenje mobitela, knjiga, kalkulatora, dodatnih formulara, ni pretraživanja interneta tijekom pisanja ispita (osim za dohvatiti ispit).</t>
  </si>
  <si>
    <t>Nemojte gledati zadatke koje imaju vaši susjedi, jer se prepisivanje strogo kažnjava.</t>
  </si>
  <si>
    <t>Dovoljno je izračunati vrijednosti u ćelijama označenim žutom bojom. Interpretaciju (kratke odgovore) pišite samo ako je tako navedeno u zadatku.</t>
  </si>
  <si>
    <t>Ako vam nešto nije jasno - odlično. Napišite svoje dvojbe i onda slobodno riješite zadatak na više načina :-)</t>
  </si>
  <si>
    <t>Termin uvida u ispite i usmenog ispita bit će objavljen zajedno s rezultatima.</t>
  </si>
  <si>
    <t>1. ishod: postotni račun i primjena</t>
  </si>
  <si>
    <t>2. ishod: obračun plaće, jednostavni i složeni kamatni račun i primjena</t>
  </si>
  <si>
    <t>3. ishod: kredit</t>
  </si>
  <si>
    <t>4. ishod: funkcije</t>
  </si>
  <si>
    <t>JMBAG</t>
  </si>
  <si>
    <r>
      <rPr>
        <sz val="11"/>
        <color theme="1"/>
        <rFont val="Calibri"/>
        <family val="2"/>
      </rPr>
      <t xml:space="preserve">1. </t>
    </r>
    <r>
      <rPr>
        <b/>
        <sz val="11"/>
        <color theme="1"/>
        <rFont val="Calibri"/>
        <family val="2"/>
      </rPr>
      <t>[I1, 2 boda] M</t>
    </r>
    <r>
      <rPr>
        <sz val="11"/>
        <color theme="1"/>
        <rFont val="Calibri"/>
        <family val="2"/>
      </rPr>
      <t xml:space="preserve"> Jaja su koštala 2,70 eura i pojeftinila 18 %. Izračunajte novu cijenu u ćeliji C3.</t>
    </r>
  </si>
  <si>
    <t>2 boda</t>
  </si>
  <si>
    <r>
      <rPr>
        <sz val="11"/>
        <color theme="1"/>
        <rFont val="Calibri"/>
        <family val="2"/>
      </rPr>
      <t xml:space="preserve">2. </t>
    </r>
    <r>
      <rPr>
        <b/>
        <sz val="11"/>
        <color theme="1"/>
        <rFont val="Calibri"/>
        <family val="2"/>
      </rPr>
      <t>[I1, 2 boda] M</t>
    </r>
    <r>
      <rPr>
        <sz val="11"/>
        <color theme="1"/>
        <rFont val="Calibri"/>
        <family val="2"/>
      </rPr>
      <t xml:space="preserve"> Broj pratitelja na jednoj stranici u mjesec dana se povećao s 18.370 na 18.520. Koliko iznosi postotno povećanje? Izračunajte u ćeliji C8.</t>
    </r>
  </si>
  <si>
    <r>
      <rPr>
        <sz val="11"/>
        <color theme="1"/>
        <rFont val="Calibri"/>
        <family val="2"/>
      </rPr>
      <t>3.</t>
    </r>
    <r>
      <rPr>
        <b/>
        <sz val="11"/>
        <color theme="1"/>
        <rFont val="Calibri"/>
        <family val="2"/>
      </rPr>
      <t xml:space="preserve"> [I1, 2 boda] M</t>
    </r>
    <r>
      <rPr>
        <sz val="11"/>
        <color theme="1"/>
        <rFont val="Calibri"/>
        <family val="2"/>
      </rPr>
      <t xml:space="preserve"> Tvrtka je imala plan prodaje 1.800 proizvoda, a ostvarila 1.230. Koliko posto plana je ostvarila? Izračunajte u ćeliji C13.</t>
    </r>
  </si>
  <si>
    <r>
      <rPr>
        <sz val="11"/>
        <color theme="1"/>
        <rFont val="Calibri, Arial"/>
      </rPr>
      <t>4.</t>
    </r>
    <r>
      <rPr>
        <b/>
        <sz val="11"/>
        <color theme="1"/>
        <rFont val="Calibri, Arial"/>
      </rPr>
      <t xml:space="preserve"> [I1, 2 boda] M</t>
    </r>
    <r>
      <rPr>
        <sz val="11"/>
        <color theme="1"/>
        <rFont val="Calibri, Arial"/>
      </rPr>
      <t xml:space="preserve"> Magdalena je na prvom ispitu ostvarila 39, a na drugom 45 bodova. Koliko posto je na drugom ispitu ostvarila više bodova nego na prvom? Izračunajte u ćeliji C18.</t>
    </r>
  </si>
  <si>
    <r>
      <rPr>
        <sz val="11"/>
        <color theme="1"/>
        <rFont val="Calibri"/>
        <family val="2"/>
      </rPr>
      <t>5.</t>
    </r>
    <r>
      <rPr>
        <b/>
        <sz val="11"/>
        <color theme="1"/>
        <rFont val="Calibri"/>
        <family val="2"/>
      </rPr>
      <t xml:space="preserve"> [I1, 2 boda] Ž </t>
    </r>
    <r>
      <rPr>
        <sz val="11"/>
        <color theme="1"/>
        <rFont val="Calibri"/>
        <family val="2"/>
      </rPr>
      <t>Formira se cijena kilograma grožđa. Osnovica je 3,10 eura i treba dodati PDV od 5 %. U ćeliji C23 izračunajte maloprodajnu cijenu kilograma grožđa. (cijena u trgovini)</t>
    </r>
  </si>
  <si>
    <r>
      <rPr>
        <sz val="11"/>
        <color theme="1"/>
        <rFont val="Calibri"/>
        <family val="2"/>
      </rPr>
      <t>7.</t>
    </r>
    <r>
      <rPr>
        <b/>
        <sz val="11"/>
        <color theme="1"/>
        <rFont val="Calibri"/>
        <family val="2"/>
      </rPr>
      <t xml:space="preserve"> [I1, 2 boda]</t>
    </r>
    <r>
      <rPr>
        <sz val="11"/>
        <color theme="1"/>
        <rFont val="Calibri"/>
        <family val="2"/>
      </rPr>
      <t xml:space="preserve"> </t>
    </r>
    <r>
      <rPr>
        <b/>
        <sz val="11"/>
        <color theme="1"/>
        <rFont val="Calibri"/>
        <family val="2"/>
      </rPr>
      <t>Ž</t>
    </r>
    <r>
      <rPr>
        <sz val="11"/>
        <color theme="1"/>
        <rFont val="Calibri"/>
        <family val="2"/>
      </rPr>
      <t xml:space="preserve"> U internetsku kampanju za oglašavanje uloženo je 1.900 eura (trošak oglašavanja), a prosječni cost per click (Avg. CPC) iznosio je 0,80 eura. U ćeliji C34 izračunajte koliko je postignuto klikova. Koristi naredbu ROUNDDOWN( ;0) da biste zaokružili na cijeli broj. Interpretaciju napišite u ćeliji D34.</t>
    </r>
  </si>
  <si>
    <r>
      <rPr>
        <b/>
        <sz val="11"/>
        <color theme="1"/>
        <rFont val="Calibri"/>
        <family val="2"/>
      </rPr>
      <t xml:space="preserve">8. [I1, 2 boda] Ž (nastavak na 7.) </t>
    </r>
    <r>
      <rPr>
        <sz val="11"/>
        <color theme="1"/>
        <rFont val="Calibri"/>
        <family val="2"/>
      </rPr>
      <t>Ukupno je postignuto 231 konverzija. Koliko iznosi stopa konverzije? Izračunajte u ćeliji C39. Interpretaciju napišite u ćeliji D39.</t>
    </r>
  </si>
  <si>
    <r>
      <rPr>
        <b/>
        <sz val="11"/>
        <color rgb="FF000000"/>
        <rFont val="Calibri"/>
        <family val="2"/>
      </rPr>
      <t>9. [I1, 2 boda] Ž (nastavak)</t>
    </r>
    <r>
      <rPr>
        <sz val="11"/>
        <color rgb="FF000000"/>
        <rFont val="Calibri"/>
        <family val="2"/>
      </rPr>
      <t xml:space="preserve"> Ukupno je bilo 102.625 impresija. Koliko je iznosio CTR (click through rate)? Izračunajte u ćeliji C44, a interpretaciju napišite u ćeliji D44.</t>
    </r>
  </si>
  <si>
    <r>
      <rPr>
        <b/>
        <sz val="11"/>
        <color theme="1"/>
        <rFont val="Calibri"/>
        <family val="2"/>
      </rPr>
      <t>10. [I1, 2 boda] Ž (nastavak)</t>
    </r>
    <r>
      <rPr>
        <sz val="11"/>
        <color theme="1"/>
        <rFont val="Calibri"/>
        <family val="2"/>
      </rPr>
      <t xml:space="preserve"> Ako je ukupan trošak kampanje 11.350 eura, a prosječan prihod po konverziji 127 eura, izračunajte ROI u ćeliji C50. Interpretaciju napišite u ćeliji D50.</t>
    </r>
  </si>
  <si>
    <t>Informacije koje vam trebaju:</t>
  </si>
  <si>
    <t>Osnovni osobni odbitak iznosi</t>
  </si>
  <si>
    <t>Dijete</t>
  </si>
  <si>
    <t>koeficijent</t>
  </si>
  <si>
    <t>BRUTO iznos</t>
  </si>
  <si>
    <t>D1</t>
  </si>
  <si>
    <t>1. MO 15 %</t>
  </si>
  <si>
    <t>15 % od bruto iznosa</t>
  </si>
  <si>
    <t>D2</t>
  </si>
  <si>
    <t>2. MO 5 %</t>
  </si>
  <si>
    <t>5 % od bruto iznosa</t>
  </si>
  <si>
    <t>D3</t>
  </si>
  <si>
    <t>MIROVINSKO OSIGURANJE ukupno</t>
  </si>
  <si>
    <t>1. MO + 2. MO</t>
  </si>
  <si>
    <t>D4</t>
  </si>
  <si>
    <t>DOHODAK</t>
  </si>
  <si>
    <t>bruto - ukupna izdvajanja za mirovinsko osiguranje</t>
  </si>
  <si>
    <t>D5</t>
  </si>
  <si>
    <t>D6</t>
  </si>
  <si>
    <t>ISKORIŠTENI OSOBNI ODBITAK</t>
  </si>
  <si>
    <t>min(dohodak; prijavljeni osobni odbitak)</t>
  </si>
  <si>
    <t>D7</t>
  </si>
  <si>
    <t>NEISKORIŠTENI OSOBNI ODBITAK</t>
  </si>
  <si>
    <t>prijavljeni - iskorišteni osobni odbitak</t>
  </si>
  <si>
    <t>D8</t>
  </si>
  <si>
    <t>POREZNA OSNOVICA</t>
  </si>
  <si>
    <t>dohodak - iskorišteni osobni odbitak</t>
  </si>
  <si>
    <t>D9</t>
  </si>
  <si>
    <t>POREZ 20 %</t>
  </si>
  <si>
    <t>Udržavani član</t>
  </si>
  <si>
    <t>POREZ 30 %</t>
  </si>
  <si>
    <t>UKUPAN POREZ</t>
  </si>
  <si>
    <t>Porezni razredi za stope poreza:</t>
  </si>
  <si>
    <t>NETO</t>
  </si>
  <si>
    <t>dohodak - ukupan porez - prirez</t>
  </si>
  <si>
    <t>ZO - DOPRINOSI NA PLAĆU 16,5 %</t>
  </si>
  <si>
    <t>16,5 % na bruto</t>
  </si>
  <si>
    <t>BRUTO 2 = ukupan trošak poslodavca</t>
  </si>
  <si>
    <t>bruto + doprinosi na plaću</t>
  </si>
  <si>
    <t>udio neto u bruto 2</t>
  </si>
  <si>
    <t>neto/bruto2</t>
  </si>
  <si>
    <t>Doprinosi NA plaću (doprinosi koje će poslodavac uplatiti za svakog djelatnika)</t>
  </si>
  <si>
    <t>* doprinos za zdravstveno osiguranje (16,5 %)</t>
  </si>
  <si>
    <r>
      <rPr>
        <b/>
        <sz val="11"/>
        <color theme="1"/>
        <rFont val="Calibri"/>
        <family val="2"/>
      </rPr>
      <t>12. [I2, 5 bodova] M+Ž</t>
    </r>
    <r>
      <rPr>
        <sz val="11"/>
        <color theme="1"/>
        <rFont val="Calibri"/>
        <family val="2"/>
      </rPr>
      <t xml:space="preserve"> Anita je prije 10 godina stavila 17.000 eura na štednju, a prije 4 podigla 5.200 eura.
S kolikim iznosom raspolaže danas ako je prve tri godine kamatna stopa bila 3,5 %, sljedećih 5 godina 2,7 %, a nakon toga 1,5 %? Obračun je složen, dekurzivan.
Stanja na računu nakon tri godine, šest godina i danas upišite u ćelije C14, C16 i C18. Interpretaciju napišite u ćeliji C20.</t>
    </r>
  </si>
  <si>
    <t>M 1 bod</t>
  </si>
  <si>
    <t>Stanje nakon tri godine C3=</t>
  </si>
  <si>
    <t>Ž 1 bod</t>
  </si>
  <si>
    <t>Stanje nakon šest godina od početka (nakon što je podigla 5.200 kn) C6=</t>
  </si>
  <si>
    <t>Ž 3 boda</t>
  </si>
  <si>
    <t>Stanje danas C10=</t>
  </si>
  <si>
    <t>C0=</t>
  </si>
  <si>
    <t>p=</t>
  </si>
  <si>
    <t>r=</t>
  </si>
  <si>
    <t>Jednostavni kamatni račun</t>
  </si>
  <si>
    <t>Složeni kamatni račun</t>
  </si>
  <si>
    <t>godina</t>
  </si>
  <si>
    <t>godišnja kamata</t>
  </si>
  <si>
    <t>stanje na računu</t>
  </si>
  <si>
    <t>M 1,5 bod</t>
  </si>
  <si>
    <t>razlika izražena u postotku (zaokružite na 4 decimale)</t>
  </si>
  <si>
    <r>
      <rPr>
        <sz val="11"/>
        <color theme="1"/>
        <rFont val="Calibri"/>
        <family val="2"/>
      </rPr>
      <t xml:space="preserve">14. </t>
    </r>
    <r>
      <rPr>
        <b/>
        <sz val="11"/>
        <color theme="1"/>
        <rFont val="Calibri"/>
        <family val="2"/>
      </rPr>
      <t>[I2, 6 bodova] Ž</t>
    </r>
    <r>
      <rPr>
        <sz val="11"/>
        <color theme="1"/>
        <rFont val="Calibri"/>
        <family val="2"/>
      </rPr>
      <t xml:space="preserve"> Filip je tijekom 23 godine uplaćivao na štednju po 720 eura početkom svakog kvartala, uz prosječnu godišnju kamatnu stopu od 3,1 %. U ćeliji D21 izračunajte koliko je uštedio. Nakon toga odlučio je primati mirovinu sljedećih 27 godina početkom svakog mjeseca. U ćeliji H21 izračunajte koliko će primati ako se očekuje prosječna godišnja kamatna stopa u mirovinskom fondu 1,5 %? (konformni obračun). U ćeliji G23 napišite odgovor.</t>
    </r>
  </si>
  <si>
    <t>Uplate / štednja</t>
  </si>
  <si>
    <t>Isplate mirovine</t>
  </si>
  <si>
    <t>Ž 0,5 bod</t>
  </si>
  <si>
    <t>An</t>
  </si>
  <si>
    <t>R</t>
  </si>
  <si>
    <t>n</t>
  </si>
  <si>
    <t>m</t>
  </si>
  <si>
    <t>p</t>
  </si>
  <si>
    <t>r</t>
  </si>
  <si>
    <t>rk</t>
  </si>
  <si>
    <t>pk</t>
  </si>
  <si>
    <t>nk</t>
  </si>
  <si>
    <t>Ž 2 boda</t>
  </si>
  <si>
    <t>ukupna ušteda</t>
  </si>
  <si>
    <t>rata mirovine</t>
  </si>
  <si>
    <t>NAPOMENA: OBAVEZNO KORISTITE NAREDBU ROUND NA SVIM PRIKLADNIM MJESTIMA!!!</t>
  </si>
  <si>
    <t>nr</t>
  </si>
  <si>
    <t>0,5 bod</t>
  </si>
  <si>
    <t>pr</t>
  </si>
  <si>
    <t>rr</t>
  </si>
  <si>
    <t>a</t>
  </si>
  <si>
    <t>1 bod</t>
  </si>
  <si>
    <t>k</t>
  </si>
  <si>
    <t>Ik</t>
  </si>
  <si>
    <t>Rk</t>
  </si>
  <si>
    <t>Ck</t>
  </si>
  <si>
    <t>2 bod</t>
  </si>
  <si>
    <t>suma</t>
  </si>
  <si>
    <t>ak</t>
  </si>
  <si>
    <t>postnum.</t>
  </si>
  <si>
    <t>1,5 bod</t>
  </si>
  <si>
    <r>
      <rPr>
        <sz val="11"/>
        <color theme="1"/>
        <rFont val="Calibri"/>
        <family val="2"/>
      </rPr>
      <t xml:space="preserve">17. </t>
    </r>
    <r>
      <rPr>
        <b/>
        <sz val="11"/>
        <color theme="1"/>
        <rFont val="Calibri"/>
        <family val="2"/>
      </rPr>
      <t>[I3, 5 bodova] Ž</t>
    </r>
    <r>
      <rPr>
        <sz val="11"/>
        <color theme="1"/>
        <rFont val="Calibri"/>
        <family val="2"/>
      </rPr>
      <t xml:space="preserve"> Matija je uzeo stambeni kredit u iznosu 50.000,00 eura koji će otplaćivati 27 godina krajem svakog mjeseca. Početna godišnja dekurzivna kamatna stopa iznosila je 4,8 %. Zadana je otplatna tablica.
Nakon četiri godine kamatna stopa je narasla za 0,3 postotna boda.
Nakon devet godina od početka otplate kamatna stopa je još jednom narasla za dodatnih 0,4 postotnih bodova, a Matija je odlučio produljiti vrijeme otplate za još tri godine. 
Prepravite otplatnu tablicu do kraja.</t>
    </r>
  </si>
  <si>
    <t>n=</t>
  </si>
  <si>
    <t>m=</t>
  </si>
  <si>
    <t>RELATIVNO</t>
  </si>
  <si>
    <t>pr=</t>
  </si>
  <si>
    <t>rr=</t>
  </si>
  <si>
    <t>nr=</t>
  </si>
  <si>
    <t>a=</t>
  </si>
  <si>
    <t>-</t>
  </si>
  <si>
    <r>
      <rPr>
        <sz val="11"/>
        <color theme="1"/>
        <rFont val="Calibri"/>
        <family val="2"/>
      </rPr>
      <t xml:space="preserve">18. </t>
    </r>
    <r>
      <rPr>
        <b/>
        <sz val="11"/>
        <color theme="1"/>
        <rFont val="Calibri"/>
        <family val="2"/>
      </rPr>
      <t>[I3, 5 bodova] Ž</t>
    </r>
    <r>
      <rPr>
        <sz val="11"/>
        <color theme="1"/>
        <rFont val="Calibri"/>
        <family val="2"/>
      </rPr>
      <t xml:space="preserve"> Dalibor je uzeo kredit u iznosu 80.000 eura na 33 godine. Kredit otplaćuje metodom JEDNAKIH ANUITETA krajem svakog mjeseca, a godišnja kamatna stopa iznosi 3,6 %. U 35. retku napravljene su usporedne otplatne tablice u kunama njegovog i Franjinog kredita. Franjo je uzeo identičan kredit, ali otplaćivat će ga metodom </t>
    </r>
    <r>
      <rPr>
        <b/>
        <sz val="11"/>
        <color theme="1"/>
        <rFont val="Calibri"/>
        <family val="2"/>
      </rPr>
      <t>JEDNAKIH OTPLATNIH KVOTA</t>
    </r>
    <r>
      <rPr>
        <sz val="11"/>
        <color theme="1"/>
        <rFont val="Calibri"/>
        <family val="2"/>
      </rPr>
      <t xml:space="preserve">. Koristi se relativni kamatnjak.
Cijena njihovog kvadrata stana iznosila je 1490 EUR i oboje su kupili stan u Rijeci. Koliko će ukupno dobiti subvencija i koliko će zapravo plaćati prvih 5 godina? Popunite stupce: F, G, N, O.
Subvencija za Rijeku iznosi 30 % mjesečnog anuiteta, tj. država prvih 5 godina plaća 30 % anuiteta, ako je iznos kvadrata ispod 1500 EUR (što u našem slučaju je).
</t>
    </r>
  </si>
  <si>
    <t>R=</t>
  </si>
  <si>
    <t>udio u subvenciji</t>
  </si>
  <si>
    <t>Dalibor će ukupno dobiti</t>
  </si>
  <si>
    <t>subvencija.</t>
  </si>
  <si>
    <t xml:space="preserve">Franjo će ukupno dobiti </t>
  </si>
  <si>
    <t>Dalibor</t>
  </si>
  <si>
    <t>Franjo</t>
  </si>
  <si>
    <t>subvencionirani dio anuiteta</t>
  </si>
  <si>
    <t>korigirani (stvarno plaćeni) anuitet</t>
  </si>
  <si>
    <r>
      <rPr>
        <sz val="11"/>
        <color rgb="FF000000"/>
        <rFont val="Calibri"/>
        <family val="2"/>
      </rPr>
      <t xml:space="preserve">a) </t>
    </r>
    <r>
      <rPr>
        <b/>
        <sz val="11"/>
        <color rgb="FF000000"/>
        <rFont val="Calibri"/>
        <family val="2"/>
      </rPr>
      <t>M</t>
    </r>
    <r>
      <rPr>
        <sz val="11"/>
        <color rgb="FF000000"/>
        <rFont val="Calibri"/>
        <family val="2"/>
      </rPr>
      <t xml:space="preserve"> U tablici je prikazan broj stanovnika krajem svake godine (31. 12.). Popunite tablicu do kraja.</t>
    </r>
  </si>
  <si>
    <r>
      <rPr>
        <sz val="11"/>
        <color rgb="FF000000"/>
        <rFont val="Calibri"/>
        <family val="2"/>
      </rPr>
      <t>c)</t>
    </r>
    <r>
      <rPr>
        <b/>
        <sz val="11"/>
        <color rgb="FF000000"/>
        <rFont val="Calibri"/>
        <family val="2"/>
      </rPr>
      <t xml:space="preserve"> M</t>
    </r>
    <r>
      <rPr>
        <sz val="11"/>
        <color rgb="FF000000"/>
        <rFont val="Calibri"/>
        <family val="2"/>
      </rPr>
      <t xml:space="preserve"> Prikažite podatke grafički raspršenim dijagramom.</t>
    </r>
  </si>
  <si>
    <r>
      <rPr>
        <sz val="11"/>
        <color rgb="FF000000"/>
        <rFont val="Calibri"/>
        <family val="2"/>
      </rPr>
      <t xml:space="preserve">d) </t>
    </r>
    <r>
      <rPr>
        <b/>
        <sz val="11"/>
        <color rgb="FF000000"/>
        <rFont val="Calibri"/>
        <family val="2"/>
      </rPr>
      <t>M</t>
    </r>
    <r>
      <rPr>
        <sz val="11"/>
        <color rgb="FF000000"/>
        <rFont val="Calibri"/>
        <family val="2"/>
      </rPr>
      <t xml:space="preserve"> Koliko stanovnika se očekuje 2021. godine ako se ovakav trend nastavi? Samo dopunite tablicu do 2021. godine. Ne trebate pisati interpretaciju.</t>
    </r>
  </si>
  <si>
    <t>Godina</t>
  </si>
  <si>
    <t>Populacija</t>
  </si>
  <si>
    <t>b)</t>
  </si>
  <si>
    <t>c)</t>
  </si>
  <si>
    <r>
      <rPr>
        <sz val="11"/>
        <color theme="1"/>
        <rFont val="Calibri"/>
        <family val="2"/>
      </rPr>
      <t xml:space="preserve">20. </t>
    </r>
    <r>
      <rPr>
        <b/>
        <sz val="11"/>
        <color theme="1"/>
        <rFont val="Calibri"/>
        <family val="2"/>
      </rPr>
      <t>[I4, 9 bodova]</t>
    </r>
    <r>
      <rPr>
        <sz val="11"/>
        <color theme="1"/>
        <rFont val="Calibri"/>
        <family val="2"/>
      </rPr>
      <t xml:space="preserve"> Bilježene su cijene jedne kripotovalute od nultog dana - dana njene objave. Kretanje je opisano formulom</t>
    </r>
  </si>
  <si>
    <t>p(t)=-2t^2+17t+540</t>
  </si>
  <si>
    <t>t je vrijeme u danima, a p(t) je cijena u eurima.</t>
  </si>
  <si>
    <r>
      <rPr>
        <sz val="11"/>
        <color theme="1"/>
        <rFont val="Calibri"/>
        <family val="2"/>
      </rPr>
      <t xml:space="preserve">a) </t>
    </r>
    <r>
      <rPr>
        <b/>
        <sz val="11"/>
        <color theme="1"/>
        <rFont val="Calibri"/>
        <family val="2"/>
      </rPr>
      <t>M</t>
    </r>
    <r>
      <rPr>
        <sz val="11"/>
        <color theme="1"/>
        <rFont val="Calibri"/>
        <family val="2"/>
      </rPr>
      <t xml:space="preserve"> Popunite tablicu.</t>
    </r>
  </si>
  <si>
    <t>dan</t>
  </si>
  <si>
    <t>cijena kriptovalute (EUR)</t>
  </si>
  <si>
    <r>
      <rPr>
        <sz val="11"/>
        <color theme="1"/>
        <rFont val="Calibri"/>
        <family val="2"/>
      </rPr>
      <t xml:space="preserve">b) </t>
    </r>
    <r>
      <rPr>
        <b/>
        <sz val="11"/>
        <color theme="1"/>
        <rFont val="Calibri"/>
        <family val="2"/>
      </rPr>
      <t>M</t>
    </r>
    <r>
      <rPr>
        <sz val="11"/>
        <color theme="1"/>
        <rFont val="Calibri"/>
        <family val="2"/>
      </rPr>
      <t xml:space="preserve"> Grafički prikažite podatke. Graf smjestite desno od tablice.</t>
    </r>
  </si>
  <si>
    <t>dan 4</t>
  </si>
  <si>
    <r>
      <rPr>
        <sz val="11"/>
        <color theme="1"/>
        <rFont val="Calibri"/>
        <family val="2"/>
      </rPr>
      <t xml:space="preserve">d) </t>
    </r>
    <r>
      <rPr>
        <b/>
        <sz val="11"/>
        <color theme="1"/>
        <rFont val="Calibri"/>
        <family val="2"/>
      </rPr>
      <t>M</t>
    </r>
    <r>
      <rPr>
        <sz val="11"/>
        <color theme="1"/>
        <rFont val="Calibri"/>
        <family val="2"/>
      </rPr>
      <t xml:space="preserve"> Koliko je iznosila ta vrijednost? Upišite u ćeliju B25.</t>
    </r>
  </si>
  <si>
    <r>
      <rPr>
        <sz val="11"/>
        <color theme="1"/>
        <rFont val="Calibri"/>
        <family val="2"/>
      </rPr>
      <t xml:space="preserve">e) </t>
    </r>
    <r>
      <rPr>
        <b/>
        <sz val="11"/>
        <color theme="1"/>
        <rFont val="Calibri"/>
        <family val="2"/>
      </rPr>
      <t>M</t>
    </r>
    <r>
      <rPr>
        <sz val="11"/>
        <color theme="1"/>
        <rFont val="Calibri"/>
        <family val="2"/>
      </rPr>
      <t xml:space="preserve"> Koliko posto iznosi ukupan rast kriptovalute u danu 5 u odnosu na početak kad je kriptovaluta objavljena? Izračunajte u ćeliji B29.</t>
    </r>
  </si>
  <si>
    <r>
      <rPr>
        <sz val="11"/>
        <color theme="1"/>
        <rFont val="Calibri"/>
        <family val="2"/>
      </rPr>
      <t xml:space="preserve">f) </t>
    </r>
    <r>
      <rPr>
        <b/>
        <sz val="11"/>
        <color theme="1"/>
        <rFont val="Calibri"/>
        <family val="2"/>
      </rPr>
      <t>Ž</t>
    </r>
    <r>
      <rPr>
        <sz val="11"/>
        <color theme="1"/>
        <rFont val="Calibri"/>
        <family val="2"/>
      </rPr>
      <t xml:space="preserve"> Odredite diskriminantu početne funkcije.</t>
    </r>
  </si>
  <si>
    <t>b=</t>
  </si>
  <si>
    <t>c=</t>
  </si>
  <si>
    <t>D=</t>
  </si>
  <si>
    <r>
      <rPr>
        <sz val="11"/>
        <color theme="1"/>
        <rFont val="Calibri"/>
        <family val="2"/>
      </rPr>
      <t xml:space="preserve">g) </t>
    </r>
    <r>
      <rPr>
        <b/>
        <sz val="11"/>
        <color theme="1"/>
        <rFont val="Calibri"/>
        <family val="2"/>
      </rPr>
      <t>Ž</t>
    </r>
    <r>
      <rPr>
        <sz val="11"/>
        <color theme="1"/>
        <rFont val="Calibri"/>
        <family val="2"/>
      </rPr>
      <t xml:space="preserve"> Odredite nultočke funkcije</t>
    </r>
  </si>
  <si>
    <t>x1=</t>
  </si>
  <si>
    <t>x2=</t>
  </si>
  <si>
    <r>
      <rPr>
        <sz val="11"/>
        <color theme="1"/>
        <rFont val="Calibri"/>
        <family val="2"/>
      </rPr>
      <t xml:space="preserve">h) </t>
    </r>
    <r>
      <rPr>
        <b/>
        <sz val="11"/>
        <color theme="1"/>
        <rFont val="Calibri"/>
        <family val="2"/>
      </rPr>
      <t>Ž</t>
    </r>
    <r>
      <rPr>
        <sz val="11"/>
        <color theme="1"/>
        <rFont val="Calibri"/>
        <family val="2"/>
      </rPr>
      <t xml:space="preserve"> Jedna nultočka je pozitivan broj. Što bi onda predstavljala u našem slučaju? Upišite u ćeliju B44.</t>
    </r>
  </si>
  <si>
    <t>Nakon koliko dana bi vrijednost kriptovalute bila 0.</t>
  </si>
  <si>
    <r>
      <rPr>
        <sz val="11"/>
        <color theme="1"/>
        <rFont val="Calibri"/>
        <family val="2"/>
      </rPr>
      <t xml:space="preserve">i) </t>
    </r>
    <r>
      <rPr>
        <b/>
        <sz val="11"/>
        <color theme="1"/>
        <rFont val="Calibri"/>
        <family val="2"/>
      </rPr>
      <t>Ž</t>
    </r>
    <r>
      <rPr>
        <sz val="11"/>
        <color theme="1"/>
        <rFont val="Calibri"/>
        <family val="2"/>
      </rPr>
      <t xml:space="preserve"> Jedna nultočka je negativan broj. Što bi onda predstavljala u našem slučaju? Upišite u ćeliju B48.</t>
    </r>
  </si>
  <si>
    <t>Prije koliko dana je vrijednost bila 0.</t>
  </si>
  <si>
    <t>Prezime i ime</t>
  </si>
  <si>
    <t>1. ishod</t>
  </si>
  <si>
    <t>2. ishod</t>
  </si>
  <si>
    <t>3. ishod</t>
  </si>
  <si>
    <t>4. ishod</t>
  </si>
  <si>
    <t>ZAD 1</t>
  </si>
  <si>
    <t>ZAD 2</t>
  </si>
  <si>
    <t>ZAD 3</t>
  </si>
  <si>
    <t>ZAD 4</t>
  </si>
  <si>
    <t>ZAD 5</t>
  </si>
  <si>
    <t>ZAD 6</t>
  </si>
  <si>
    <t>ZAD 7</t>
  </si>
  <si>
    <t>ZAD 8</t>
  </si>
  <si>
    <t>ZAD 9</t>
  </si>
  <si>
    <t>ZAD 10</t>
  </si>
  <si>
    <t>ZAD 11</t>
  </si>
  <si>
    <t>ZAD 12</t>
  </si>
  <si>
    <t>ZAD 13</t>
  </si>
  <si>
    <t>ZAD 14</t>
  </si>
  <si>
    <t>ZAD 15</t>
  </si>
  <si>
    <t>ZAD 16</t>
  </si>
  <si>
    <t>ZAD 17</t>
  </si>
  <si>
    <t>ZAD 18</t>
  </si>
  <si>
    <t>ZAD 19</t>
  </si>
  <si>
    <t>ZAD 20</t>
  </si>
  <si>
    <t>ZAD 21</t>
  </si>
  <si>
    <t>Rješavan ishod</t>
  </si>
  <si>
    <t>prirez</t>
  </si>
  <si>
    <t>bruto</t>
  </si>
  <si>
    <t>kontrola</t>
  </si>
  <si>
    <t>Zad r. br.</t>
  </si>
  <si>
    <t>Točan odg</t>
  </si>
  <si>
    <t>Student</t>
  </si>
  <si>
    <t>Auto-bod</t>
  </si>
  <si>
    <t>Korigirano</t>
  </si>
  <si>
    <t>Ispravljeno</t>
  </si>
  <si>
    <t>Bod max</t>
  </si>
  <si>
    <t xml:space="preserve"> /2</t>
  </si>
  <si>
    <t>/1</t>
  </si>
  <si>
    <t>/3</t>
  </si>
  <si>
    <t>zbroj</t>
  </si>
  <si>
    <t xml:space="preserve"> /5</t>
  </si>
  <si>
    <t xml:space="preserve"> /1,5</t>
  </si>
  <si>
    <t>/0,5</t>
  </si>
  <si>
    <t xml:space="preserve"> /1</t>
  </si>
  <si>
    <t xml:space="preserve"> /4</t>
  </si>
  <si>
    <t>/2</t>
  </si>
  <si>
    <t xml:space="preserve"> /6</t>
  </si>
  <si>
    <t>GRAF</t>
  </si>
  <si>
    <t>eksponencijalni model</t>
  </si>
  <si>
    <t>INTERPRETACIJA</t>
  </si>
  <si>
    <t xml:space="preserve"> /9</t>
  </si>
  <si>
    <r>
      <rPr>
        <sz val="11"/>
        <color rgb="FF000000"/>
        <rFont val="Calibri"/>
        <family val="2"/>
      </rPr>
      <t xml:space="preserve">21. </t>
    </r>
    <r>
      <rPr>
        <b/>
        <sz val="11"/>
        <color rgb="FF000000"/>
        <rFont val="Calibri"/>
        <family val="2"/>
      </rPr>
      <t xml:space="preserve">[I4, 6 bodova] </t>
    </r>
    <r>
      <rPr>
        <sz val="11"/>
        <color rgb="FF000000"/>
        <rFont val="Calibri"/>
        <family val="2"/>
      </rPr>
      <t>U tablici su zadani podaci o ukupnom broju proizvedenih proizvoda i prihodu 11 tvornica.</t>
    </r>
  </si>
  <si>
    <r>
      <rPr>
        <sz val="11"/>
        <color rgb="FF000000"/>
        <rFont val="Calibri"/>
        <family val="2"/>
      </rPr>
      <t xml:space="preserve">a) </t>
    </r>
    <r>
      <rPr>
        <b/>
        <sz val="11"/>
        <color rgb="FF000000"/>
        <rFont val="Calibri"/>
        <family val="2"/>
      </rPr>
      <t>M</t>
    </r>
    <r>
      <rPr>
        <sz val="11"/>
        <color rgb="FF000000"/>
        <rFont val="Calibri"/>
        <family val="2"/>
      </rPr>
      <t xml:space="preserve"> Prikažite podatke grafički. Graf smjestite desno od tablice.</t>
    </r>
  </si>
  <si>
    <t>r. br. trgovine</t>
  </si>
  <si>
    <t>broj proizvedenih proizvoda</t>
  </si>
  <si>
    <t>Prihod (EUR)</t>
  </si>
  <si>
    <t>a)</t>
  </si>
  <si>
    <t>linearni model</t>
  </si>
  <si>
    <t>d)</t>
  </si>
  <si>
    <t>interpretacija a</t>
  </si>
  <si>
    <t>interpretacija b</t>
  </si>
  <si>
    <t>e)</t>
  </si>
  <si>
    <t>y = 166,63x + 66312</t>
  </si>
  <si>
    <t>y = 78767e^0,0012x</t>
  </si>
  <si>
    <t>Sa svakim više proizvedenim proizvodom prihod raste za 0,12 %.</t>
  </si>
  <si>
    <t>Prihod bi iznosio 135.978,14 eura.</t>
  </si>
  <si>
    <r>
      <t xml:space="preserve">13. </t>
    </r>
    <r>
      <rPr>
        <b/>
        <sz val="11"/>
        <color theme="1"/>
        <rFont val="Calibri"/>
        <family val="2"/>
      </rPr>
      <t xml:space="preserve">[I2, 4 boda] M </t>
    </r>
    <r>
      <rPr>
        <sz val="11"/>
        <color theme="1"/>
        <rFont val="Calibri"/>
        <family val="2"/>
      </rPr>
      <t>Napravite tablicu usporedbe jednostavnog i složenog kamatnog računa ako je osoba uložila 52.000 eura uz godišnju kamatnu stopu od 1,5 %. U ćeliji C24 izračunajte koliko posto je konačna vrijednost nakon deset godina pri složenom obračunu veća od one pri jednostavnom obračunu? Interpretaciju napišite u ćeliji C25.
Napomena: sve vrijednosti u tablici koje računate zaokružite na dvije decimale koristeći naredbu =ROUND( ;2), a razliku u postotku u ćeliji C24 na četiri decimale koristeći naredbu =ROUND( ;4).</t>
    </r>
  </si>
  <si>
    <r>
      <t xml:space="preserve">16. </t>
    </r>
    <r>
      <rPr>
        <b/>
        <sz val="11"/>
        <color theme="1"/>
        <rFont val="Calibri"/>
        <family val="2"/>
      </rPr>
      <t>[I3, 5 bodova] M</t>
    </r>
    <r>
      <rPr>
        <sz val="11"/>
        <color theme="1"/>
        <rFont val="Calibri"/>
        <family val="2"/>
      </rPr>
      <t xml:space="preserve"> Uzeli ste stambeni kredit u iznosu 170.000 eura na rok od 36 godina. Godišnja kamatna stopa iznosi 3,55 %. Vraćat će ga krajem svakog polugodišta metodom jednakih otplatnih kvota. Koristi se proporcionalna metoda (relativni kamatnjak).
Napravite otplatnu tablicu. Popravite zadnji redak otplatne tablice tako da dug bude 0 eura.</t>
    </r>
  </si>
  <si>
    <r>
      <t xml:space="preserve">b) </t>
    </r>
    <r>
      <rPr>
        <b/>
        <sz val="11"/>
        <color rgb="FF000000"/>
        <rFont val="Calibri"/>
        <family val="2"/>
      </rPr>
      <t>M</t>
    </r>
    <r>
      <rPr>
        <sz val="11"/>
        <color rgb="FF000000"/>
        <rFont val="Calibri"/>
        <family val="2"/>
      </rPr>
      <t xml:space="preserve"> Koje godine se očekuje pad ispod 20.000 stanovnika? Upišite u ćeliju E13.</t>
    </r>
  </si>
  <si>
    <r>
      <t xml:space="preserve">e) </t>
    </r>
    <r>
      <rPr>
        <b/>
        <sz val="11"/>
        <color rgb="FF000000"/>
        <rFont val="Calibri"/>
        <family val="2"/>
      </rPr>
      <t>Ž</t>
    </r>
    <r>
      <rPr>
        <sz val="11"/>
        <color rgb="FF000000"/>
        <rFont val="Calibri"/>
        <family val="2"/>
      </rPr>
      <t xml:space="preserve"> Koliko stanovnika se očekuje 2028. ako je 2021. godina zadnja godina linearnog pada, a nakon toga slijedi eksponencijalni pad od 0,5 % godišnje? Dopunite tablicu do 2028. godine i izračunajte.</t>
    </r>
  </si>
  <si>
    <r>
      <rPr>
        <sz val="11"/>
        <color theme="1"/>
        <rFont val="Calibri"/>
        <family val="2"/>
      </rPr>
      <t xml:space="preserve">c) </t>
    </r>
    <r>
      <rPr>
        <b/>
        <sz val="11"/>
        <color theme="1"/>
        <rFont val="Calibri"/>
        <family val="2"/>
      </rPr>
      <t>M</t>
    </r>
    <r>
      <rPr>
        <sz val="11"/>
        <color theme="1"/>
        <rFont val="Calibri"/>
        <family val="2"/>
      </rPr>
      <t xml:space="preserve"> U tablici pročitajte koji dan je vrijednost kriptovalute dosegnula najvišu vrijednost? Upišite u ćeliju B21.</t>
    </r>
  </si>
  <si>
    <r>
      <t>b)</t>
    </r>
    <r>
      <rPr>
        <b/>
        <sz val="11"/>
        <color rgb="FF000000"/>
        <rFont val="Calibri"/>
        <family val="2"/>
      </rPr>
      <t xml:space="preserve"> M</t>
    </r>
    <r>
      <rPr>
        <sz val="11"/>
        <color rgb="FF000000"/>
        <rFont val="Calibri"/>
        <family val="2"/>
      </rPr>
      <t xml:space="preserve"> Odredite jednadžbe linearnog i eksponencijalnog modela i prepišite ih u ćelije C26 i C27.</t>
    </r>
  </si>
  <si>
    <r>
      <t xml:space="preserve">c) </t>
    </r>
    <r>
      <rPr>
        <b/>
        <sz val="11"/>
        <color rgb="FF000000"/>
        <rFont val="Calibri"/>
        <family val="2"/>
      </rPr>
      <t>Ž</t>
    </r>
    <r>
      <rPr>
        <sz val="11"/>
        <color rgb="FF000000"/>
        <rFont val="Calibri"/>
        <family val="2"/>
      </rPr>
      <t xml:space="preserve"> Odgovara li prikazanoj pojavi bolje linearni ili eksponencijalni model? Upišite u ćeliju B29.</t>
    </r>
  </si>
  <si>
    <r>
      <t xml:space="preserve">d) </t>
    </r>
    <r>
      <rPr>
        <b/>
        <sz val="11"/>
        <color rgb="FF000000"/>
        <rFont val="Calibri"/>
        <family val="2"/>
      </rPr>
      <t>Ž</t>
    </r>
    <r>
      <rPr>
        <sz val="11"/>
        <color rgb="FF000000"/>
        <rFont val="Calibri"/>
        <family val="2"/>
      </rPr>
      <t xml:space="preserve"> Interpretirajte koeficijente a i b reprezentativnijeg modela u ćelijama B32 i B33.</t>
    </r>
  </si>
  <si>
    <t>Rezultati pismenog dijela ispita bit će objavljeni u roku 7 dana.</t>
  </si>
  <si>
    <t>Osnovica za uzdržavane članove i djecu:</t>
  </si>
  <si>
    <t>iznos odbitka</t>
  </si>
  <si>
    <t>PRIJAVLJENI OSOBNI ODBITAK</t>
  </si>
  <si>
    <t>20 % na iznos do 3.981,69 eura porezne osnovice</t>
  </si>
  <si>
    <t>30 % na iznos veći od 3.981,69 eura porezne osnovice</t>
  </si>
  <si>
    <t>PRIREZ   0% - 18%</t>
  </si>
  <si>
    <t>x % od ukupnog poreza</t>
  </si>
  <si>
    <t>20 % na osnovicu do 3.981,61 eura (0 eur - 3.981,61 eura)</t>
  </si>
  <si>
    <t>30 % - na osnovicu iznad 3.981,69 eura</t>
  </si>
  <si>
    <r>
      <rPr>
        <b/>
        <sz val="11"/>
        <color theme="1"/>
        <rFont val="Calibri"/>
        <family val="2"/>
      </rPr>
      <t>11. [I2, 6 bodova] M</t>
    </r>
    <r>
      <rPr>
        <sz val="11"/>
        <color theme="1"/>
        <rFont val="Calibri"/>
        <family val="2"/>
      </rPr>
      <t xml:space="preserve"> Odredite neto iznos plaće osobe koja živi u Zagrebu (prirez 18 %) i popunite tablicu do kraja. Ima dijete D1 na svojoj poreznoj kartici i bruto plaću 1.400 eura.</t>
    </r>
  </si>
  <si>
    <t>Svaka točno izračunata vrijednost donosi po 0,375 boda.</t>
  </si>
  <si>
    <r>
      <rPr>
        <sz val="11"/>
        <color theme="1"/>
        <rFont val="Calibri"/>
        <family val="2"/>
      </rPr>
      <t>6.</t>
    </r>
    <r>
      <rPr>
        <b/>
        <sz val="11"/>
        <color theme="1"/>
        <rFont val="Calibri"/>
        <family val="2"/>
      </rPr>
      <t xml:space="preserve"> [I1, 3 boda] Ž</t>
    </r>
    <r>
      <rPr>
        <sz val="11"/>
        <color theme="1"/>
        <rFont val="Calibri"/>
        <family val="2"/>
      </rPr>
      <t xml:space="preserve"> Tenisice koštaju 75 eura u trgovini. Ako je stopa PDV-a 25 % odredite cijenu bez PDV-a? Izračunajte u ćeliji C28.</t>
    </r>
  </si>
  <si>
    <r>
      <t>e)</t>
    </r>
    <r>
      <rPr>
        <b/>
        <sz val="11"/>
        <color rgb="FF000000"/>
        <rFont val="Calibri"/>
        <family val="2"/>
      </rPr>
      <t xml:space="preserve"> Ž </t>
    </r>
    <r>
      <rPr>
        <sz val="11"/>
        <color rgb="FF000000"/>
        <rFont val="Calibri"/>
        <family val="2"/>
      </rPr>
      <t>Koliko bi prema tom modelu iznosio prihod kad bi broj proizvedenih proizvoda bio 455? Izračunajte u ćeliji B35, a interpretaciju napišite u C35.</t>
    </r>
  </si>
  <si>
    <r>
      <t xml:space="preserve">19. </t>
    </r>
    <r>
      <rPr>
        <b/>
        <sz val="11"/>
        <color rgb="FF000000"/>
        <rFont val="Calibri"/>
        <family val="2"/>
      </rPr>
      <t xml:space="preserve">[I4, 6 bodova] </t>
    </r>
    <r>
      <rPr>
        <sz val="11"/>
        <color rgb="FF000000"/>
        <rFont val="Calibri"/>
        <family val="2"/>
      </rPr>
      <t>Broj stanovnika nekog mjesta smanjuje se godišnje u prosjeku za 270.</t>
    </r>
  </si>
  <si>
    <r>
      <t xml:space="preserve">15. </t>
    </r>
    <r>
      <rPr>
        <b/>
        <sz val="11"/>
        <color theme="1"/>
        <rFont val="Calibri"/>
        <family val="2"/>
      </rPr>
      <t>[I3, 6 bodova] M</t>
    </r>
    <r>
      <rPr>
        <sz val="11"/>
        <color theme="1"/>
        <rFont val="Calibri"/>
        <family val="2"/>
      </rPr>
      <t xml:space="preserve"> Martina je uzela zajam metodom jednakih anuiteta u iznosu 8.000,00 eura koji će otplaćivati 6 godina krajem svakog kvartala. Godišnja dekurzivna kamatna stopa iznosi 5,1 %.
Napravite otplatnu tablicu i provjerite je. Popravite zadnji redak otplatne tablice tako da dug bude 0 eura.</t>
    </r>
  </si>
  <si>
    <t xml:space="preserve"> /21</t>
  </si>
  <si>
    <t xml:space="preserve"> /3</t>
  </si>
  <si>
    <t>/0,375</t>
  </si>
  <si>
    <t>Spremite dokument pod svojim imenom, tako da prvo napišete prezime, potom ime i grupu ispita (ovo je grupa 2) npr. Ivic Ivica 2.xlsx</t>
  </si>
  <si>
    <t>odaberite odgovor DA uz ishode koje pišete!!!</t>
  </si>
  <si>
    <t>Tvornica bez proizvedenog proizvoda imala bi prihod 78767 eur</t>
  </si>
  <si>
    <t>12. 9. 2024.</t>
  </si>
  <si>
    <t>ispit - grupa 2 u 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</si>
</sst>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8" formatCode="#,##0.00\ &quot;kn&quot;;[Red]\-#,##0.00\ &quot;kn&quot;"/>
    <numFmt numFmtId="164" formatCode="_-&quot;€&quot;\ * #,##0.00_-;\-&quot;€&quot;\ * #,##0.00_-;_-&quot;€&quot;\ * &quot;-&quot;??_-;_-@_-"/>
    <numFmt numFmtId="165" formatCode="_-* #,##0.00\ [$€-1]_-;\-* #,##0.00\ [$€-1]_-;_-* &quot;-&quot;??\ [$€-1]_-;_-@"/>
    <numFmt numFmtId="166" formatCode="#,##0.00\ &quot;kn&quot;"/>
    <numFmt numFmtId="167" formatCode="_-* #,##0.00\ &quot;kn&quot;_-;\-* #,##0.00\ &quot;kn&quot;_-;_-* &quot;-&quot;??\ &quot;kn&quot;_-;_-@"/>
    <numFmt numFmtId="168" formatCode="_-* #,##0.00\ [$kn-41A]_-;\-* #,##0.00\ [$kn-41A]_-;_-* &quot;-&quot;??\ [$kn-41A]_-;_-@"/>
    <numFmt numFmtId="169" formatCode="#,##0.000"/>
    <numFmt numFmtId="170" formatCode="0.0000%"/>
    <numFmt numFmtId="171" formatCode="0.000%"/>
    <numFmt numFmtId="172" formatCode="0.0000"/>
    <numFmt numFmtId="173" formatCode="_-* #,##0.00000\ _k_n_-;\-* #,##0.00000\ _k_n_-;_-* &quot;-&quot;??\ _k_n_-;_-@"/>
    <numFmt numFmtId="174" formatCode="#,##0.000\ &quot;kn&quot;"/>
    <numFmt numFmtId="175" formatCode="0.0000000%"/>
    <numFmt numFmtId="176" formatCode="0.0%"/>
    <numFmt numFmtId="177" formatCode="_-[$€-2]\ * #,##0.00_-;\-[$€-2]\ * #,##0.00_-;_-[$€-2]\ * &quot;-&quot;??_-;_-@"/>
    <numFmt numFmtId="178" formatCode="0.00000"/>
    <numFmt numFmtId="179" formatCode="0.0"/>
    <numFmt numFmtId="180" formatCode="_-[$€-2]\ * #,##0.00_-;\-[$€-2]\ * #,##0.00_-;_-[$€-2]\ * &quot;-&quot;??_-;_-@_-"/>
    <numFmt numFmtId="181" formatCode="&quot;€&quot;\ #,##0.00"/>
  </numFmts>
  <fonts count="26">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1"/>
      <name val="Calibri"/>
      <family val="2"/>
    </font>
    <font>
      <b/>
      <sz val="16"/>
      <color theme="1"/>
      <name val="Calibri"/>
      <family val="2"/>
    </font>
    <font>
      <sz val="11"/>
      <color theme="1"/>
      <name val="Calibri"/>
      <family val="2"/>
      <scheme val="minor"/>
    </font>
    <font>
      <b/>
      <sz val="11"/>
      <color rgb="FFFF0000"/>
      <name val="Calibri"/>
      <family val="2"/>
    </font>
    <font>
      <b/>
      <sz val="11"/>
      <color theme="1"/>
      <name val="Calibri"/>
      <family val="2"/>
    </font>
    <font>
      <sz val="11"/>
      <color theme="1"/>
      <name val="Calibri"/>
      <family val="2"/>
    </font>
    <font>
      <sz val="11"/>
      <name val="Calibri"/>
      <family val="2"/>
    </font>
    <font>
      <sz val="11"/>
      <color rgb="FFFF0000"/>
      <name val="Calibri"/>
      <family val="2"/>
    </font>
    <font>
      <sz val="11"/>
      <color rgb="FF000000"/>
      <name val="Calibri"/>
      <family val="2"/>
    </font>
    <font>
      <u/>
      <sz val="11"/>
      <color theme="10"/>
      <name val="Calibri"/>
      <family val="2"/>
    </font>
    <font>
      <b/>
      <sz val="11"/>
      <color rgb="FF000000"/>
      <name val="Calibri"/>
      <family val="2"/>
    </font>
    <font>
      <sz val="11"/>
      <color theme="1"/>
      <name val="Calibri, Arial"/>
    </font>
    <font>
      <b/>
      <sz val="11"/>
      <color theme="1"/>
      <name val="Calibri, Arial"/>
    </font>
    <font>
      <sz val="11"/>
      <color theme="1"/>
      <name val="Calibri"/>
      <family val="2"/>
      <charset val="238"/>
      <scheme val="minor"/>
    </font>
    <font>
      <sz val="11"/>
      <color rgb="FF000000"/>
      <name val="Calibri"/>
      <family val="2"/>
      <charset val="238"/>
      <scheme val="minor"/>
    </font>
    <font>
      <sz val="11"/>
      <color theme="1"/>
      <name val="Calibri"/>
      <family val="2"/>
      <charset val="238"/>
      <scheme val="minor"/>
    </font>
    <font>
      <sz val="11"/>
      <name val="Calibri"/>
      <family val="2"/>
      <charset val="238"/>
    </font>
    <font>
      <sz val="11"/>
      <color theme="1"/>
      <name val="Calibri"/>
      <family val="2"/>
      <charset val="238"/>
    </font>
    <font>
      <u/>
      <sz val="11"/>
      <color theme="10"/>
      <name val="Calibri"/>
      <family val="2"/>
      <scheme val="minor"/>
    </font>
    <font>
      <sz val="11"/>
      <color theme="1"/>
      <name val="Calibri"/>
      <family val="2"/>
      <charset val="238"/>
      <scheme val="minor"/>
    </font>
    <font>
      <sz val="8"/>
      <name val="Calibri"/>
      <family val="2"/>
      <charset val="238"/>
      <scheme val="minor"/>
    </font>
  </fonts>
  <fills count="18">
    <fill>
      <patternFill patternType="none"/>
    </fill>
    <fill>
      <patternFill patternType="gray125"/>
    </fill>
    <fill>
      <patternFill patternType="solid">
        <fgColor rgb="FFFFFF00"/>
        <bgColor rgb="FFFFFF00"/>
      </patternFill>
    </fill>
    <fill>
      <patternFill patternType="solid">
        <fgColor rgb="FFD9D9D9"/>
        <bgColor rgb="FFD9D9D9"/>
      </patternFill>
    </fill>
    <fill>
      <patternFill patternType="solid">
        <fgColor rgb="FFE2EFD9"/>
        <bgColor rgb="FFE2EFD9"/>
      </patternFill>
    </fill>
    <fill>
      <patternFill patternType="solid">
        <fgColor rgb="FFFFD965"/>
        <bgColor rgb="FFFFD965"/>
      </patternFill>
    </fill>
    <fill>
      <patternFill patternType="solid">
        <fgColor rgb="FF92D050"/>
        <bgColor rgb="FF92D050"/>
      </patternFill>
    </fill>
    <fill>
      <patternFill patternType="solid">
        <fgColor rgb="FFF7CAAC"/>
        <bgColor rgb="FFF7CAAC"/>
      </patternFill>
    </fill>
    <fill>
      <patternFill patternType="solid">
        <fgColor rgb="FFFBE4D5"/>
        <bgColor rgb="FFFBE4D5"/>
      </patternFill>
    </fill>
    <fill>
      <patternFill patternType="solid">
        <fgColor rgb="FFFEF2CB"/>
        <bgColor rgb="FFFEF2CB"/>
      </patternFill>
    </fill>
    <fill>
      <patternFill patternType="solid">
        <fgColor rgb="FFD9E2F3"/>
        <bgColor rgb="FFD9E2F3"/>
      </patternFill>
    </fill>
    <fill>
      <patternFill patternType="solid">
        <fgColor rgb="FF7F7F7F"/>
        <bgColor rgb="FF7F7F7F"/>
      </patternFill>
    </fill>
    <fill>
      <patternFill patternType="solid">
        <fgColor rgb="FF9CC2E5"/>
        <bgColor rgb="FF9CC2E5"/>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2CC"/>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s>
  <cellStyleXfs count="8">
    <xf numFmtId="0" fontId="0" fillId="0" borderId="0"/>
    <xf numFmtId="0" fontId="4" fillId="0" borderId="4"/>
    <xf numFmtId="0" fontId="18" fillId="0" borderId="4"/>
    <xf numFmtId="0" fontId="20" fillId="0" borderId="4"/>
    <xf numFmtId="0" fontId="23" fillId="0" borderId="4" applyNumberFormat="0" applyFill="0" applyBorder="0" applyAlignment="0" applyProtection="0"/>
    <xf numFmtId="9" fontId="18" fillId="0" borderId="4" applyFont="0" applyFill="0" applyBorder="0" applyAlignment="0" applyProtection="0"/>
    <xf numFmtId="164" fontId="24" fillId="0" borderId="0" applyFont="0" applyFill="0" applyBorder="0" applyAlignment="0" applyProtection="0"/>
    <xf numFmtId="9" fontId="24" fillId="0" borderId="0" applyFont="0" applyFill="0" applyBorder="0" applyAlignment="0" applyProtection="0"/>
  </cellStyleXfs>
  <cellXfs count="207">
    <xf numFmtId="0" fontId="0" fillId="0" borderId="0" xfId="0"/>
    <xf numFmtId="0" fontId="5" fillId="0" borderId="0" xfId="0" applyFont="1"/>
    <xf numFmtId="0" fontId="6" fillId="0" borderId="0" xfId="0" applyFont="1"/>
    <xf numFmtId="0" fontId="7" fillId="0" borderId="0" xfId="0" applyFont="1"/>
    <xf numFmtId="0" fontId="8" fillId="0" borderId="0" xfId="0" applyFont="1"/>
    <xf numFmtId="0" fontId="9" fillId="2" borderId="1" xfId="0" applyFont="1" applyFill="1" applyBorder="1"/>
    <xf numFmtId="0" fontId="10" fillId="2" borderId="1" xfId="0" applyFont="1" applyFill="1" applyBorder="1" applyAlignment="1">
      <alignment horizontal="center" vertical="center"/>
    </xf>
    <xf numFmtId="0" fontId="10" fillId="0" borderId="1" xfId="0" applyFont="1" applyBorder="1" applyAlignment="1">
      <alignment horizontal="center"/>
    </xf>
    <xf numFmtId="0" fontId="9" fillId="3" borderId="1" xfId="0" applyFont="1" applyFill="1" applyBorder="1" applyAlignment="1">
      <alignment horizontal="center" vertical="center" wrapText="1"/>
    </xf>
    <xf numFmtId="0" fontId="10" fillId="0" borderId="1" xfId="0" applyFont="1" applyBorder="1" applyAlignment="1">
      <alignment horizont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horizontal="center"/>
    </xf>
    <xf numFmtId="0" fontId="10" fillId="0" borderId="0" xfId="0" applyFont="1" applyAlignment="1">
      <alignment horizontal="center" vertical="center" wrapText="1"/>
    </xf>
    <xf numFmtId="0" fontId="10" fillId="0" borderId="0" xfId="0" applyFont="1" applyAlignment="1">
      <alignment horizontal="right"/>
    </xf>
    <xf numFmtId="0" fontId="10" fillId="0" borderId="0" xfId="0" applyFont="1" applyAlignment="1">
      <alignment horizontal="center" vertical="center"/>
    </xf>
    <xf numFmtId="10" fontId="10" fillId="0" borderId="0" xfId="0" applyNumberFormat="1" applyFont="1"/>
    <xf numFmtId="165" fontId="10" fillId="2" borderId="4" xfId="0" applyNumberFormat="1" applyFont="1" applyFill="1" applyBorder="1"/>
    <xf numFmtId="0" fontId="12" fillId="0" borderId="0" xfId="0" applyFont="1"/>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left" wrapText="1"/>
    </xf>
    <xf numFmtId="10" fontId="10" fillId="2" borderId="4" xfId="0" applyNumberFormat="1" applyFont="1" applyFill="1" applyBorder="1"/>
    <xf numFmtId="0" fontId="10" fillId="0" borderId="0" xfId="0" applyFont="1" applyAlignment="1">
      <alignment wrapText="1"/>
    </xf>
    <xf numFmtId="0" fontId="10" fillId="0" borderId="0" xfId="0" applyFont="1"/>
    <xf numFmtId="0" fontId="10" fillId="2" borderId="4" xfId="0" applyFont="1" applyFill="1" applyBorder="1"/>
    <xf numFmtId="0" fontId="13" fillId="0" borderId="0" xfId="0" applyFont="1" applyAlignment="1">
      <alignment horizontal="left" vertical="center"/>
    </xf>
    <xf numFmtId="166" fontId="10" fillId="0" borderId="0" xfId="0" applyNumberFormat="1" applyFont="1"/>
    <xf numFmtId="0" fontId="9" fillId="0" borderId="1" xfId="0" applyFont="1" applyBorder="1" applyAlignment="1">
      <alignment horizontal="center" vertical="center"/>
    </xf>
    <xf numFmtId="0" fontId="10" fillId="0" borderId="1" xfId="0" applyFont="1" applyBorder="1" applyAlignment="1">
      <alignment horizontal="center" vertical="center"/>
    </xf>
    <xf numFmtId="167" fontId="10" fillId="0" borderId="1" xfId="0" applyNumberFormat="1" applyFont="1" applyBorder="1" applyAlignment="1">
      <alignment horizontal="center" vertical="center"/>
    </xf>
    <xf numFmtId="166" fontId="10" fillId="0" borderId="1" xfId="0" applyNumberFormat="1" applyFont="1" applyBorder="1" applyAlignment="1">
      <alignment horizontal="center" vertical="center"/>
    </xf>
    <xf numFmtId="0" fontId="10" fillId="0" borderId="0" xfId="0" applyFont="1" applyAlignment="1">
      <alignment horizontal="center" vertical="top"/>
    </xf>
    <xf numFmtId="0" fontId="10" fillId="0" borderId="0" xfId="0" applyFont="1" applyAlignment="1">
      <alignment horizontal="left" vertical="top"/>
    </xf>
    <xf numFmtId="0" fontId="10" fillId="0" borderId="0" xfId="0" applyFont="1" applyAlignment="1">
      <alignment horizontal="right" vertical="top"/>
    </xf>
    <xf numFmtId="0" fontId="12" fillId="0" borderId="0" xfId="0" applyFont="1" applyAlignment="1">
      <alignment horizontal="left" vertical="top"/>
    </xf>
    <xf numFmtId="0" fontId="12" fillId="0" borderId="0" xfId="0" applyFont="1" applyAlignment="1">
      <alignment horizontal="right" vertical="top"/>
    </xf>
    <xf numFmtId="0" fontId="10" fillId="2" borderId="4" xfId="0" applyFont="1" applyFill="1" applyBorder="1" applyAlignment="1">
      <alignment horizontal="right" wrapText="1"/>
    </xf>
    <xf numFmtId="0" fontId="10" fillId="0" borderId="0" xfId="0" applyFont="1" applyAlignment="1">
      <alignment horizontal="right" wrapText="1"/>
    </xf>
    <xf numFmtId="0" fontId="10" fillId="0" borderId="0" xfId="0" applyFont="1" applyAlignment="1">
      <alignment horizontal="left" vertical="top" wrapText="1"/>
    </xf>
    <xf numFmtId="165" fontId="10" fillId="2" borderId="4" xfId="0" applyNumberFormat="1" applyFont="1" applyFill="1" applyBorder="1" applyAlignment="1">
      <alignment horizontal="center" vertical="center" wrapText="1"/>
    </xf>
    <xf numFmtId="10" fontId="10" fillId="2" borderId="4" xfId="0" applyNumberFormat="1" applyFont="1" applyFill="1" applyBorder="1" applyAlignment="1">
      <alignment horizontal="center" vertical="center" wrapText="1"/>
    </xf>
    <xf numFmtId="169" fontId="10" fillId="2" borderId="4" xfId="0" applyNumberFormat="1" applyFont="1" applyFill="1" applyBorder="1" applyAlignment="1">
      <alignment horizontal="center" vertical="center"/>
    </xf>
    <xf numFmtId="0" fontId="9" fillId="0" borderId="2" xfId="0" applyFont="1" applyBorder="1" applyAlignment="1">
      <alignment horizontal="center"/>
    </xf>
    <xf numFmtId="0" fontId="9" fillId="0" borderId="1" xfId="0" applyFont="1" applyBorder="1" applyAlignment="1">
      <alignment horizontal="center" vertical="center" wrapText="1"/>
    </xf>
    <xf numFmtId="165" fontId="10" fillId="2" borderId="1" xfId="0" applyNumberFormat="1" applyFont="1" applyFill="1" applyBorder="1" applyAlignment="1">
      <alignment horizontal="center"/>
    </xf>
    <xf numFmtId="0" fontId="12" fillId="0" borderId="0" xfId="0" applyFont="1" applyAlignment="1">
      <alignment horizontal="right" vertical="top" wrapText="1"/>
    </xf>
    <xf numFmtId="10" fontId="10" fillId="2" borderId="4" xfId="0" applyNumberFormat="1" applyFont="1" applyFill="1" applyBorder="1" applyAlignment="1">
      <alignment horizontal="center" vertical="center"/>
    </xf>
    <xf numFmtId="165" fontId="12" fillId="2" borderId="4" xfId="0" applyNumberFormat="1" applyFont="1" applyFill="1" applyBorder="1"/>
    <xf numFmtId="169" fontId="10" fillId="2" borderId="4" xfId="0" applyNumberFormat="1" applyFont="1" applyFill="1" applyBorder="1"/>
    <xf numFmtId="170" fontId="10" fillId="2" borderId="4" xfId="0" applyNumberFormat="1" applyFont="1" applyFill="1" applyBorder="1"/>
    <xf numFmtId="0" fontId="10" fillId="2" borderId="4" xfId="0" applyFont="1" applyFill="1" applyBorder="1" applyAlignment="1">
      <alignment wrapText="1"/>
    </xf>
    <xf numFmtId="171" fontId="10" fillId="2" borderId="4" xfId="0" applyNumberFormat="1" applyFont="1" applyFill="1" applyBorder="1"/>
    <xf numFmtId="172" fontId="10" fillId="2" borderId="4" xfId="0" applyNumberFormat="1" applyFont="1" applyFill="1" applyBorder="1"/>
    <xf numFmtId="173" fontId="10" fillId="2" borderId="4" xfId="0" applyNumberFormat="1" applyFont="1" applyFill="1" applyBorder="1"/>
    <xf numFmtId="8" fontId="10" fillId="0" borderId="0" xfId="0" applyNumberFormat="1" applyFont="1"/>
    <xf numFmtId="1" fontId="10" fillId="0" borderId="1" xfId="0" applyNumberFormat="1" applyFont="1" applyBorder="1" applyAlignment="1">
      <alignment horizontal="center" vertical="center"/>
    </xf>
    <xf numFmtId="165" fontId="10" fillId="0" borderId="0" xfId="0" applyNumberFormat="1" applyFont="1" applyAlignment="1">
      <alignment horizontal="center" vertical="center"/>
    </xf>
    <xf numFmtId="165" fontId="10" fillId="5" borderId="4" xfId="0" applyNumberFormat="1" applyFont="1" applyFill="1" applyBorder="1" applyAlignment="1">
      <alignment horizontal="center" vertical="center"/>
    </xf>
    <xf numFmtId="1" fontId="10" fillId="0" borderId="0" xfId="0" applyNumberFormat="1" applyFont="1" applyAlignment="1">
      <alignment horizontal="center" vertical="center"/>
    </xf>
    <xf numFmtId="0" fontId="12" fillId="0" borderId="0" xfId="0" applyFont="1" applyAlignment="1">
      <alignment horizontal="center" vertical="center"/>
    </xf>
    <xf numFmtId="165" fontId="10" fillId="6" borderId="0" xfId="0" applyNumberFormat="1" applyFont="1" applyFill="1" applyAlignment="1">
      <alignment horizontal="center" vertical="center"/>
    </xf>
    <xf numFmtId="165" fontId="10" fillId="0" borderId="0" xfId="0" applyNumberFormat="1" applyFont="1"/>
    <xf numFmtId="165" fontId="10" fillId="0" borderId="1" xfId="0" applyNumberFormat="1" applyFont="1" applyBorder="1" applyAlignment="1">
      <alignment horizontal="center" vertical="center"/>
    </xf>
    <xf numFmtId="8" fontId="10" fillId="0" borderId="0" xfId="0" applyNumberFormat="1" applyFont="1" applyAlignment="1">
      <alignment horizontal="center" vertical="center"/>
    </xf>
    <xf numFmtId="174" fontId="10" fillId="0" borderId="0" xfId="0" applyNumberFormat="1" applyFont="1" applyAlignment="1">
      <alignment horizontal="center" vertical="center"/>
    </xf>
    <xf numFmtId="166" fontId="10" fillId="0" borderId="0" xfId="0" applyNumberFormat="1" applyFont="1" applyAlignment="1">
      <alignment horizontal="center" vertical="center"/>
    </xf>
    <xf numFmtId="4" fontId="10" fillId="0" borderId="0" xfId="0" applyNumberFormat="1" applyFont="1"/>
    <xf numFmtId="175" fontId="10" fillId="0" borderId="0" xfId="0" applyNumberFormat="1" applyFont="1"/>
    <xf numFmtId="0" fontId="10" fillId="0" borderId="0" xfId="0" applyFont="1" applyAlignment="1">
      <alignment horizontal="left"/>
    </xf>
    <xf numFmtId="165" fontId="10" fillId="0" borderId="1" xfId="0" applyNumberFormat="1" applyFont="1" applyBorder="1" applyAlignment="1">
      <alignment horizontal="center"/>
    </xf>
    <xf numFmtId="165" fontId="10" fillId="6" borderId="1" xfId="0" applyNumberFormat="1" applyFont="1" applyFill="1" applyBorder="1" applyAlignment="1">
      <alignment horizontal="center"/>
    </xf>
    <xf numFmtId="165" fontId="10" fillId="7" borderId="1" xfId="0" applyNumberFormat="1" applyFont="1" applyFill="1" applyBorder="1" applyAlignment="1">
      <alignment horizontal="center"/>
    </xf>
    <xf numFmtId="3" fontId="7" fillId="0" borderId="0" xfId="0" applyNumberFormat="1" applyFont="1"/>
    <xf numFmtId="176" fontId="10" fillId="0" borderId="0" xfId="0" applyNumberFormat="1" applyFont="1"/>
    <xf numFmtId="165" fontId="12" fillId="0" borderId="0" xfId="0" applyNumberFormat="1" applyFont="1"/>
    <xf numFmtId="10" fontId="10" fillId="2" borderId="4" xfId="0" applyNumberFormat="1" applyFont="1" applyFill="1" applyBorder="1" applyAlignment="1">
      <alignment wrapText="1"/>
    </xf>
    <xf numFmtId="165" fontId="10" fillId="2" borderId="4" xfId="0" applyNumberFormat="1" applyFont="1" applyFill="1" applyBorder="1" applyAlignment="1">
      <alignment wrapText="1"/>
    </xf>
    <xf numFmtId="165" fontId="10" fillId="0" borderId="1" xfId="0" applyNumberFormat="1" applyFont="1" applyBorder="1"/>
    <xf numFmtId="165" fontId="10" fillId="6" borderId="1" xfId="0" applyNumberFormat="1" applyFont="1" applyFill="1" applyBorder="1"/>
    <xf numFmtId="0" fontId="10" fillId="0" borderId="1" xfId="0" applyFont="1" applyBorder="1"/>
    <xf numFmtId="165" fontId="10" fillId="0" borderId="14" xfId="0" applyNumberFormat="1" applyFont="1" applyBorder="1"/>
    <xf numFmtId="165" fontId="10" fillId="0" borderId="2" xfId="0" applyNumberFormat="1" applyFont="1" applyBorder="1"/>
    <xf numFmtId="165" fontId="10" fillId="0" borderId="0" xfId="0" applyNumberFormat="1" applyFont="1" applyAlignment="1">
      <alignment horizontal="center"/>
    </xf>
    <xf numFmtId="0" fontId="13" fillId="0" borderId="0" xfId="0" applyFont="1"/>
    <xf numFmtId="0" fontId="9" fillId="0" borderId="1" xfId="0" applyFont="1" applyBorder="1" applyAlignment="1">
      <alignment horizontal="center"/>
    </xf>
    <xf numFmtId="0" fontId="10" fillId="2" borderId="1" xfId="0" applyFont="1" applyFill="1" applyBorder="1" applyAlignment="1">
      <alignment horizontal="center"/>
    </xf>
    <xf numFmtId="1" fontId="10" fillId="0" borderId="0" xfId="0" applyNumberFormat="1" applyFont="1" applyAlignment="1">
      <alignment horizontal="center"/>
    </xf>
    <xf numFmtId="2" fontId="10" fillId="2" borderId="4" xfId="0" applyNumberFormat="1" applyFont="1" applyFill="1" applyBorder="1"/>
    <xf numFmtId="0" fontId="9" fillId="2" borderId="1" xfId="0" applyFont="1" applyFill="1" applyBorder="1" applyAlignment="1">
      <alignment horizontal="center" vertical="center"/>
    </xf>
    <xf numFmtId="0" fontId="10" fillId="8" borderId="1" xfId="0" applyFont="1" applyFill="1" applyBorder="1" applyAlignment="1">
      <alignment horizontal="center" vertical="center"/>
    </xf>
    <xf numFmtId="0" fontId="10" fillId="9" borderId="1" xfId="0" applyFont="1" applyFill="1" applyBorder="1" applyAlignment="1">
      <alignment horizontal="center" vertical="center"/>
    </xf>
    <xf numFmtId="0" fontId="10" fillId="10" borderId="1"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0" xfId="0" applyFont="1" applyAlignment="1">
      <alignment horizontal="right" vertical="center"/>
    </xf>
    <xf numFmtId="9" fontId="10" fillId="0" borderId="0" xfId="0" applyNumberFormat="1" applyFont="1" applyAlignment="1">
      <alignment horizontal="center" vertical="center"/>
    </xf>
    <xf numFmtId="0" fontId="9" fillId="0" borderId="0" xfId="0" applyFont="1" applyAlignment="1">
      <alignment horizontal="center" vertical="center"/>
    </xf>
    <xf numFmtId="0" fontId="9" fillId="11" borderId="4" xfId="0" applyFont="1" applyFill="1" applyBorder="1" applyAlignment="1">
      <alignment horizontal="center" vertical="center"/>
    </xf>
    <xf numFmtId="0" fontId="10" fillId="11" borderId="4" xfId="0" applyFont="1" applyFill="1" applyBorder="1"/>
    <xf numFmtId="177" fontId="10"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0" fillId="11" borderId="4" xfId="0" applyFont="1" applyFill="1" applyBorder="1" applyAlignment="1">
      <alignment horizontal="center" vertical="center"/>
    </xf>
    <xf numFmtId="0" fontId="9" fillId="0" borderId="2" xfId="0" applyFont="1" applyBorder="1" applyAlignment="1">
      <alignment horizontal="center" vertical="center"/>
    </xf>
    <xf numFmtId="177" fontId="10" fillId="0" borderId="1" xfId="0" applyNumberFormat="1" applyFont="1" applyBorder="1"/>
    <xf numFmtId="0" fontId="12" fillId="0" borderId="1" xfId="0" applyFont="1" applyBorder="1"/>
    <xf numFmtId="10" fontId="10" fillId="0" borderId="1" xfId="0" applyNumberFormat="1" applyFont="1" applyBorder="1" applyAlignment="1">
      <alignment horizontal="center" vertical="center"/>
    </xf>
    <xf numFmtId="0" fontId="8" fillId="0" borderId="1" xfId="0" applyFont="1" applyBorder="1" applyAlignment="1">
      <alignment horizontal="center" vertical="center"/>
    </xf>
    <xf numFmtId="2" fontId="10" fillId="0" borderId="1" xfId="0" applyNumberFormat="1" applyFont="1" applyBorder="1" applyAlignment="1">
      <alignment horizontal="center" vertical="center"/>
    </xf>
    <xf numFmtId="178" fontId="10" fillId="0" borderId="1" xfId="0" applyNumberFormat="1" applyFont="1" applyBorder="1" applyAlignment="1">
      <alignment horizontal="center" vertical="center"/>
    </xf>
    <xf numFmtId="179" fontId="10" fillId="0" borderId="1" xfId="0" applyNumberFormat="1" applyFont="1" applyBorder="1" applyAlignment="1">
      <alignment horizontal="center" vertical="center"/>
    </xf>
    <xf numFmtId="170" fontId="10" fillId="0" borderId="1" xfId="0" applyNumberFormat="1" applyFont="1" applyBorder="1" applyAlignment="1">
      <alignment horizontal="center" vertical="center"/>
    </xf>
    <xf numFmtId="172" fontId="10" fillId="0" borderId="1" xfId="0" applyNumberFormat="1" applyFont="1" applyBorder="1" applyAlignment="1">
      <alignment horizontal="center" vertical="center"/>
    </xf>
    <xf numFmtId="0" fontId="10" fillId="12" borderId="1" xfId="0" applyFont="1" applyFill="1" applyBorder="1" applyAlignment="1">
      <alignment horizontal="center" vertical="center"/>
    </xf>
    <xf numFmtId="0" fontId="12" fillId="12" borderId="1" xfId="0" applyFont="1" applyFill="1" applyBorder="1" applyAlignment="1">
      <alignment horizontal="center" vertical="center"/>
    </xf>
    <xf numFmtId="0" fontId="4" fillId="0" borderId="4" xfId="1"/>
    <xf numFmtId="1" fontId="10" fillId="2" borderId="1" xfId="0" applyNumberFormat="1" applyFont="1" applyFill="1" applyBorder="1" applyAlignment="1">
      <alignment horizontal="center"/>
    </xf>
    <xf numFmtId="0" fontId="3" fillId="0" borderId="0" xfId="0" applyFont="1"/>
    <xf numFmtId="0" fontId="10" fillId="0" borderId="4" xfId="2" applyFont="1" applyAlignment="1">
      <alignment vertical="center" wrapText="1"/>
    </xf>
    <xf numFmtId="0" fontId="10" fillId="0" borderId="4" xfId="2" applyFont="1"/>
    <xf numFmtId="0" fontId="18" fillId="0" borderId="4" xfId="2"/>
    <xf numFmtId="0" fontId="10" fillId="0" borderId="4" xfId="2" applyFont="1" applyAlignment="1">
      <alignment vertical="center"/>
    </xf>
    <xf numFmtId="0" fontId="14" fillId="0" borderId="4" xfId="2" applyFont="1"/>
    <xf numFmtId="0" fontId="10" fillId="0" borderId="4" xfId="2" applyFont="1" applyAlignment="1">
      <alignment horizontal="left" vertical="center"/>
    </xf>
    <xf numFmtId="0" fontId="14" fillId="0" borderId="4" xfId="2" applyFont="1" applyAlignment="1">
      <alignment horizontal="left" vertical="center"/>
    </xf>
    <xf numFmtId="0" fontId="10" fillId="0" borderId="2" xfId="2" applyFont="1" applyBorder="1"/>
    <xf numFmtId="0" fontId="10" fillId="0" borderId="13" xfId="2" applyFont="1" applyBorder="1"/>
    <xf numFmtId="0" fontId="10" fillId="0" borderId="3" xfId="2" applyFont="1" applyBorder="1"/>
    <xf numFmtId="0" fontId="19" fillId="0" borderId="16" xfId="2" applyFont="1" applyBorder="1" applyAlignment="1">
      <alignment horizontal="left" vertical="center"/>
    </xf>
    <xf numFmtId="180" fontId="18" fillId="0" borderId="4" xfId="2" applyNumberFormat="1"/>
    <xf numFmtId="167" fontId="10" fillId="0" borderId="4" xfId="2" applyNumberFormat="1" applyFont="1"/>
    <xf numFmtId="0" fontId="10" fillId="0" borderId="9" xfId="2" applyFont="1" applyBorder="1"/>
    <xf numFmtId="0" fontId="19" fillId="0" borderId="17" xfId="2" applyFont="1" applyBorder="1" applyAlignment="1">
      <alignment horizontal="left" vertical="center"/>
    </xf>
    <xf numFmtId="0" fontId="9" fillId="0" borderId="4" xfId="2" applyFont="1"/>
    <xf numFmtId="0" fontId="10" fillId="0" borderId="4" xfId="2" applyFont="1" applyAlignment="1">
      <alignment horizontal="center" vertical="center"/>
    </xf>
    <xf numFmtId="180" fontId="18" fillId="0" borderId="4" xfId="2" applyNumberFormat="1" applyAlignment="1">
      <alignment horizontal="right"/>
    </xf>
    <xf numFmtId="167" fontId="10" fillId="0" borderId="4" xfId="2" applyNumberFormat="1" applyFont="1" applyAlignment="1">
      <alignment horizontal="right"/>
    </xf>
    <xf numFmtId="0" fontId="10" fillId="0" borderId="1" xfId="2" applyFont="1" applyBorder="1" applyAlignment="1">
      <alignment horizontal="left" vertical="center" wrapText="1"/>
    </xf>
    <xf numFmtId="0" fontId="10" fillId="0" borderId="1" xfId="2" applyFont="1" applyBorder="1" applyAlignment="1">
      <alignment horizontal="left" vertical="center"/>
    </xf>
    <xf numFmtId="168" fontId="10" fillId="0" borderId="1" xfId="2" applyNumberFormat="1" applyFont="1" applyBorder="1" applyAlignment="1">
      <alignment horizontal="center" vertical="center"/>
    </xf>
    <xf numFmtId="168" fontId="10" fillId="0" borderId="4" xfId="2" applyNumberFormat="1" applyFont="1"/>
    <xf numFmtId="0" fontId="19" fillId="0" borderId="18" xfId="3" applyFont="1" applyBorder="1" applyAlignment="1">
      <alignment horizontal="center" vertical="center"/>
    </xf>
    <xf numFmtId="0" fontId="20" fillId="0" borderId="18" xfId="3" applyBorder="1" applyAlignment="1">
      <alignment horizontal="center" vertical="center"/>
    </xf>
    <xf numFmtId="0" fontId="21" fillId="13" borderId="18" xfId="3" applyFont="1" applyFill="1" applyBorder="1" applyAlignment="1">
      <alignment horizontal="left" vertical="center" wrapText="1"/>
    </xf>
    <xf numFmtId="0" fontId="22" fillId="13" borderId="18" xfId="3" applyFont="1" applyFill="1" applyBorder="1" applyAlignment="1">
      <alignment horizontal="left" vertical="center"/>
    </xf>
    <xf numFmtId="180" fontId="21" fillId="13" borderId="18" xfId="3" applyNumberFormat="1" applyFont="1" applyFill="1" applyBorder="1" applyAlignment="1">
      <alignment horizontal="left" vertical="center" wrapText="1"/>
    </xf>
    <xf numFmtId="180" fontId="20" fillId="0" borderId="18" xfId="3" applyNumberFormat="1" applyBorder="1" applyAlignment="1">
      <alignment horizontal="center" vertical="center"/>
    </xf>
    <xf numFmtId="0" fontId="21" fillId="14" borderId="18" xfId="3" applyFont="1" applyFill="1" applyBorder="1" applyAlignment="1">
      <alignment horizontal="left" vertical="center" wrapText="1"/>
    </xf>
    <xf numFmtId="0" fontId="22" fillId="14" borderId="18" xfId="3" applyFont="1" applyFill="1" applyBorder="1" applyAlignment="1">
      <alignment horizontal="left" vertical="center" wrapText="1"/>
    </xf>
    <xf numFmtId="180" fontId="21" fillId="14" borderId="18" xfId="3" applyNumberFormat="1" applyFont="1" applyFill="1" applyBorder="1" applyAlignment="1">
      <alignment horizontal="left" vertical="center" wrapText="1"/>
    </xf>
    <xf numFmtId="0" fontId="22" fillId="14" borderId="18" xfId="3" applyFont="1" applyFill="1" applyBorder="1" applyAlignment="1">
      <alignment horizontal="left" vertical="center"/>
    </xf>
    <xf numFmtId="0" fontId="21" fillId="0" borderId="18" xfId="3" applyFont="1" applyBorder="1" applyAlignment="1">
      <alignment horizontal="left" vertical="center" wrapText="1"/>
    </xf>
    <xf numFmtId="0" fontId="22" fillId="0" borderId="18" xfId="3" applyFont="1" applyBorder="1" applyAlignment="1">
      <alignment horizontal="left" vertical="center" wrapText="1"/>
    </xf>
    <xf numFmtId="180" fontId="21" fillId="0" borderId="18" xfId="3" applyNumberFormat="1" applyFont="1" applyBorder="1" applyAlignment="1">
      <alignment horizontal="left" vertical="center" wrapText="1"/>
    </xf>
    <xf numFmtId="0" fontId="21" fillId="0" borderId="18" xfId="2" applyFont="1" applyBorder="1" applyAlignment="1">
      <alignment horizontal="left" vertical="center" wrapText="1"/>
    </xf>
    <xf numFmtId="0" fontId="23" fillId="0" borderId="4" xfId="4" applyAlignment="1">
      <alignment horizontal="left" vertical="center" wrapText="1"/>
    </xf>
    <xf numFmtId="180" fontId="21" fillId="15" borderId="18" xfId="2" applyNumberFormat="1" applyFont="1" applyFill="1" applyBorder="1" applyAlignment="1">
      <alignment horizontal="left" vertical="center" wrapText="1"/>
    </xf>
    <xf numFmtId="0" fontId="22" fillId="0" borderId="18" xfId="2" applyFont="1" applyBorder="1" applyAlignment="1">
      <alignment horizontal="left" vertical="center" wrapText="1"/>
    </xf>
    <xf numFmtId="180" fontId="21" fillId="0" borderId="18" xfId="2" applyNumberFormat="1" applyFont="1" applyBorder="1" applyAlignment="1">
      <alignment horizontal="left" vertical="center" wrapText="1"/>
    </xf>
    <xf numFmtId="0" fontId="21" fillId="16" borderId="18" xfId="3" applyFont="1" applyFill="1" applyBorder="1" applyAlignment="1">
      <alignment horizontal="left" vertical="center" wrapText="1"/>
    </xf>
    <xf numFmtId="0" fontId="22" fillId="16" borderId="18" xfId="2" applyFont="1" applyFill="1" applyBorder="1" applyAlignment="1">
      <alignment horizontal="left" vertical="center" wrapText="1"/>
    </xf>
    <xf numFmtId="180" fontId="21" fillId="16" borderId="18" xfId="3" applyNumberFormat="1" applyFont="1" applyFill="1" applyBorder="1" applyAlignment="1">
      <alignment horizontal="left" vertical="center" wrapText="1"/>
    </xf>
    <xf numFmtId="0" fontId="19" fillId="0" borderId="18" xfId="3" applyFont="1" applyBorder="1" applyAlignment="1">
      <alignment horizontal="center" vertical="center" wrapText="1"/>
    </xf>
    <xf numFmtId="2" fontId="21" fillId="16" borderId="18" xfId="3" applyNumberFormat="1" applyFont="1" applyFill="1" applyBorder="1" applyAlignment="1">
      <alignment horizontal="left" vertical="center" wrapText="1"/>
    </xf>
    <xf numFmtId="0" fontId="13" fillId="0" borderId="8" xfId="2" applyFont="1" applyBorder="1" applyAlignment="1">
      <alignment horizontal="left" vertical="center"/>
    </xf>
    <xf numFmtId="0" fontId="22" fillId="16" borderId="18" xfId="3" applyFont="1" applyFill="1" applyBorder="1" applyAlignment="1">
      <alignment horizontal="left" vertical="center"/>
    </xf>
    <xf numFmtId="0" fontId="22" fillId="16" borderId="18" xfId="3" applyFont="1" applyFill="1" applyBorder="1" applyAlignment="1">
      <alignment horizontal="left" vertical="center" wrapText="1"/>
    </xf>
    <xf numFmtId="0" fontId="20" fillId="17" borderId="18" xfId="3" applyFill="1" applyBorder="1" applyAlignment="1">
      <alignment horizontal="left" vertical="center" wrapText="1"/>
    </xf>
    <xf numFmtId="180" fontId="20" fillId="17" borderId="18" xfId="3" applyNumberFormat="1" applyFill="1" applyBorder="1" applyAlignment="1">
      <alignment horizontal="left" vertical="center" wrapText="1"/>
    </xf>
    <xf numFmtId="0" fontId="19" fillId="0" borderId="19" xfId="2" applyFont="1" applyBorder="1" applyAlignment="1">
      <alignment horizontal="left" vertical="center"/>
    </xf>
    <xf numFmtId="0" fontId="10" fillId="0" borderId="11" xfId="2" applyFont="1" applyBorder="1"/>
    <xf numFmtId="0" fontId="10" fillId="0" borderId="12" xfId="2" applyFont="1" applyBorder="1"/>
    <xf numFmtId="0" fontId="22" fillId="13" borderId="18" xfId="3" applyFont="1" applyFill="1" applyBorder="1" applyAlignment="1">
      <alignment horizontal="left" vertical="center" wrapText="1"/>
    </xf>
    <xf numFmtId="0" fontId="20" fillId="0" borderId="18" xfId="3" applyBorder="1" applyAlignment="1">
      <alignment horizontal="left" vertical="center"/>
    </xf>
    <xf numFmtId="10" fontId="0" fillId="0" borderId="18" xfId="5" applyNumberFormat="1" applyFont="1" applyBorder="1" applyAlignment="1">
      <alignment vertical="center"/>
    </xf>
    <xf numFmtId="0" fontId="9" fillId="0" borderId="4" xfId="2" applyFont="1" applyAlignment="1">
      <alignment horizontal="left" vertical="center"/>
    </xf>
    <xf numFmtId="0" fontId="13" fillId="0" borderId="10" xfId="2" applyFont="1" applyBorder="1" applyAlignment="1">
      <alignment horizontal="left" vertical="center"/>
    </xf>
    <xf numFmtId="181" fontId="10" fillId="0" borderId="1" xfId="6" applyNumberFormat="1" applyFont="1" applyBorder="1" applyAlignment="1">
      <alignment horizontal="center" vertical="center"/>
    </xf>
    <xf numFmtId="0" fontId="2" fillId="0" borderId="0" xfId="0" applyFont="1"/>
    <xf numFmtId="10" fontId="10" fillId="0" borderId="1" xfId="7" applyNumberFormat="1" applyFont="1" applyBorder="1" applyAlignment="1">
      <alignment horizontal="center" vertical="center"/>
    </xf>
    <xf numFmtId="0" fontId="1" fillId="0" borderId="0" xfId="0" applyFont="1"/>
    <xf numFmtId="0" fontId="9" fillId="3" borderId="2" xfId="0" applyFont="1" applyFill="1" applyBorder="1" applyAlignment="1">
      <alignment horizontal="center" vertical="center" wrapText="1"/>
    </xf>
    <xf numFmtId="0" fontId="11" fillId="0" borderId="3" xfId="0" applyFont="1" applyBorder="1"/>
    <xf numFmtId="0" fontId="9" fillId="8" borderId="2" xfId="0" applyFont="1" applyFill="1" applyBorder="1" applyAlignment="1">
      <alignment horizontal="center" vertical="center"/>
    </xf>
    <xf numFmtId="0" fontId="11" fillId="0" borderId="13" xfId="0" applyFont="1" applyBorder="1"/>
    <xf numFmtId="0" fontId="9" fillId="9" borderId="2" xfId="0" applyFont="1" applyFill="1" applyBorder="1" applyAlignment="1">
      <alignment horizontal="center" vertical="center"/>
    </xf>
    <xf numFmtId="0" fontId="9" fillId="10" borderId="2" xfId="0" applyFont="1" applyFill="1" applyBorder="1" applyAlignment="1">
      <alignment horizontal="center" vertical="center"/>
    </xf>
    <xf numFmtId="0" fontId="10" fillId="4" borderId="2" xfId="0" applyFont="1" applyFill="1" applyBorder="1" applyAlignment="1">
      <alignment horizontal="center" vertical="center"/>
    </xf>
    <xf numFmtId="0" fontId="10" fillId="0" borderId="0" xfId="0" applyFont="1" applyAlignment="1">
      <alignment horizontal="left" wrapText="1"/>
    </xf>
    <xf numFmtId="0" fontId="0" fillId="0" borderId="0" xfId="0"/>
    <xf numFmtId="0" fontId="10" fillId="0" borderId="5" xfId="2" applyFont="1" applyBorder="1" applyAlignment="1">
      <alignment horizontal="left" vertical="center" wrapText="1"/>
    </xf>
    <xf numFmtId="0" fontId="11" fillId="0" borderId="6" xfId="2" applyFont="1" applyBorder="1"/>
    <xf numFmtId="0" fontId="11" fillId="0" borderId="7" xfId="2" applyFont="1" applyBorder="1"/>
    <xf numFmtId="0" fontId="11" fillId="0" borderId="8" xfId="2" applyFont="1" applyBorder="1"/>
    <xf numFmtId="0" fontId="18" fillId="0" borderId="4" xfId="2"/>
    <xf numFmtId="0" fontId="11" fillId="0" borderId="9" xfId="2" applyFont="1" applyBorder="1"/>
    <xf numFmtId="0" fontId="11" fillId="0" borderId="10" xfId="2" applyFont="1" applyBorder="1"/>
    <xf numFmtId="0" fontId="11" fillId="0" borderId="11" xfId="2" applyFont="1" applyBorder="1"/>
    <xf numFmtId="0" fontId="11" fillId="0" borderId="12" xfId="2" applyFont="1" applyBorder="1"/>
    <xf numFmtId="0" fontId="13" fillId="0" borderId="2" xfId="2" applyFont="1" applyBorder="1" applyAlignment="1">
      <alignment horizontal="left" vertical="center" wrapText="1"/>
    </xf>
    <xf numFmtId="0" fontId="11" fillId="0" borderId="13" xfId="2" applyFont="1" applyBorder="1"/>
    <xf numFmtId="0" fontId="11" fillId="0" borderId="3" xfId="2" applyFont="1" applyBorder="1"/>
    <xf numFmtId="0" fontId="10" fillId="0" borderId="0" xfId="0" applyFont="1" applyAlignment="1">
      <alignment horizontal="left" vertical="center" wrapText="1"/>
    </xf>
    <xf numFmtId="0" fontId="10" fillId="0" borderId="0" xfId="0" applyFont="1" applyAlignment="1">
      <alignment horizontal="left" vertical="top" wrapText="1"/>
    </xf>
    <xf numFmtId="0" fontId="9" fillId="0" borderId="2" xfId="0" applyFont="1" applyBorder="1" applyAlignment="1">
      <alignment horizontal="center"/>
    </xf>
    <xf numFmtId="0" fontId="10" fillId="0" borderId="0" xfId="0" applyFont="1" applyAlignment="1">
      <alignment horizontal="center"/>
    </xf>
    <xf numFmtId="0" fontId="9" fillId="0" borderId="14" xfId="0" applyFont="1" applyBorder="1" applyAlignment="1">
      <alignment horizontal="center" vertical="center" wrapText="1"/>
    </xf>
    <xf numFmtId="0" fontId="11" fillId="0" borderId="15" xfId="0" applyFont="1" applyBorder="1"/>
  </cellXfs>
  <cellStyles count="8">
    <cellStyle name="Hiperveza" xfId="4" builtinId="8"/>
    <cellStyle name="Normal 2" xfId="1" xr:uid="{BEE4752D-C3C5-427D-BAB9-46AC422E697A}"/>
    <cellStyle name="Normal 3" xfId="2" xr:uid="{C0EC7E4F-3949-454E-A98D-DDD36925BAE9}"/>
    <cellStyle name="Normalno" xfId="0" builtinId="0"/>
    <cellStyle name="Normalno 2 2" xfId="3" xr:uid="{A9763E91-FA2D-4FE9-BF2B-9467A26D01A3}"/>
    <cellStyle name="Percent 2" xfId="5" xr:uid="{6BB7101B-2E35-4D67-8FFA-41AB5084E63E}"/>
    <cellStyle name="Postotak" xfId="7" builtinId="5"/>
    <cellStyle name="Valuta" xfId="6"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worksheet" Target="worksheets/sheet16.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a:t>Kretanje broja stanovnika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'4. ish zad 19'!$B$11</c:f>
              <c:strCache>
                <c:ptCount val="1"/>
                <c:pt idx="0">
                  <c:v>Populacija</c:v>
                </c:pt>
              </c:strCache>
            </c:strRef>
          </c:tx>
          <c:spPr>
            <a:ln w="19050" cap="rnd">
              <a:noFill/>
              <a:round/>
            </a:ln>
            <a:effectLst/>
          </c:spPr>
          <c:marker>
            <c:symbol val="circle"/>
            <c:size val="5"/>
            <c:spPr>
              <a:solidFill>
                <a:schemeClr val="accent1"/>
              </a:solidFill>
              <a:ln w="9525">
                <a:solidFill>
                  <a:schemeClr val="accent1"/>
                </a:solidFill>
              </a:ln>
              <a:effectLst/>
            </c:spPr>
          </c:marker>
          <c:xVal>
            <c:numRef>
              <c:f>'4. ish zad 19'!$A$12:$A$28</c:f>
              <c:numCache>
                <c:formatCode>General</c:formatCode>
                <c:ptCount val="17"/>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numCache>
            </c:numRef>
          </c:xVal>
          <c:yVal>
            <c:numRef>
              <c:f>'4. ish zad 19'!$B$12:$B$28</c:f>
              <c:numCache>
                <c:formatCode>General</c:formatCode>
                <c:ptCount val="17"/>
                <c:pt idx="0">
                  <c:v>22380</c:v>
                </c:pt>
                <c:pt idx="1">
                  <c:v>22110</c:v>
                </c:pt>
                <c:pt idx="2">
                  <c:v>21840</c:v>
                </c:pt>
                <c:pt idx="3">
                  <c:v>21570</c:v>
                </c:pt>
                <c:pt idx="4">
                  <c:v>21300</c:v>
                </c:pt>
                <c:pt idx="5">
                  <c:v>21030</c:v>
                </c:pt>
                <c:pt idx="6">
                  <c:v>20760</c:v>
                </c:pt>
                <c:pt idx="7">
                  <c:v>20490</c:v>
                </c:pt>
                <c:pt idx="8">
                  <c:v>20220</c:v>
                </c:pt>
                <c:pt idx="9">
                  <c:v>19950</c:v>
                </c:pt>
                <c:pt idx="10">
                  <c:v>19680</c:v>
                </c:pt>
                <c:pt idx="11">
                  <c:v>19410</c:v>
                </c:pt>
                <c:pt idx="12">
                  <c:v>19140</c:v>
                </c:pt>
                <c:pt idx="13">
                  <c:v>18870</c:v>
                </c:pt>
                <c:pt idx="14">
                  <c:v>18600</c:v>
                </c:pt>
                <c:pt idx="15">
                  <c:v>18330</c:v>
                </c:pt>
                <c:pt idx="16">
                  <c:v>18060</c:v>
                </c:pt>
              </c:numCache>
            </c:numRef>
          </c:yVal>
          <c:smooth val="0"/>
          <c:extLst>
            <c:ext xmlns:c16="http://schemas.microsoft.com/office/drawing/2014/chart" uri="{C3380CC4-5D6E-409C-BE32-E72D297353CC}">
              <c16:uniqueId val="{00000000-B65F-412C-B787-B82DB29B30D8}"/>
            </c:ext>
          </c:extLst>
        </c:ser>
        <c:dLbls>
          <c:showLegendKey val="0"/>
          <c:showVal val="0"/>
          <c:showCatName val="0"/>
          <c:showSerName val="0"/>
          <c:showPercent val="0"/>
          <c:showBubbleSize val="0"/>
        </c:dLbls>
        <c:axId val="1911946383"/>
        <c:axId val="1911950127"/>
      </c:scatterChart>
      <c:valAx>
        <c:axId val="191194638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911950127"/>
        <c:crosses val="autoZero"/>
        <c:crossBetween val="midCat"/>
      </c:valAx>
      <c:valAx>
        <c:axId val="191195012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91194638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hr-HR"/>
              <a:t>Kretanje cijena kriptovalute (EUR)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'4. ish zad 20'!$B$7</c:f>
              <c:strCache>
                <c:ptCount val="1"/>
                <c:pt idx="0">
                  <c:v>cijena kriptovalute (EUR)</c:v>
                </c:pt>
              </c:strCache>
            </c:strRef>
          </c:tx>
          <c:spPr>
            <a:ln w="19050" cap="rnd">
              <a:noFill/>
              <a:round/>
            </a:ln>
            <a:effectLst/>
          </c:spPr>
          <c:marker>
            <c:symbol val="circle"/>
            <c:size val="5"/>
            <c:spPr>
              <a:solidFill>
                <a:schemeClr val="accent1"/>
              </a:solidFill>
              <a:ln w="9525">
                <a:solidFill>
                  <a:schemeClr val="accent1"/>
                </a:solidFill>
              </a:ln>
              <a:effectLst/>
            </c:spPr>
          </c:marker>
          <c:xVal>
            <c:numRef>
              <c:f>'4. ish zad 20'!$A$8:$A$15</c:f>
              <c:numCache>
                <c:formatCode>General</c:formatCode>
                <c:ptCount val="8"/>
                <c:pt idx="0">
                  <c:v>0</c:v>
                </c:pt>
                <c:pt idx="1">
                  <c:v>1</c:v>
                </c:pt>
                <c:pt idx="2">
                  <c:v>2</c:v>
                </c:pt>
                <c:pt idx="3">
                  <c:v>3</c:v>
                </c:pt>
                <c:pt idx="4">
                  <c:v>4</c:v>
                </c:pt>
                <c:pt idx="5">
                  <c:v>5</c:v>
                </c:pt>
                <c:pt idx="6">
                  <c:v>6</c:v>
                </c:pt>
                <c:pt idx="7">
                  <c:v>7</c:v>
                </c:pt>
              </c:numCache>
            </c:numRef>
          </c:xVal>
          <c:yVal>
            <c:numRef>
              <c:f>'4. ish zad 20'!$B$8:$B$15</c:f>
              <c:numCache>
                <c:formatCode>_-* #,##0.00\ [$€-1]_-;\-* #,##0.00\ [$€-1]_-;_-* "-"??\ [$€-1]_-;_-@</c:formatCode>
                <c:ptCount val="8"/>
                <c:pt idx="0">
                  <c:v>540</c:v>
                </c:pt>
                <c:pt idx="1">
                  <c:v>555</c:v>
                </c:pt>
                <c:pt idx="2">
                  <c:v>566</c:v>
                </c:pt>
                <c:pt idx="3">
                  <c:v>573</c:v>
                </c:pt>
                <c:pt idx="4">
                  <c:v>576</c:v>
                </c:pt>
                <c:pt idx="5">
                  <c:v>575</c:v>
                </c:pt>
                <c:pt idx="6">
                  <c:v>570</c:v>
                </c:pt>
                <c:pt idx="7">
                  <c:v>561</c:v>
                </c:pt>
              </c:numCache>
            </c:numRef>
          </c:yVal>
          <c:smooth val="0"/>
          <c:extLst>
            <c:ext xmlns:c16="http://schemas.microsoft.com/office/drawing/2014/chart" uri="{C3380CC4-5D6E-409C-BE32-E72D297353CC}">
              <c16:uniqueId val="{00000000-6E08-4502-8D21-9FB22911CBBF}"/>
            </c:ext>
          </c:extLst>
        </c:ser>
        <c:dLbls>
          <c:showLegendKey val="0"/>
          <c:showVal val="0"/>
          <c:showCatName val="0"/>
          <c:showSerName val="0"/>
          <c:showPercent val="0"/>
          <c:showBubbleSize val="0"/>
        </c:dLbls>
        <c:axId val="2086310079"/>
        <c:axId val="2086315071"/>
      </c:scatterChart>
      <c:valAx>
        <c:axId val="208631007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2086315071"/>
        <c:crosses val="autoZero"/>
        <c:crossBetween val="midCat"/>
      </c:valAx>
      <c:valAx>
        <c:axId val="2086315071"/>
        <c:scaling>
          <c:orientation val="minMax"/>
        </c:scaling>
        <c:delete val="0"/>
        <c:axPos val="l"/>
        <c:majorGridlines>
          <c:spPr>
            <a:ln w="9525" cap="flat" cmpd="sng" algn="ctr">
              <a:solidFill>
                <a:schemeClr val="tx1">
                  <a:lumMod val="15000"/>
                  <a:lumOff val="85000"/>
                </a:schemeClr>
              </a:solidFill>
              <a:round/>
            </a:ln>
            <a:effectLst/>
          </c:spPr>
        </c:majorGridlines>
        <c:numFmt formatCode="_-* #,##0.00\ [$€-1]_-;\-* #,##0.00\ [$€-1]_-;_-* &quot;-&quot;??\ [$€-1]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20863100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sr-Latn-RS"/>
        </a:p>
      </c:txPr>
    </c:title>
    <c:autoTitleDeleted val="0"/>
    <c:plotArea>
      <c:layout/>
      <c:scatterChart>
        <c:scatterStyle val="lineMarker"/>
        <c:varyColors val="0"/>
        <c:ser>
          <c:idx val="0"/>
          <c:order val="0"/>
          <c:tx>
            <c:strRef>
              <c:f>'4. ish zad 21'!$C$10</c:f>
              <c:strCache>
                <c:ptCount val="1"/>
                <c:pt idx="0">
                  <c:v>Prihod (EUR)</c:v>
                </c:pt>
              </c:strCache>
            </c:strRef>
          </c:tx>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exp"/>
            <c:dispRSqr val="0"/>
            <c:dispEq val="0"/>
          </c:trendline>
          <c:trendline>
            <c:spPr>
              <a:ln w="19050" cap="rnd">
                <a:solidFill>
                  <a:schemeClr val="accent1"/>
                </a:solidFill>
                <a:prstDash val="sysDot"/>
              </a:ln>
              <a:effectLst/>
            </c:spPr>
            <c:trendlineType val="linear"/>
            <c:dispRSqr val="1"/>
            <c:dispEq val="1"/>
            <c:trendlineLbl>
              <c:layout>
                <c:manualLayout>
                  <c:x val="-0.40553980752405949"/>
                  <c:y val="0.4247615923009623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trendlineLbl>
          </c:trendline>
          <c:trendline>
            <c:spPr>
              <a:ln w="19050" cap="rnd">
                <a:solidFill>
                  <a:schemeClr val="accent1"/>
                </a:solidFill>
                <a:prstDash val="sysDot"/>
              </a:ln>
              <a:effectLst/>
            </c:spPr>
            <c:trendlineType val="exp"/>
            <c:dispRSqr val="1"/>
            <c:dispEq val="1"/>
            <c:trendlineLbl>
              <c:layout>
                <c:manualLayout>
                  <c:x val="6.654046369203849E-2"/>
                  <c:y val="0.19463473315835519"/>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trendlineLbl>
          </c:trendline>
          <c:xVal>
            <c:numRef>
              <c:f>'4. ish zad 21'!$B$11:$B$22</c:f>
              <c:numCache>
                <c:formatCode>General</c:formatCode>
                <c:ptCount val="12"/>
                <c:pt idx="1">
                  <c:v>430</c:v>
                </c:pt>
                <c:pt idx="2">
                  <c:v>120</c:v>
                </c:pt>
                <c:pt idx="3">
                  <c:v>320</c:v>
                </c:pt>
                <c:pt idx="4">
                  <c:v>560</c:v>
                </c:pt>
                <c:pt idx="5">
                  <c:v>340</c:v>
                </c:pt>
                <c:pt idx="6">
                  <c:v>730</c:v>
                </c:pt>
                <c:pt idx="7">
                  <c:v>240</c:v>
                </c:pt>
                <c:pt idx="8">
                  <c:v>530</c:v>
                </c:pt>
                <c:pt idx="9">
                  <c:v>440</c:v>
                </c:pt>
                <c:pt idx="10">
                  <c:v>620</c:v>
                </c:pt>
                <c:pt idx="11">
                  <c:v>170</c:v>
                </c:pt>
              </c:numCache>
            </c:numRef>
          </c:xVal>
          <c:yVal>
            <c:numRef>
              <c:f>'4. ish zad 21'!$C$11:$C$22</c:f>
              <c:numCache>
                <c:formatCode>General</c:formatCode>
                <c:ptCount val="12"/>
                <c:pt idx="1">
                  <c:v>118000</c:v>
                </c:pt>
                <c:pt idx="2">
                  <c:v>90500</c:v>
                </c:pt>
                <c:pt idx="3">
                  <c:v>105040</c:v>
                </c:pt>
                <c:pt idx="4">
                  <c:v>160020</c:v>
                </c:pt>
                <c:pt idx="5">
                  <c:v>127000</c:v>
                </c:pt>
                <c:pt idx="6">
                  <c:v>190230</c:v>
                </c:pt>
                <c:pt idx="7">
                  <c:v>110825</c:v>
                </c:pt>
                <c:pt idx="8">
                  <c:v>154000</c:v>
                </c:pt>
                <c:pt idx="9">
                  <c:v>145600</c:v>
                </c:pt>
                <c:pt idx="10">
                  <c:v>178000</c:v>
                </c:pt>
                <c:pt idx="11">
                  <c:v>100050</c:v>
                </c:pt>
              </c:numCache>
            </c:numRef>
          </c:yVal>
          <c:smooth val="0"/>
          <c:extLst>
            <c:ext xmlns:c16="http://schemas.microsoft.com/office/drawing/2014/chart" uri="{C3380CC4-5D6E-409C-BE32-E72D297353CC}">
              <c16:uniqueId val="{00000000-D2DB-4CE7-AFB5-095B49EB5CCA}"/>
            </c:ext>
          </c:extLst>
        </c:ser>
        <c:dLbls>
          <c:showLegendKey val="0"/>
          <c:showVal val="0"/>
          <c:showCatName val="0"/>
          <c:showSerName val="0"/>
          <c:showPercent val="0"/>
          <c:showBubbleSize val="0"/>
        </c:dLbls>
        <c:axId val="1911948463"/>
        <c:axId val="1911937647"/>
      </c:scatterChart>
      <c:valAx>
        <c:axId val="19119484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911937647"/>
        <c:crosses val="autoZero"/>
        <c:crossBetween val="midCat"/>
      </c:valAx>
      <c:valAx>
        <c:axId val="19119376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r-Latn-RS"/>
          </a:p>
        </c:txPr>
        <c:crossAx val="1911948463"/>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513080</xdr:colOff>
      <xdr:row>1</xdr:row>
      <xdr:rowOff>174625</xdr:rowOff>
    </xdr:to>
    <xdr:pic>
      <xdr:nvPicPr>
        <xdr:cNvPr id="3" name="Picture 1" descr="A close-up of a logo&#10;&#10;Description automatically generated">
          <a:extLst>
            <a:ext uri="{FF2B5EF4-FFF2-40B4-BE49-F238E27FC236}">
              <a16:creationId xmlns:a16="http://schemas.microsoft.com/office/drawing/2014/main" id="{8801CAF5-733D-DABE-9B21-614BA428DF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722755" cy="508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26</xdr:row>
      <xdr:rowOff>1</xdr:rowOff>
    </xdr:from>
    <xdr:to>
      <xdr:col>11</xdr:col>
      <xdr:colOff>358140</xdr:colOff>
      <xdr:row>90</xdr:row>
      <xdr:rowOff>9525</xdr:rowOff>
    </xdr:to>
    <mc:AlternateContent xmlns:mc="http://schemas.openxmlformats.org/markup-compatibility/2006" xmlns:a14="http://schemas.microsoft.com/office/drawing/2010/main">
      <mc:Choice Requires="a14">
        <xdr:sp macro="" textlink="">
          <xdr:nvSpPr>
            <xdr:cNvPr id="2" name="TekstniOkvir 1">
              <a:extLst>
                <a:ext uri="{FF2B5EF4-FFF2-40B4-BE49-F238E27FC236}">
                  <a16:creationId xmlns:a16="http://schemas.microsoft.com/office/drawing/2014/main" id="{942D7711-3CCF-4D39-826A-678AC50254EE}"/>
                </a:ext>
              </a:extLst>
            </xdr:cNvPr>
            <xdr:cNvSpPr txBox="1"/>
          </xdr:nvSpPr>
          <xdr:spPr>
            <a:xfrm>
              <a:off x="609600" y="4787901"/>
              <a:ext cx="6454140" cy="11795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r>
                <a:rPr lang="hr-HR" sz="1100"/>
                <a:t>Uvijek je preporučljivo napisati</a:t>
              </a:r>
              <a:r>
                <a:rPr lang="hr-HR" sz="1100" baseline="0"/>
                <a:t> </a:t>
              </a:r>
              <a:r>
                <a:rPr lang="hr-HR" sz="1100"/>
                <a:t>svaki</a:t>
              </a:r>
              <a:r>
                <a:rPr lang="hr-HR" sz="1100" baseline="0"/>
                <a:t> zadani podatak u svoju ćeliju.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1" i="0" baseline="0">
                  <a:solidFill>
                    <a:schemeClr val="dk1"/>
                  </a:solidFill>
                  <a:effectLst/>
                  <a:latin typeface="+mn-lt"/>
                  <a:ea typeface="+mn-ea"/>
                  <a:cs typeface="+mn-cs"/>
                </a:rPr>
                <a:t>Jednostavni kamatni račun</a:t>
              </a:r>
              <a:r>
                <a:rPr lang="hr-HR" sz="110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b="0" i="1">
                      <a:solidFill>
                        <a:schemeClr val="dk1"/>
                      </a:solidFill>
                      <a:effectLst/>
                      <a:latin typeface="Cambria Math" panose="02040503050406030204" pitchFamily="18" charset="0"/>
                      <a:ea typeface="+mn-ea"/>
                      <a:cs typeface="+mn-cs"/>
                    </a:rPr>
                    <m:t>𝐾</m:t>
                  </m:r>
                  <m:r>
                    <a:rPr lang="hr-HR" sz="1100" b="0" i="1">
                      <a:solidFill>
                        <a:schemeClr val="dk1"/>
                      </a:solidFill>
                      <a:effectLst/>
                      <a:latin typeface="Cambria Math" panose="02040503050406030204" pitchFamily="18" charset="0"/>
                      <a:ea typeface="+mn-ea"/>
                      <a:cs typeface="+mn-cs"/>
                    </a:rPr>
                    <m:t>=</m:t>
                  </m:r>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0</m:t>
                      </m:r>
                    </m:sub>
                  </m:sSub>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𝑛</m:t>
                  </m:r>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a:t>
              </a:r>
              <a:endParaRPr lang="hr-HR">
                <a:effectLst/>
              </a:endParaRPr>
            </a:p>
            <a:p>
              <a:pPr eaLnBrk="1" fontAlgn="auto" latinLnBrk="0" hangingPunct="1"/>
              <a:r>
                <a:rPr lang="hr-HR" sz="1100">
                  <a:solidFill>
                    <a:schemeClr val="dk1"/>
                  </a:solidFill>
                  <a:effectLst/>
                  <a:latin typeface="+mn-lt"/>
                  <a:ea typeface="+mn-ea"/>
                  <a:cs typeface="+mn-cs"/>
                </a:rPr>
                <a:t>Konačna vrijednost </a:t>
              </a:r>
              <a14:m>
                <m:oMath xmlns:m="http://schemas.openxmlformats.org/officeDocument/2006/math">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𝑛</m:t>
                      </m:r>
                    </m:sub>
                  </m:sSub>
                </m:oMath>
              </a14:m>
              <a:r>
                <a:rPr lang="hr-HR" sz="1100">
                  <a:solidFill>
                    <a:schemeClr val="dk1"/>
                  </a:solidFill>
                  <a:effectLst/>
                  <a:latin typeface="+mn-lt"/>
                  <a:ea typeface="+mn-ea"/>
                  <a:cs typeface="+mn-cs"/>
                </a:rPr>
                <a:t> je jednaka </a:t>
              </a:r>
              <a14:m>
                <m:oMath xmlns:m="http://schemas.openxmlformats.org/officeDocument/2006/math">
                  <m:sSub>
                    <m:sSubPr>
                      <m:ctrlPr>
                        <a:rPr lang="hr-HR" sz="1100" b="0" i="1">
                          <a:solidFill>
                            <a:schemeClr val="dk1"/>
                          </a:solidFill>
                          <a:effectLst/>
                          <a:latin typeface="Cambria Math" panose="02040503050406030204" pitchFamily="18" charset="0"/>
                          <a:ea typeface="+mn-ea"/>
                          <a:cs typeface="+mn-cs"/>
                        </a:rPr>
                      </m:ctrlPr>
                    </m:sSubPr>
                    <m:e>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𝑛</m:t>
                          </m:r>
                        </m:sub>
                      </m:sSub>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0</m:t>
                      </m:r>
                    </m:sub>
                  </m:sSub>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𝐾</m:t>
                  </m:r>
                </m:oMath>
              </a14:m>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1">
                  <a:solidFill>
                    <a:schemeClr val="dk1"/>
                  </a:solidFill>
                  <a:effectLst/>
                  <a:latin typeface="+mn-lt"/>
                  <a:ea typeface="+mn-ea"/>
                  <a:cs typeface="+mn-cs"/>
                </a:rPr>
                <a:t>Složeni kamatni račun </a:t>
              </a:r>
              <a:endParaRPr lang="hr-HR" sz="1100" b="0" i="1">
                <a:solidFill>
                  <a:schemeClr val="dk1"/>
                </a:solidFill>
                <a:effectLst/>
                <a:latin typeface="Cambria Math"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=1+</m:t>
                  </m:r>
                  <m:r>
                    <a:rPr lang="hr-HR" sz="1100" b="0" i="1" baseline="0">
                      <a:solidFill>
                        <a:schemeClr val="dk1"/>
                      </a:solidFill>
                      <a:effectLst/>
                      <a:latin typeface="Cambria Math" panose="02040503050406030204" pitchFamily="18" charset="0"/>
                      <a:ea typeface="+mn-ea"/>
                      <a:cs typeface="+mn-cs"/>
                    </a:rPr>
                    <m:t>𝑝</m:t>
                  </m:r>
                </m:oMath>
              </a14:m>
              <a:r>
                <a:rPr lang="hr-HR" sz="1100">
                  <a:solidFill>
                    <a:schemeClr val="dk1"/>
                  </a:solidFill>
                  <a:effectLst/>
                  <a:latin typeface="+mn-lt"/>
                  <a:ea typeface="+mn-ea"/>
                  <a:cs typeface="+mn-cs"/>
                </a:rPr>
                <a:t>. </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b="0" i="1">
                          <a:solidFill>
                            <a:schemeClr val="dk1"/>
                          </a:solidFill>
                          <a:effectLst/>
                          <a:latin typeface="Cambria Math" panose="02040503050406030204" pitchFamily="18" charset="0"/>
                          <a:ea typeface="+mn-ea"/>
                          <a:cs typeface="+mn-cs"/>
                        </a:rPr>
                      </m:ctrlPr>
                    </m:sSubPr>
                    <m:e>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𝑛</m:t>
                          </m:r>
                        </m:sub>
                      </m:sSub>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0</m:t>
                      </m:r>
                    </m:sub>
                  </m:sSub>
                  <m:r>
                    <a:rPr lang="hr-HR" sz="1100" b="0" i="1">
                      <a:solidFill>
                        <a:schemeClr val="dk1"/>
                      </a:solidFill>
                      <a:effectLst/>
                      <a:latin typeface="Cambria Math" panose="02040503050406030204" pitchFamily="18" charset="0"/>
                      <a:ea typeface="+mn-ea"/>
                      <a:cs typeface="+mn-cs"/>
                    </a:rPr>
                    <m:t>∙</m:t>
                  </m:r>
                  <m:sSup>
                    <m:sSupPr>
                      <m:ctrlPr>
                        <a:rPr lang="hr-HR" sz="1100" b="0" i="1">
                          <a:solidFill>
                            <a:schemeClr val="dk1"/>
                          </a:solidFill>
                          <a:effectLst/>
                          <a:latin typeface="Cambria Math" panose="02040503050406030204" pitchFamily="18" charset="0"/>
                          <a:ea typeface="+mn-ea"/>
                          <a:cs typeface="+mn-cs"/>
                        </a:rPr>
                      </m:ctrlPr>
                    </m:sSupPr>
                    <m:e>
                      <m:r>
                        <a:rPr lang="hr-HR" sz="1100" b="0" i="1">
                          <a:solidFill>
                            <a:schemeClr val="dk1"/>
                          </a:solidFill>
                          <a:effectLst/>
                          <a:latin typeface="Cambria Math" panose="02040503050406030204" pitchFamily="18" charset="0"/>
                          <a:ea typeface="+mn-ea"/>
                          <a:cs typeface="+mn-cs"/>
                        </a:rPr>
                        <m:t>𝑟</m:t>
                      </m:r>
                    </m:e>
                    <m:sup>
                      <m:r>
                        <a:rPr lang="hr-HR" sz="1100" b="0" i="1">
                          <a:solidFill>
                            <a:schemeClr val="dk1"/>
                          </a:solidFill>
                          <a:effectLst/>
                          <a:latin typeface="Cambria Math" panose="02040503050406030204" pitchFamily="18" charset="0"/>
                          <a:ea typeface="+mn-ea"/>
                          <a:cs typeface="+mn-cs"/>
                        </a:rPr>
                        <m:t>𝑛</m:t>
                      </m:r>
                    </m:sup>
                  </m:sSup>
                </m:oMath>
              </a14:m>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Ako je došlo do promjene kamatne stope pa je tijekom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𝑛</m:t>
                      </m:r>
                    </m:e>
                    <m:sub>
                      <m:r>
                        <a:rPr lang="hr-HR" sz="1100" b="0" i="1" baseline="0">
                          <a:solidFill>
                            <a:schemeClr val="dk1"/>
                          </a:solidFill>
                          <a:effectLst/>
                          <a:latin typeface="Cambria Math" panose="02040503050406030204" pitchFamily="18" charset="0"/>
                          <a:ea typeface="+mn-ea"/>
                          <a:cs typeface="+mn-cs"/>
                        </a:rPr>
                        <m:t>1</m:t>
                      </m:r>
                    </m:sub>
                  </m:sSub>
                </m:oMath>
              </a14:m>
              <a:r>
                <a:rPr lang="hr-HR" sz="1100" i="0" baseline="0">
                  <a:solidFill>
                    <a:schemeClr val="dk1"/>
                  </a:solidFill>
                  <a:effectLst/>
                  <a:latin typeface="+mn-lt"/>
                  <a:ea typeface="+mn-ea"/>
                  <a:cs typeface="+mn-cs"/>
                </a:rPr>
                <a:t> godina kamatna stopa iznosila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1</m:t>
                      </m:r>
                    </m:sub>
                  </m:sSub>
                </m:oMath>
              </a14:m>
              <a:r>
                <a:rPr lang="hr-HR" sz="1100" i="0" baseline="0">
                  <a:solidFill>
                    <a:schemeClr val="dk1"/>
                  </a:solidFill>
                  <a:effectLst/>
                  <a:latin typeface="+mn-lt"/>
                  <a:ea typeface="+mn-ea"/>
                  <a:cs typeface="+mn-cs"/>
                </a:rPr>
                <a:t>, tj. kamatni faktor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𝑟</m:t>
                      </m:r>
                    </m:e>
                    <m:sub>
                      <m:r>
                        <a:rPr lang="hr-HR" sz="1100" b="0" i="1" baseline="0">
                          <a:solidFill>
                            <a:schemeClr val="dk1"/>
                          </a:solidFill>
                          <a:effectLst/>
                          <a:latin typeface="Cambria Math" panose="02040503050406030204" pitchFamily="18" charset="0"/>
                          <a:ea typeface="+mn-ea"/>
                          <a:cs typeface="+mn-cs"/>
                        </a:rPr>
                        <m:t>1</m:t>
                      </m:r>
                    </m:sub>
                  </m:sSub>
                </m:oMath>
              </a14:m>
              <a:r>
                <a:rPr lang="hr-HR" sz="1100" i="0" baseline="0">
                  <a:solidFill>
                    <a:schemeClr val="dk1"/>
                  </a:solidFill>
                  <a:effectLst/>
                  <a:latin typeface="+mn-lt"/>
                  <a:ea typeface="+mn-ea"/>
                  <a:cs typeface="+mn-cs"/>
                </a:rPr>
                <a:t>, potom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𝑛</m:t>
                      </m:r>
                    </m:e>
                    <m:sub>
                      <m:r>
                        <a:rPr lang="hr-HR" sz="1100" b="0" i="1" baseline="0">
                          <a:solidFill>
                            <a:schemeClr val="dk1"/>
                          </a:solidFill>
                          <a:effectLst/>
                          <a:latin typeface="Cambria Math" panose="02040503050406030204" pitchFamily="18" charset="0"/>
                          <a:ea typeface="+mn-ea"/>
                          <a:cs typeface="+mn-cs"/>
                        </a:rPr>
                        <m:t>2</m:t>
                      </m:r>
                    </m:sub>
                  </m:sSub>
                </m:oMath>
              </a14:m>
              <a:r>
                <a:rPr lang="hr-HR" sz="1100" i="0" baseline="0">
                  <a:solidFill>
                    <a:schemeClr val="dk1"/>
                  </a:solidFill>
                  <a:effectLst/>
                  <a:latin typeface="+mn-lt"/>
                  <a:ea typeface="+mn-ea"/>
                  <a:cs typeface="+mn-cs"/>
                </a:rPr>
                <a:t> godina kamatna stopa bila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2</m:t>
                      </m:r>
                    </m:sub>
                  </m:sSub>
                </m:oMath>
              </a14:m>
              <a:r>
                <a:rPr lang="hr-HR" sz="1100" i="0" baseline="0">
                  <a:solidFill>
                    <a:schemeClr val="dk1"/>
                  </a:solidFill>
                  <a:effectLst/>
                  <a:latin typeface="+mn-lt"/>
                  <a:ea typeface="+mn-ea"/>
                  <a:cs typeface="+mn-cs"/>
                </a:rPr>
                <a:t>, itd... tada za konačnu vrijednost </a:t>
              </a:r>
              <a14:m>
                <m:oMath xmlns:m="http://schemas.openxmlformats.org/officeDocument/2006/math">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𝑛</m:t>
                      </m:r>
                    </m:sub>
                  </m:sSub>
                </m:oMath>
              </a14:m>
              <a:r>
                <a:rPr lang="hr-HR" sz="1100" i="0" baseline="0">
                  <a:solidFill>
                    <a:schemeClr val="dk1"/>
                  </a:solidFill>
                  <a:effectLst/>
                  <a:latin typeface="+mn-lt"/>
                  <a:ea typeface="+mn-ea"/>
                  <a:cs typeface="+mn-cs"/>
                </a:rPr>
                <a:t> koristimo izraz </a:t>
              </a:r>
              <a14:m>
                <m:oMath xmlns:m="http://schemas.openxmlformats.org/officeDocument/2006/math">
                  <m:sSub>
                    <m:sSubPr>
                      <m:ctrlPr>
                        <a:rPr lang="hr-HR" sz="110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𝑛</m:t>
                      </m:r>
                    </m:sub>
                  </m:sSub>
                  <m:r>
                    <a:rPr lang="hr-HR" sz="1100" b="0" i="1">
                      <a:solidFill>
                        <a:schemeClr val="dk1"/>
                      </a:solidFill>
                      <a:effectLst/>
                      <a:latin typeface="Cambria Math" panose="02040503050406030204" pitchFamily="18" charset="0"/>
                      <a:ea typeface="+mn-ea"/>
                      <a:cs typeface="+mn-cs"/>
                    </a:rPr>
                    <m:t>=</m:t>
                  </m:r>
                  <m:sSub>
                    <m:sSubPr>
                      <m:ctrlPr>
                        <a:rPr lang="hr-HR" sz="110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𝐶</m:t>
                      </m:r>
                    </m:e>
                    <m:sub>
                      <m:r>
                        <a:rPr lang="hr-HR" sz="1100" b="0" i="1">
                          <a:solidFill>
                            <a:schemeClr val="dk1"/>
                          </a:solidFill>
                          <a:effectLst/>
                          <a:latin typeface="Cambria Math" panose="02040503050406030204" pitchFamily="18" charset="0"/>
                          <a:ea typeface="+mn-ea"/>
                          <a:cs typeface="+mn-cs"/>
                        </a:rPr>
                        <m:t>0</m:t>
                      </m:r>
                    </m:sub>
                  </m:sSub>
                  <m:r>
                    <a:rPr lang="hr-HR" sz="1100" b="0" i="1">
                      <a:solidFill>
                        <a:schemeClr val="dk1"/>
                      </a:solidFill>
                      <a:effectLst/>
                      <a:latin typeface="Cambria Math" panose="02040503050406030204" pitchFamily="18" charset="0"/>
                      <a:ea typeface="+mn-ea"/>
                      <a:cs typeface="+mn-cs"/>
                    </a:rPr>
                    <m:t>∙</m:t>
                  </m:r>
                  <m:sSubSup>
                    <m:sSubSupPr>
                      <m:ctrlPr>
                        <a:rPr lang="hr-HR" sz="1100" b="0" i="1">
                          <a:solidFill>
                            <a:schemeClr val="dk1"/>
                          </a:solidFill>
                          <a:effectLst/>
                          <a:latin typeface="Cambria Math" panose="02040503050406030204" pitchFamily="18" charset="0"/>
                          <a:ea typeface="+mn-ea"/>
                          <a:cs typeface="+mn-cs"/>
                        </a:rPr>
                      </m:ctrlPr>
                    </m:sSubSupPr>
                    <m:e>
                      <m:r>
                        <a:rPr lang="hr-HR" sz="1100" b="0" i="1">
                          <a:solidFill>
                            <a:schemeClr val="dk1"/>
                          </a:solidFill>
                          <a:effectLst/>
                          <a:latin typeface="Cambria Math" panose="02040503050406030204" pitchFamily="18" charset="0"/>
                          <a:ea typeface="+mn-ea"/>
                          <a:cs typeface="+mn-cs"/>
                        </a:rPr>
                        <m:t>𝑟</m:t>
                      </m:r>
                    </m:e>
                    <m:sub>
                      <m:r>
                        <a:rPr lang="hr-HR" sz="1100" b="0" i="1">
                          <a:solidFill>
                            <a:schemeClr val="dk1"/>
                          </a:solidFill>
                          <a:effectLst/>
                          <a:latin typeface="Cambria Math" panose="02040503050406030204" pitchFamily="18" charset="0"/>
                          <a:ea typeface="+mn-ea"/>
                          <a:cs typeface="+mn-cs"/>
                        </a:rPr>
                        <m:t>1</m:t>
                      </m:r>
                    </m:sub>
                    <m:sup>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𝑛</m:t>
                          </m:r>
                        </m:e>
                        <m:sub>
                          <m:r>
                            <a:rPr lang="hr-HR" sz="1100" b="0" i="1">
                              <a:solidFill>
                                <a:schemeClr val="dk1"/>
                              </a:solidFill>
                              <a:effectLst/>
                              <a:latin typeface="Cambria Math" panose="02040503050406030204" pitchFamily="18" charset="0"/>
                              <a:ea typeface="+mn-ea"/>
                              <a:cs typeface="+mn-cs"/>
                            </a:rPr>
                            <m:t>1</m:t>
                          </m:r>
                        </m:sub>
                      </m:sSub>
                    </m:sup>
                  </m:sSubSup>
                  <m:r>
                    <a:rPr lang="hr-HR" sz="1100" b="0" i="1">
                      <a:solidFill>
                        <a:schemeClr val="dk1"/>
                      </a:solidFill>
                      <a:effectLst/>
                      <a:latin typeface="Cambria Math" panose="02040503050406030204" pitchFamily="18" charset="0"/>
                      <a:ea typeface="+mn-ea"/>
                      <a:cs typeface="+mn-cs"/>
                    </a:rPr>
                    <m:t>∙</m:t>
                  </m:r>
                  <m:sSubSup>
                    <m:sSubSupPr>
                      <m:ctrlPr>
                        <a:rPr lang="hr-HR" sz="1100" b="0" i="1">
                          <a:solidFill>
                            <a:schemeClr val="dk1"/>
                          </a:solidFill>
                          <a:effectLst/>
                          <a:latin typeface="Cambria Math" panose="02040503050406030204" pitchFamily="18" charset="0"/>
                          <a:ea typeface="+mn-ea"/>
                          <a:cs typeface="+mn-cs"/>
                        </a:rPr>
                      </m:ctrlPr>
                    </m:sSubSupPr>
                    <m:e>
                      <m:r>
                        <a:rPr lang="hr-HR" sz="1100" b="0" i="1">
                          <a:solidFill>
                            <a:schemeClr val="dk1"/>
                          </a:solidFill>
                          <a:effectLst/>
                          <a:latin typeface="Cambria Math" panose="02040503050406030204" pitchFamily="18" charset="0"/>
                          <a:ea typeface="+mn-ea"/>
                          <a:cs typeface="+mn-cs"/>
                        </a:rPr>
                        <m:t>𝑟</m:t>
                      </m:r>
                    </m:e>
                    <m:sub>
                      <m:r>
                        <a:rPr lang="hr-HR" sz="1100" b="0" i="1">
                          <a:solidFill>
                            <a:schemeClr val="dk1"/>
                          </a:solidFill>
                          <a:effectLst/>
                          <a:latin typeface="Cambria Math" panose="02040503050406030204" pitchFamily="18" charset="0"/>
                          <a:ea typeface="+mn-ea"/>
                          <a:cs typeface="+mn-cs"/>
                        </a:rPr>
                        <m:t>2</m:t>
                      </m:r>
                    </m:sub>
                    <m:sup>
                      <m:sSub>
                        <m:sSubPr>
                          <m:ctrlPr>
                            <a:rPr lang="hr-HR" sz="1100" b="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𝑛</m:t>
                          </m:r>
                        </m:e>
                        <m:sub>
                          <m:r>
                            <a:rPr lang="hr-HR" sz="1100" b="0" i="1">
                              <a:solidFill>
                                <a:schemeClr val="dk1"/>
                              </a:solidFill>
                              <a:effectLst/>
                              <a:latin typeface="Cambria Math" panose="02040503050406030204" pitchFamily="18" charset="0"/>
                              <a:ea typeface="+mn-ea"/>
                              <a:cs typeface="+mn-cs"/>
                            </a:rPr>
                            <m:t>2</m:t>
                          </m:r>
                        </m:sub>
                      </m:sSub>
                    </m:sup>
                  </m:sSubSup>
                  <m:r>
                    <a:rPr lang="hr-HR" sz="1100" b="0" i="1">
                      <a:solidFill>
                        <a:schemeClr val="dk1"/>
                      </a:solidFill>
                      <a:effectLst/>
                      <a:latin typeface="Cambria Math" panose="02040503050406030204" pitchFamily="18" charset="0"/>
                      <a:ea typeface="+mn-ea"/>
                      <a:cs typeface="+mn-cs"/>
                    </a:rPr>
                    <m:t>∙</m:t>
                  </m:r>
                </m:oMath>
              </a14:m>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b="1">
                  <a:effectLst/>
                </a:rPr>
                <a:t>Vrste kamatnjaka</a:t>
              </a:r>
            </a:p>
            <a:p>
              <a:r>
                <a:rPr lang="hr-HR" sz="1100" baseline="0">
                  <a:solidFill>
                    <a:schemeClr val="dk1"/>
                  </a:solidFill>
                  <a:effectLst/>
                  <a:latin typeface="+mn-lt"/>
                  <a:ea typeface="+mn-ea"/>
                  <a:cs typeface="+mn-cs"/>
                </a:rPr>
                <a:t>Kapitalizacija:</a:t>
              </a:r>
              <a:endParaRPr lang="hr-HR">
                <a:effectLst/>
              </a:endParaRPr>
            </a:p>
            <a:p>
              <a:r>
                <a:rPr lang="hr-HR" sz="1100" baseline="0">
                  <a:solidFill>
                    <a:schemeClr val="dk1"/>
                  </a:solidFill>
                  <a:effectLst/>
                  <a:latin typeface="+mn-lt"/>
                  <a:ea typeface="+mn-ea"/>
                  <a:cs typeface="+mn-cs"/>
                </a:rPr>
                <a:t>a) mjesečno m=12</a:t>
              </a:r>
              <a:endParaRPr lang="hr-HR">
                <a:effectLst/>
              </a:endParaRPr>
            </a:p>
            <a:p>
              <a:r>
                <a:rPr lang="hr-HR" sz="1100" baseline="0">
                  <a:solidFill>
                    <a:schemeClr val="dk1"/>
                  </a:solidFill>
                  <a:effectLst/>
                  <a:latin typeface="+mn-lt"/>
                  <a:ea typeface="+mn-ea"/>
                  <a:cs typeface="+mn-cs"/>
                </a:rPr>
                <a:t>b) kvartalno/tromjesečno m=4</a:t>
              </a:r>
              <a:endParaRPr lang="hr-HR">
                <a:effectLst/>
              </a:endParaRPr>
            </a:p>
            <a:p>
              <a:r>
                <a:rPr lang="hr-HR" sz="1100" baseline="0">
                  <a:solidFill>
                    <a:schemeClr val="dk1"/>
                  </a:solidFill>
                  <a:effectLst/>
                  <a:latin typeface="+mn-lt"/>
                  <a:ea typeface="+mn-ea"/>
                  <a:cs typeface="+mn-cs"/>
                </a:rPr>
                <a:t>c) polugodišnje m=2</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r>
                <a:rPr lang="hr-HR" sz="1100" baseline="0">
                  <a:solidFill>
                    <a:schemeClr val="dk1"/>
                  </a:solidFill>
                  <a:effectLst/>
                  <a:latin typeface="+mn-lt"/>
                  <a:ea typeface="+mn-ea"/>
                  <a:cs typeface="+mn-cs"/>
                </a:rPr>
                <a:t>1. proporcionalni obračun (relativna kamatna stopa) (koristi se kad mi dugujemo banci)</a:t>
              </a:r>
              <a:endParaRPr lang="hr-HR">
                <a:effectLst/>
              </a:endParaRPr>
            </a:p>
            <a:p>
              <a14:m>
                <m:oMath xmlns:m="http://schemas.openxmlformats.org/officeDocument/2006/math">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𝑟</m:t>
                      </m:r>
                    </m:sub>
                  </m:sSub>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r>
                        <a:rPr lang="hr-HR" sz="1100" b="0" i="1" baseline="0">
                          <a:solidFill>
                            <a:schemeClr val="dk1"/>
                          </a:solidFill>
                          <a:effectLst/>
                          <a:latin typeface="Cambria Math" panose="02040503050406030204" pitchFamily="18" charset="0"/>
                          <a:ea typeface="+mn-ea"/>
                          <a:cs typeface="+mn-cs"/>
                        </a:rPr>
                        <m:t>𝑝</m:t>
                      </m:r>
                    </m:num>
                    <m:den>
                      <m:r>
                        <a:rPr lang="hr-HR" sz="1100" b="0" i="1" baseline="0">
                          <a:solidFill>
                            <a:schemeClr val="dk1"/>
                          </a:solidFill>
                          <a:effectLst/>
                          <a:latin typeface="Cambria Math" panose="02040503050406030204" pitchFamily="18" charset="0"/>
                          <a:ea typeface="+mn-ea"/>
                          <a:cs typeface="+mn-cs"/>
                        </a:rPr>
                        <m:t>𝑚</m:t>
                      </m:r>
                    </m:den>
                  </m:f>
                </m:oMath>
              </a14:m>
              <a:r>
                <a:rPr lang="hr-HR" sz="1100" b="0" baseline="0">
                  <a:solidFill>
                    <a:schemeClr val="dk1"/>
                  </a:solidFill>
                  <a:effectLst/>
                  <a:latin typeface="+mn-lt"/>
                  <a:ea typeface="+mn-ea"/>
                  <a:cs typeface="+mn-cs"/>
                </a:rPr>
                <a:t> </a:t>
              </a:r>
              <a:endParaRPr lang="hr-HR">
                <a:effectLst/>
              </a:endParaRPr>
            </a:p>
            <a:p>
              <a:pPr/>
              <a14:m>
                <m:oMathPara xmlns:m="http://schemas.openxmlformats.org/officeDocument/2006/math">
                  <m:oMathParaPr>
                    <m:jc m:val="left"/>
                  </m:oMathParaPr>
                  <m:oMath xmlns:m="http://schemas.openxmlformats.org/officeDocument/2006/math">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𝑟</m:t>
                        </m:r>
                      </m:e>
                      <m:sub>
                        <m:r>
                          <a:rPr lang="hr-HR" sz="1100" b="0" i="1" baseline="0">
                            <a:solidFill>
                              <a:schemeClr val="dk1"/>
                            </a:solidFill>
                            <a:effectLst/>
                            <a:latin typeface="Cambria Math" panose="02040503050406030204" pitchFamily="18" charset="0"/>
                            <a:ea typeface="+mn-ea"/>
                            <a:cs typeface="+mn-cs"/>
                          </a:rPr>
                          <m:t>𝑟</m:t>
                        </m:r>
                      </m:sub>
                    </m:sSub>
                    <m:r>
                      <a:rPr lang="hr-HR" sz="1100" b="0" i="1" baseline="0">
                        <a:solidFill>
                          <a:schemeClr val="dk1"/>
                        </a:solidFill>
                        <a:effectLst/>
                        <a:latin typeface="Cambria Math" panose="02040503050406030204" pitchFamily="18" charset="0"/>
                        <a:ea typeface="+mn-ea"/>
                        <a:cs typeface="+mn-cs"/>
                      </a:rPr>
                      <m:t>=1+</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𝑟</m:t>
                        </m:r>
                      </m:sub>
                    </m:sSub>
                  </m:oMath>
                </m:oMathPara>
              </a14:m>
              <a:endParaRPr lang="hr-HR">
                <a:effectLst/>
              </a:endParaRPr>
            </a:p>
            <a:p>
              <a:pPr/>
              <a14:m>
                <m:oMathPara xmlns:m="http://schemas.openxmlformats.org/officeDocument/2006/math">
                  <m:oMathParaPr>
                    <m:jc m:val="left"/>
                  </m:oMathParaPr>
                  <m:oMath xmlns:m="http://schemas.openxmlformats.org/officeDocument/2006/math">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𝑛</m:t>
                        </m:r>
                      </m:e>
                      <m:sub>
                        <m:r>
                          <a:rPr lang="hr-HR" sz="1100" b="0" i="1" baseline="0">
                            <a:solidFill>
                              <a:schemeClr val="dk1"/>
                            </a:solidFill>
                            <a:effectLst/>
                            <a:latin typeface="Cambria Math" panose="02040503050406030204" pitchFamily="18" charset="0"/>
                            <a:ea typeface="+mn-ea"/>
                            <a:cs typeface="+mn-cs"/>
                          </a:rPr>
                          <m:t>𝑟</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𝑛</m:t>
                    </m:r>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𝑚</m:t>
                    </m:r>
                  </m:oMath>
                </m:oMathPara>
              </a14:m>
              <a:endParaRPr lang="hr-HR">
                <a:effectLst/>
              </a:endParaRPr>
            </a:p>
            <a:p>
              <a:endParaRPr lang="hr-HR" sz="1100" b="0" baseline="0">
                <a:solidFill>
                  <a:schemeClr val="dk1"/>
                </a:solidFill>
                <a:effectLst/>
                <a:latin typeface="+mn-lt"/>
                <a:ea typeface="+mn-ea"/>
                <a:cs typeface="+mn-cs"/>
              </a:endParaRPr>
            </a:p>
            <a:p>
              <a:r>
                <a:rPr lang="hr-HR" sz="1100" b="0" baseline="0">
                  <a:solidFill>
                    <a:schemeClr val="dk1"/>
                  </a:solidFill>
                  <a:effectLst/>
                  <a:latin typeface="+mn-lt"/>
                  <a:ea typeface="+mn-ea"/>
                  <a:cs typeface="+mn-cs"/>
                </a:rPr>
                <a:t>2. konformni obračun (koristi se kad štedimo)</a:t>
              </a:r>
              <a:endParaRPr lang="hr-HR">
                <a:effectLst/>
              </a:endParaRPr>
            </a:p>
            <a:p>
              <a14:m>
                <m:oMath xmlns:m="http://schemas.openxmlformats.org/officeDocument/2006/math">
                  <m:sSup>
                    <m:sSupPr>
                      <m:ctrlPr>
                        <a:rPr lang="hr-HR" sz="1100" b="0" i="1" baseline="0">
                          <a:solidFill>
                            <a:schemeClr val="dk1"/>
                          </a:solidFill>
                          <a:effectLst/>
                          <a:latin typeface="Cambria Math" panose="02040503050406030204" pitchFamily="18" charset="0"/>
                          <a:ea typeface="+mn-ea"/>
                          <a:cs typeface="+mn-cs"/>
                        </a:rPr>
                      </m:ctrlPr>
                    </m:sSupPr>
                    <m:e>
                      <m:r>
                        <a:rPr lang="hr-HR" sz="110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m:t>
                      </m:r>
                    </m:sup>
                  </m:sSup>
                  <m:r>
                    <a:rPr lang="hr-HR"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𝑟</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ad>
                    <m:radPr>
                      <m:ctrlPr>
                        <a:rPr lang="hr-HR" sz="1100" b="0" i="1" baseline="0">
                          <a:solidFill>
                            <a:schemeClr val="dk1"/>
                          </a:solidFill>
                          <a:effectLst/>
                          <a:latin typeface="Cambria Math" panose="02040503050406030204" pitchFamily="18" charset="0"/>
                          <a:ea typeface="+mn-ea"/>
                          <a:cs typeface="+mn-cs"/>
                        </a:rPr>
                      </m:ctrlPr>
                    </m:radPr>
                    <m:deg>
                      <m:r>
                        <m:rPr>
                          <m:brk m:alnAt="7"/>
                        </m:rPr>
                        <a:rPr lang="hr-HR" sz="1100" b="0" i="1" baseline="0">
                          <a:solidFill>
                            <a:schemeClr val="dk1"/>
                          </a:solidFill>
                          <a:effectLst/>
                          <a:latin typeface="Cambria Math" panose="02040503050406030204" pitchFamily="18" charset="0"/>
                          <a:ea typeface="+mn-ea"/>
                          <a:cs typeface="+mn-cs"/>
                        </a:rPr>
                        <m:t>𝑚</m:t>
                      </m:r>
                    </m:deg>
                    <m:e>
                      <m:r>
                        <a:rPr lang="hr-HR" sz="1100" b="0" i="1" baseline="0">
                          <a:solidFill>
                            <a:schemeClr val="dk1"/>
                          </a:solidFill>
                          <a:effectLst/>
                          <a:latin typeface="Cambria Math" panose="02040503050406030204" pitchFamily="18" charset="0"/>
                          <a:ea typeface="+mn-ea"/>
                          <a:cs typeface="+mn-cs"/>
                        </a:rPr>
                        <m:t>𝑟</m:t>
                      </m:r>
                    </m:e>
                  </m:rad>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r>
                        <a:rPr lang="hr-HR" sz="1100" b="0" i="1" baseline="0">
                          <a:solidFill>
                            <a:schemeClr val="dk1"/>
                          </a:solidFill>
                          <a:effectLst/>
                          <a:latin typeface="Cambria Math" panose="02040503050406030204" pitchFamily="18" charset="0"/>
                          <a:ea typeface="+mn-ea"/>
                          <a:cs typeface="+mn-cs"/>
                        </a:rPr>
                        <m:t>1</m:t>
                      </m:r>
                    </m:num>
                    <m:den>
                      <m:r>
                        <a:rPr lang="hr-HR" sz="1100" b="0" i="1" baseline="0">
                          <a:solidFill>
                            <a:schemeClr val="dk1"/>
                          </a:solidFill>
                          <a:effectLst/>
                          <a:latin typeface="Cambria Math" panose="02040503050406030204" pitchFamily="18" charset="0"/>
                          <a:ea typeface="+mn-ea"/>
                          <a:cs typeface="+mn-cs"/>
                        </a:rPr>
                        <m:t>𝑚</m:t>
                      </m:r>
                    </m:den>
                  </m:f>
                  <m:r>
                    <a:rPr lang="hr-HR" sz="1100" b="0" i="1" baseline="0">
                      <a:solidFill>
                        <a:schemeClr val="dk1"/>
                      </a:solidFill>
                      <a:effectLst/>
                      <a:latin typeface="Cambria Math" panose="02040503050406030204" pitchFamily="18" charset="0"/>
                      <a:ea typeface="+mn-ea"/>
                      <a:cs typeface="+mn-cs"/>
                    </a:rPr>
                    <m:t>)</m:t>
                  </m:r>
                </m:oMath>
              </a14:m>
              <a:r>
                <a:rPr lang="hr-HR" sz="1100" baseline="0">
                  <a:solidFill>
                    <a:schemeClr val="dk1"/>
                  </a:solidFill>
                  <a:effectLst/>
                  <a:latin typeface="+mn-lt"/>
                  <a:ea typeface="+mn-ea"/>
                  <a:cs typeface="+mn-cs"/>
                </a:rPr>
                <a:t> </a:t>
              </a:r>
            </a:p>
            <a:p>
              <a14:m>
                <m:oMath xmlns:m="http://schemas.openxmlformats.org/officeDocument/2006/math">
                  <m:sSup>
                    <m:sSupPr>
                      <m:ctrlPr>
                        <a:rPr lang="hr-HR" sz="1100" b="0" i="1" baseline="0">
                          <a:solidFill>
                            <a:schemeClr val="dk1"/>
                          </a:solidFill>
                          <a:effectLst/>
                          <a:latin typeface="Cambria Math" panose="02040503050406030204" pitchFamily="18" charset="0"/>
                          <a:ea typeface="+mn-ea"/>
                          <a:cs typeface="+mn-cs"/>
                        </a:rPr>
                      </m:ctrlPr>
                    </m:sSupPr>
                    <m:e>
                      <m:r>
                        <m:rPr>
                          <m:sty m:val="p"/>
                        </m:rPr>
                        <a:rPr lang="hr-HR" sz="1100" b="0" i="0" baseline="0">
                          <a:solidFill>
                            <a:schemeClr val="dk1"/>
                          </a:solidFill>
                          <a:effectLst/>
                          <a:latin typeface="Cambria Math" panose="02040503050406030204" pitchFamily="18" charset="0"/>
                          <a:ea typeface="+mn-ea"/>
                          <a:cs typeface="+mn-cs"/>
                        </a:rPr>
                        <m:t>p</m:t>
                      </m:r>
                    </m:e>
                    <m:sup>
                      <m:r>
                        <a:rPr lang="hr-HR" sz="1100" b="0" i="0" baseline="0">
                          <a:solidFill>
                            <a:schemeClr val="dk1"/>
                          </a:solidFill>
                          <a:effectLst/>
                          <a:latin typeface="Cambria Math" panose="02040503050406030204" pitchFamily="18" charset="0"/>
                          <a:ea typeface="+mn-ea"/>
                          <a:cs typeface="+mn-cs"/>
                        </a:rPr>
                        <m:t>′</m:t>
                      </m:r>
                    </m:sup>
                  </m:sSup>
                  <m:r>
                    <a:rPr lang="hr-HR" sz="1100" b="0" i="0"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′−1</m:t>
                  </m:r>
                </m:oMath>
              </a14:m>
              <a:r>
                <a:rPr lang="hr-HR" sz="1100" b="0" baseline="0">
                  <a:solidFill>
                    <a:schemeClr val="dk1"/>
                  </a:solidFill>
                  <a:effectLst/>
                  <a:latin typeface="+mn-lt"/>
                  <a:ea typeface="+mn-ea"/>
                  <a:cs typeface="+mn-cs"/>
                </a:rPr>
                <a:t>    (prikazati u obliku postotka)</a:t>
              </a:r>
              <a:endParaRPr lang="hr-HR">
                <a:effectLst/>
              </a:endParaRPr>
            </a:p>
            <a:p>
              <a:pPr eaLnBrk="1" fontAlgn="auto" latinLnBrk="0" hangingPunct="1"/>
              <a14:m>
                <m:oMathPara xmlns:m="http://schemas.openxmlformats.org/officeDocument/2006/math">
                  <m:oMathParaPr>
                    <m:jc m:val="left"/>
                  </m:oMathParaPr>
                  <m:oMath xmlns:m="http://schemas.openxmlformats.org/officeDocument/2006/math">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𝑛</m:t>
                        </m:r>
                      </m:e>
                      <m:sup>
                        <m:r>
                          <a:rPr lang="hr-HR" sz="1100" b="0" i="1" baseline="0">
                            <a:solidFill>
                              <a:schemeClr val="dk1"/>
                            </a:solidFill>
                            <a:effectLst/>
                            <a:latin typeface="Cambria Math" panose="02040503050406030204" pitchFamily="18" charset="0"/>
                            <a:ea typeface="+mn-ea"/>
                            <a:cs typeface="+mn-cs"/>
                          </a:rPr>
                          <m:t>′</m:t>
                        </m:r>
                      </m:sup>
                    </m:sSup>
                    <m:r>
                      <a:rPr lang="hr-HR"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𝑛</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𝑛</m:t>
                    </m:r>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𝑚</m:t>
                    </m:r>
                  </m:oMath>
                </m:oMathPara>
              </a14:m>
              <a:endParaRPr lang="hr-HR">
                <a:effectLst/>
              </a:endParaRPr>
            </a:p>
            <a:p>
              <a:endParaRPr lang="hr-HR" sz="1100" baseline="0">
                <a:solidFill>
                  <a:schemeClr val="dk1"/>
                </a:solidFill>
                <a:effectLst/>
                <a:latin typeface="+mn-lt"/>
                <a:ea typeface="+mn-ea"/>
                <a:cs typeface="+mn-cs"/>
              </a:endParaRPr>
            </a:p>
            <a:p>
              <a:r>
                <a:rPr lang="hr-HR" sz="1100" b="1" baseline="0">
                  <a:solidFill>
                    <a:schemeClr val="dk1"/>
                  </a:solidFill>
                  <a:effectLst/>
                  <a:latin typeface="+mn-lt"/>
                  <a:ea typeface="+mn-ea"/>
                  <a:cs typeface="+mn-cs"/>
                </a:rPr>
                <a:t>Konačna vrijednost višekratnih uplata/isplata</a:t>
              </a:r>
            </a:p>
            <a:p>
              <a:endParaRPr lang="hr-HR" sz="1100" b="0" baseline="0">
                <a:solidFill>
                  <a:schemeClr val="dk1"/>
                </a:solidFill>
                <a:effectLst/>
                <a:latin typeface="+mn-lt"/>
                <a:ea typeface="+mn-ea"/>
                <a:cs typeface="+mn-cs"/>
              </a:endParaRPr>
            </a:p>
            <a:p>
              <a:pPr eaLnBrk="1" fontAlgn="auto" latinLnBrk="0" hangingPunct="1"/>
              <a:r>
                <a:rPr lang="hr-HR" sz="1100" i="1" baseline="0">
                  <a:solidFill>
                    <a:schemeClr val="dk1"/>
                  </a:solidFill>
                  <a:effectLst/>
                  <a:latin typeface="+mn-lt"/>
                  <a:ea typeface="+mn-ea"/>
                  <a:cs typeface="+mn-cs"/>
                </a:rPr>
                <a:t>R</a:t>
              </a:r>
              <a:r>
                <a:rPr lang="hr-HR" sz="1100" i="0" baseline="0">
                  <a:solidFill>
                    <a:schemeClr val="dk1"/>
                  </a:solidFill>
                  <a:effectLst/>
                  <a:latin typeface="+mn-lt"/>
                  <a:ea typeface="+mn-ea"/>
                  <a:cs typeface="+mn-cs"/>
                </a:rPr>
                <a:t> = uplata</a:t>
              </a:r>
            </a:p>
            <a:p>
              <a:pPr eaLnBrk="1" fontAlgn="auto" latinLnBrk="0" hangingPunct="1"/>
              <a:r>
                <a:rPr lang="hr-HR" sz="1100" i="0" baseline="0">
                  <a:solidFill>
                    <a:schemeClr val="dk1"/>
                  </a:solidFill>
                  <a:effectLst/>
                  <a:latin typeface="+mn-lt"/>
                  <a:ea typeface="+mn-ea"/>
                  <a:cs typeface="+mn-cs"/>
                </a:rPr>
                <a:t>Konačna vrijednost </a:t>
              </a:r>
            </a:p>
            <a:p>
              <a:pPr eaLnBrk="1" fontAlgn="auto" latinLnBrk="0" hangingPunct="1"/>
              <a:r>
                <a:rPr lang="hr-HR" sz="1100" baseline="0">
                  <a:solidFill>
                    <a:schemeClr val="dk1"/>
                  </a:solidFill>
                  <a:effectLst/>
                  <a:latin typeface="+mn-lt"/>
                  <a:ea typeface="+mn-ea"/>
                  <a:cs typeface="+mn-cs"/>
                </a:rPr>
                <a:t>a) prenumerando (uplate početkom razdoblja)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𝑆</m:t>
                      </m:r>
                    </m:e>
                    <m:sub>
                      <m:r>
                        <a:rPr lang="hr-HR" sz="1100" b="0" i="1" baseline="0">
                          <a:solidFill>
                            <a:schemeClr val="dk1"/>
                          </a:solidFill>
                          <a:effectLst/>
                          <a:latin typeface="Cambria Math" panose="02040503050406030204" pitchFamily="18" charset="0"/>
                          <a:ea typeface="+mn-ea"/>
                          <a:cs typeface="+mn-cs"/>
                        </a:rPr>
                        <m:t>𝑛</m:t>
                      </m:r>
                    </m:sub>
                  </m:sSub>
                </m:oMath>
              </a14:m>
              <a:r>
                <a:rPr lang="hr-HR" sz="1100" baseline="0">
                  <a:solidFill>
                    <a:schemeClr val="dk1"/>
                  </a:solidFill>
                  <a:effectLst/>
                  <a:latin typeface="+mn-lt"/>
                  <a:ea typeface="+mn-ea"/>
                  <a:cs typeface="+mn-cs"/>
                </a:rPr>
                <a:t> </a:t>
              </a:r>
              <a:endParaRPr lang="hr-HR">
                <a:effectLst/>
              </a:endParaRPr>
            </a:p>
            <a:p>
              <a:pPr eaLnBrk="1" fontAlgn="auto" latinLnBrk="0" hangingPunct="1"/>
              <a:r>
                <a:rPr lang="hr-HR" sz="1100" baseline="0">
                  <a:solidFill>
                    <a:schemeClr val="dk1"/>
                  </a:solidFill>
                  <a:effectLst/>
                  <a:latin typeface="+mn-lt"/>
                  <a:ea typeface="+mn-ea"/>
                  <a:cs typeface="+mn-cs"/>
                </a:rPr>
                <a:t>b) postnumerando (uplate krajem razdoblja)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𝑆</m:t>
                      </m:r>
                      <m:r>
                        <a:rPr lang="hr-HR" sz="1100" b="0" i="1" baseline="0">
                          <a:solidFill>
                            <a:schemeClr val="dk1"/>
                          </a:solidFill>
                          <a:effectLst/>
                          <a:latin typeface="Cambria Math" panose="02040503050406030204" pitchFamily="18" charset="0"/>
                          <a:ea typeface="+mn-ea"/>
                          <a:cs typeface="+mn-cs"/>
                        </a:rPr>
                        <m:t>′</m:t>
                      </m:r>
                    </m:e>
                    <m:sub>
                      <m:r>
                        <a:rPr lang="hr-HR" sz="1100" b="0" i="1" baseline="0">
                          <a:solidFill>
                            <a:schemeClr val="dk1"/>
                          </a:solidFill>
                          <a:effectLst/>
                          <a:latin typeface="Cambria Math" panose="02040503050406030204" pitchFamily="18" charset="0"/>
                          <a:ea typeface="+mn-ea"/>
                          <a:cs typeface="+mn-cs"/>
                        </a:rPr>
                        <m:t>𝑛</m:t>
                      </m:r>
                    </m:sub>
                  </m:sSub>
                </m:oMath>
              </a14:m>
              <a:endParaRPr lang="hr-HR">
                <a:effectLst/>
              </a:endParaRPr>
            </a:p>
            <a:p>
              <a:pPr eaLnBrk="1" fontAlgn="auto" latinLnBrk="0" hangingPunct="1"/>
              <a:endParaRPr lang="hr-HR">
                <a:effectLst/>
              </a:endParaRPr>
            </a:p>
            <a:p>
              <a:pPr eaLnBrk="1" fontAlgn="auto" latinLnBrk="0" hangingPunct="1"/>
              <a:r>
                <a:rPr lang="hr-HR">
                  <a:effectLst/>
                </a:rPr>
                <a:t>Konačna vrijednost:</a:t>
              </a:r>
              <a:r>
                <a:rPr lang="hr-HR" baseline="0">
                  <a:effectLst/>
                </a:rPr>
                <a:t> </a:t>
              </a:r>
              <a:r>
                <a:rPr lang="hr-HR" sz="1100" baseline="0">
                  <a:solidFill>
                    <a:schemeClr val="dk1"/>
                  </a:solidFill>
                  <a:effectLst/>
                  <a:latin typeface="+mn-lt"/>
                  <a:ea typeface="+mn-ea"/>
                  <a:cs typeface="+mn-cs"/>
                </a:rPr>
                <a:t>=FV(kamatna stopa %; broj razdoblja; rata koju uplaćujemo; [eventualna velika početna uplata ili ulazna naknada (treba biti suprotnog predznaka od rata)]; 0 ili 1 ovisno o tome uplaćujemo li uplate/rate krajem (postnumerando) ili početkom (prenumarando) razdoblja)</a:t>
              </a:r>
              <a:endParaRPr lang="hr-HR">
                <a:effectLst/>
              </a:endParaRPr>
            </a:p>
            <a:p>
              <a:pPr eaLnBrk="1" fontAlgn="auto" latinLnBrk="0" hangingPunct="1"/>
              <a:r>
                <a:rPr lang="hr-HR" sz="1100" baseline="0">
                  <a:solidFill>
                    <a:schemeClr val="dk1"/>
                  </a:solidFill>
                  <a:effectLst/>
                  <a:latin typeface="+mn-lt"/>
                  <a:ea typeface="+mn-ea"/>
                  <a:cs typeface="+mn-cs"/>
                </a:rPr>
                <a:t>Napomena: uplate se uobičajemo označavaju negativnom vrijednošću.</a:t>
              </a:r>
            </a:p>
            <a:p>
              <a:pPr eaLnBrk="1" fontAlgn="auto" latinLnBrk="0" hangingPunct="1"/>
              <a:endParaRPr lang="hr-HR">
                <a:effectLst/>
              </a:endParaRPr>
            </a:p>
            <a:p>
              <a:pPr eaLnBrk="1" fontAlgn="auto" latinLnBrk="0" hangingPunct="1"/>
              <a:r>
                <a:rPr lang="hr-HR" sz="1100" baseline="0">
                  <a:solidFill>
                    <a:schemeClr val="dk1"/>
                  </a:solidFill>
                  <a:effectLst/>
                  <a:latin typeface="+mn-lt"/>
                  <a:ea typeface="+mn-ea"/>
                  <a:cs typeface="+mn-cs"/>
                </a:rPr>
                <a:t>rata R =PMT(kamatna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ako postoji; FV = konačna vrijednost, tj. iznos koji želimo uštedjeti; 0 ili 1 ovisno o tome uplaćujemo li rate krajem ili početkom razdoblja)</a:t>
              </a:r>
              <a:endParaRPr lang="hr-HR">
                <a:effectLst/>
              </a:endParaRPr>
            </a:p>
            <a:p>
              <a:pPr eaLnBrk="1" fontAlgn="auto" latinLnBrk="0" hangingPunct="1"/>
              <a:r>
                <a:rPr lang="hr-HR" sz="1100" baseline="0">
                  <a:solidFill>
                    <a:schemeClr val="dk1"/>
                  </a:solidFill>
                  <a:effectLst/>
                  <a:latin typeface="+mn-lt"/>
                  <a:ea typeface="+mn-ea"/>
                  <a:cs typeface="+mn-cs"/>
                </a:rPr>
                <a:t>Napomena: konačni iznos koji želimo dobiti upisujemo kao pozitivnu vrijednost, a rezultat R će biti negativan.</a:t>
              </a:r>
              <a:endParaRPr lang="hr-HR">
                <a:effectLst/>
              </a:endParaRPr>
            </a:p>
            <a:p>
              <a:endParaRPr lang="hr-HR" sz="1100" b="0" baseline="0">
                <a:solidFill>
                  <a:schemeClr val="dk1"/>
                </a:solidFill>
                <a:effectLst/>
                <a:latin typeface="+mn-lt"/>
                <a:ea typeface="+mn-ea"/>
                <a:cs typeface="+mn-cs"/>
              </a:endParaRPr>
            </a:p>
            <a:p>
              <a:r>
                <a:rPr lang="hr-HR" sz="1100" b="1" baseline="0">
                  <a:solidFill>
                    <a:schemeClr val="dk1"/>
                  </a:solidFill>
                  <a:effectLst/>
                  <a:latin typeface="+mn-lt"/>
                  <a:ea typeface="+mn-ea"/>
                  <a:cs typeface="+mn-cs"/>
                </a:rPr>
                <a:t>Početna vrijednost višekratnih uplata/isplata</a:t>
              </a:r>
            </a:p>
            <a:p>
              <a:endParaRPr lang="hr-HR" sz="1100" b="0" baseline="0">
                <a:solidFill>
                  <a:schemeClr val="dk1"/>
                </a:solidFill>
                <a:effectLst/>
                <a:latin typeface="+mn-lt"/>
                <a:ea typeface="+mn-ea"/>
                <a:cs typeface="+mn-cs"/>
              </a:endParaRPr>
            </a:p>
            <a:p>
              <a:pPr eaLnBrk="1" fontAlgn="auto" latinLnBrk="0" hangingPunct="1"/>
              <a:r>
                <a:rPr lang="hr-HR" sz="1100" i="1" baseline="0">
                  <a:solidFill>
                    <a:schemeClr val="dk1"/>
                  </a:solidFill>
                  <a:effectLst/>
                  <a:latin typeface="+mn-lt"/>
                  <a:ea typeface="+mn-ea"/>
                  <a:cs typeface="+mn-cs"/>
                </a:rPr>
                <a:t>R</a:t>
              </a:r>
              <a:r>
                <a:rPr lang="hr-HR" sz="1100" i="0" baseline="0">
                  <a:solidFill>
                    <a:schemeClr val="dk1"/>
                  </a:solidFill>
                  <a:effectLst/>
                  <a:latin typeface="+mn-lt"/>
                  <a:ea typeface="+mn-ea"/>
                  <a:cs typeface="+mn-cs"/>
                </a:rPr>
                <a:t> = rata</a:t>
              </a:r>
              <a:endParaRPr lang="hr-HR">
                <a:effectLst/>
              </a:endParaRPr>
            </a:p>
            <a:p>
              <a:pPr eaLnBrk="1" fontAlgn="auto" latinLnBrk="0" hangingPunct="1"/>
              <a:r>
                <a:rPr lang="hr-HR" sz="1100" baseline="0">
                  <a:solidFill>
                    <a:schemeClr val="dk1"/>
                  </a:solidFill>
                  <a:effectLst/>
                  <a:latin typeface="+mn-lt"/>
                  <a:ea typeface="+mn-ea"/>
                  <a:cs typeface="+mn-cs"/>
                </a:rPr>
                <a:t> </a:t>
              </a:r>
              <a:endParaRPr lang="hr-HR">
                <a:effectLst/>
              </a:endParaRPr>
            </a:p>
            <a:p>
              <a:pPr eaLnBrk="1" fontAlgn="auto" latinLnBrk="0" hangingPunct="1"/>
              <a:r>
                <a:rPr lang="hr-HR" sz="1100" baseline="0">
                  <a:solidFill>
                    <a:schemeClr val="dk1"/>
                  </a:solidFill>
                  <a:effectLst/>
                  <a:latin typeface="+mn-lt"/>
                  <a:ea typeface="+mn-ea"/>
                  <a:cs typeface="+mn-cs"/>
                </a:rPr>
                <a:t>a) prenumerando (isplate početkom);	početni iznos = </a:t>
              </a:r>
              <a:r>
                <a:rPr lang="hr-HR" sz="1100" i="1" baseline="0">
                  <a:solidFill>
                    <a:schemeClr val="dk1"/>
                  </a:solidFill>
                  <a:effectLst/>
                  <a:latin typeface="+mn-lt"/>
                  <a:ea typeface="+mn-ea"/>
                  <a:cs typeface="+mn-cs"/>
                </a:rPr>
                <a:t>An'</a:t>
              </a:r>
              <a:endParaRPr lang="hr-HR">
                <a:effectLst/>
              </a:endParaRPr>
            </a:p>
            <a:p>
              <a:pPr eaLnBrk="1" fontAlgn="auto" latinLnBrk="0" hangingPunct="1"/>
              <a:r>
                <a:rPr lang="hr-HR" sz="1100" baseline="0">
                  <a:solidFill>
                    <a:schemeClr val="dk1"/>
                  </a:solidFill>
                  <a:effectLst/>
                  <a:latin typeface="+mn-lt"/>
                  <a:ea typeface="+mn-ea"/>
                  <a:cs typeface="+mn-cs"/>
                </a:rPr>
                <a:t>b) postnumerando (isplate krajem);	početni iznos = </a:t>
              </a:r>
              <a:r>
                <a:rPr lang="hr-HR" sz="1100" i="1" baseline="0">
                  <a:solidFill>
                    <a:schemeClr val="dk1"/>
                  </a:solidFill>
                  <a:effectLst/>
                  <a:latin typeface="+mn-lt"/>
                  <a:ea typeface="+mn-ea"/>
                  <a:cs typeface="+mn-cs"/>
                </a:rPr>
                <a:t>An</a:t>
              </a:r>
              <a:endParaRPr lang="hr-HR">
                <a:effectLst/>
              </a:endParaRPr>
            </a:p>
            <a:p>
              <a:pPr eaLnBrk="1" fontAlgn="auto" latinLnBrk="0" hangingPunct="1"/>
              <a:endParaRPr lang="hr-HR" sz="1100" baseline="0">
                <a:solidFill>
                  <a:schemeClr val="dk1"/>
                </a:solidFill>
                <a:effectLst/>
                <a:latin typeface="+mn-lt"/>
                <a:ea typeface="+mn-ea"/>
                <a:cs typeface="+mn-cs"/>
              </a:endParaRPr>
            </a:p>
            <a:p>
              <a:pPr eaLnBrk="1" fontAlgn="auto" latinLnBrk="0" hangingPunct="1"/>
              <a:r>
                <a:rPr lang="hr-HR" sz="1100" baseline="0">
                  <a:solidFill>
                    <a:schemeClr val="dk1"/>
                  </a:solidFill>
                  <a:effectLst/>
                  <a:latin typeface="+mn-lt"/>
                  <a:ea typeface="+mn-ea"/>
                  <a:cs typeface="+mn-cs"/>
                </a:rPr>
                <a:t>Početni iznos =PV(kamatna stopa %; broj razdoblja; rata koju uplaćujemo;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vrijednost ako postoji, to je iznos koji želimo da ostane na kraju; 0 ili 1 ovisno o tome primamo li isplate/rate krajem (postnumerando) ili početkom (prenumarando)  razdoblja)</a:t>
              </a:r>
            </a:p>
            <a:p>
              <a:pPr eaLnBrk="1" fontAlgn="auto" latinLnBrk="0" hangingPunct="1"/>
              <a:endParaRPr lang="hr-HR">
                <a:effectLst/>
              </a:endParaRPr>
            </a:p>
            <a:p>
              <a:r>
                <a:rPr lang="hr-HR" sz="1100" baseline="0">
                  <a:solidFill>
                    <a:schemeClr val="dk1"/>
                  </a:solidFill>
                  <a:effectLst/>
                  <a:latin typeface="+mn-lt"/>
                  <a:ea typeface="+mn-ea"/>
                  <a:cs typeface="+mn-cs"/>
                </a:rPr>
                <a:t>Napomena: uplate se uobičajemo označavaju negativnom vrijednošću, a dobivene isplate pozitivno</a:t>
              </a:r>
            </a:p>
            <a:p>
              <a:pPr eaLnBrk="1" fontAlgn="auto" latinLnBrk="0" hangingPunct="1"/>
              <a:r>
                <a:rPr lang="hr-HR" sz="1100" baseline="0">
                  <a:solidFill>
                    <a:schemeClr val="dk1"/>
                  </a:solidFill>
                  <a:effectLst/>
                  <a:latin typeface="+mn-lt"/>
                  <a:ea typeface="+mn-ea"/>
                  <a:cs typeface="+mn-cs"/>
                </a:rPr>
                <a:t>Rata R=PMT(kamatna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t>
              </a:r>
              <a:r>
                <a:rPr lang="hr-HR" sz="1100" i="1" baseline="0">
                  <a:solidFill>
                    <a:schemeClr val="dk1"/>
                  </a:solidFill>
                  <a:effectLst/>
                  <a:latin typeface="+mn-lt"/>
                  <a:ea typeface="+mn-ea"/>
                  <a:cs typeface="+mn-cs"/>
                </a:rPr>
                <a:t>An</a:t>
              </a:r>
              <a:r>
                <a:rPr lang="hr-HR"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postoji, to je iznos koji želimo da ostane na kraju; 0 ili 1 ovisno o tome uplaćujemo li rate krajem ili početkom razdoblja)</a:t>
              </a:r>
            </a:p>
            <a:p>
              <a:pPr eaLnBrk="1" fontAlgn="auto" latinLnBrk="0" hangingPunct="1"/>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Napomena: ako govorimo</a:t>
              </a:r>
              <a:r>
                <a:rPr lang="hr-HR" sz="1100" baseline="0">
                  <a:solidFill>
                    <a:schemeClr val="dk1"/>
                  </a:solidFill>
                  <a:effectLst/>
                  <a:latin typeface="+mn-lt"/>
                  <a:ea typeface="+mn-ea"/>
                  <a:cs typeface="+mn-cs"/>
                </a:rPr>
                <a:t> o </a:t>
              </a:r>
              <a:r>
                <a:rPr lang="hr-HR" sz="1100" b="1" baseline="0">
                  <a:solidFill>
                    <a:schemeClr val="dk1"/>
                  </a:solidFill>
                  <a:effectLst/>
                  <a:latin typeface="+mn-lt"/>
                  <a:ea typeface="+mn-ea"/>
                  <a:cs typeface="+mn-cs"/>
                </a:rPr>
                <a:t>vječnoj renti (isplate do kraja života) </a:t>
              </a:r>
              <a:r>
                <a:rPr lang="hr-HR" sz="1100" baseline="0">
                  <a:solidFill>
                    <a:schemeClr val="dk1"/>
                  </a:solidFill>
                  <a:effectLst/>
                  <a:latin typeface="+mn-lt"/>
                  <a:ea typeface="+mn-ea"/>
                  <a:cs typeface="+mn-cs"/>
                </a:rPr>
                <a:t>tada je za broj godina uobičajeno staviti 9999 godina.</a:t>
              </a:r>
              <a:endParaRPr lang="hr-HR">
                <a:effectLst/>
              </a:endParaRPr>
            </a:p>
            <a:p>
              <a:endParaRPr lang="hr-HR" sz="1100" b="0" baseline="0">
                <a:solidFill>
                  <a:schemeClr val="dk1"/>
                </a:solidFill>
                <a:effectLst/>
                <a:latin typeface="+mn-lt"/>
                <a:ea typeface="+mn-ea"/>
                <a:cs typeface="+mn-cs"/>
              </a:endParaRPr>
            </a:p>
            <a:p>
              <a:endParaRPr lang="hr-HR" b="0">
                <a:effectLst/>
              </a:endParaRPr>
            </a:p>
          </xdr:txBody>
        </xdr:sp>
      </mc:Choice>
      <mc:Fallback xmlns="">
        <xdr:sp macro="" textlink="">
          <xdr:nvSpPr>
            <xdr:cNvPr id="2" name="TekstniOkvir 1">
              <a:extLst>
                <a:ext uri="{FF2B5EF4-FFF2-40B4-BE49-F238E27FC236}">
                  <a16:creationId xmlns:a16="http://schemas.microsoft.com/office/drawing/2014/main" id="{942D7711-3CCF-4D39-826A-678AC50254EE}"/>
                </a:ext>
              </a:extLst>
            </xdr:cNvPr>
            <xdr:cNvSpPr txBox="1"/>
          </xdr:nvSpPr>
          <xdr:spPr>
            <a:xfrm>
              <a:off x="609600" y="4787901"/>
              <a:ext cx="6454140" cy="117951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r>
                <a:rPr lang="hr-HR" sz="1100"/>
                <a:t>Uvijek je preporučljivo napisati</a:t>
              </a:r>
              <a:r>
                <a:rPr lang="hr-HR" sz="1100" baseline="0"/>
                <a:t> </a:t>
              </a:r>
              <a:r>
                <a:rPr lang="hr-HR" sz="1100"/>
                <a:t>svaki</a:t>
              </a:r>
              <a:r>
                <a:rPr lang="hr-HR" sz="1100" baseline="0"/>
                <a:t> zadani podatak u svoju ćeliju.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1"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1" i="0" baseline="0">
                  <a:solidFill>
                    <a:schemeClr val="dk1"/>
                  </a:solidFill>
                  <a:effectLst/>
                  <a:latin typeface="+mn-lt"/>
                  <a:ea typeface="+mn-ea"/>
                  <a:cs typeface="+mn-cs"/>
                </a:rPr>
                <a:t>Jednostavni kamatni račun</a:t>
              </a:r>
              <a:r>
                <a:rPr lang="hr-HR" sz="110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a:solidFill>
                    <a:schemeClr val="dk1"/>
                  </a:solidFill>
                  <a:effectLst/>
                  <a:latin typeface="Cambria Math" panose="02040503050406030204" pitchFamily="18" charset="0"/>
                  <a:ea typeface="+mn-ea"/>
                  <a:cs typeface="+mn-cs"/>
                </a:rPr>
                <a:t>𝐾=𝐶_0∙𝑛∙𝑝</a:t>
              </a:r>
              <a:r>
                <a:rPr lang="hr-HR" sz="1100" i="0" baseline="0">
                  <a:solidFill>
                    <a:schemeClr val="dk1"/>
                  </a:solidFill>
                  <a:effectLst/>
                  <a:latin typeface="+mn-lt"/>
                  <a:ea typeface="+mn-ea"/>
                  <a:cs typeface="+mn-cs"/>
                </a:rPr>
                <a:t>. </a:t>
              </a:r>
              <a:endParaRPr lang="hr-HR">
                <a:effectLst/>
              </a:endParaRPr>
            </a:p>
            <a:p>
              <a:pPr eaLnBrk="1" fontAlgn="auto" latinLnBrk="0" hangingPunct="1"/>
              <a:r>
                <a:rPr lang="hr-HR" sz="1100">
                  <a:solidFill>
                    <a:schemeClr val="dk1"/>
                  </a:solidFill>
                  <a:effectLst/>
                  <a:latin typeface="+mn-lt"/>
                  <a:ea typeface="+mn-ea"/>
                  <a:cs typeface="+mn-cs"/>
                </a:rPr>
                <a:t>Konačna vrijednost </a:t>
              </a:r>
              <a:r>
                <a:rPr lang="hr-HR" sz="1100" b="0" i="0">
                  <a:solidFill>
                    <a:schemeClr val="dk1"/>
                  </a:solidFill>
                  <a:effectLst/>
                  <a:latin typeface="Cambria Math" panose="02040503050406030204" pitchFamily="18" charset="0"/>
                  <a:ea typeface="+mn-ea"/>
                  <a:cs typeface="+mn-cs"/>
                </a:rPr>
                <a:t>𝐶_𝑛</a:t>
              </a:r>
              <a:r>
                <a:rPr lang="hr-HR" sz="1100">
                  <a:solidFill>
                    <a:schemeClr val="dk1"/>
                  </a:solidFill>
                  <a:effectLst/>
                  <a:latin typeface="+mn-lt"/>
                  <a:ea typeface="+mn-ea"/>
                  <a:cs typeface="+mn-cs"/>
                </a:rPr>
                <a:t> je jednaka </a:t>
              </a:r>
              <a:r>
                <a:rPr lang="hr-HR" sz="1100" b="0" i="0">
                  <a:solidFill>
                    <a:schemeClr val="dk1"/>
                  </a:solidFill>
                  <a:effectLst/>
                  <a:latin typeface="Cambria Math" panose="02040503050406030204" pitchFamily="18" charset="0"/>
                  <a:ea typeface="+mn-ea"/>
                  <a:cs typeface="+mn-cs"/>
                </a:rPr>
                <a:t>〖𝐶_𝑛=𝐶〗_0+𝐾</a:t>
              </a:r>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1">
                  <a:solidFill>
                    <a:schemeClr val="dk1"/>
                  </a:solidFill>
                  <a:effectLst/>
                  <a:latin typeface="+mn-lt"/>
                  <a:ea typeface="+mn-ea"/>
                  <a:cs typeface="+mn-cs"/>
                </a:rPr>
                <a:t>Složeni kamatni račun </a:t>
              </a:r>
              <a:endParaRPr lang="hr-HR" sz="1100" b="0" i="1">
                <a:solidFill>
                  <a:schemeClr val="dk1"/>
                </a:solidFill>
                <a:effectLst/>
                <a:latin typeface="Cambria Math" panose="020405030504060302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𝑟=1+𝑝</a:t>
              </a:r>
              <a:r>
                <a:rPr lang="hr-HR" sz="1100">
                  <a:solidFill>
                    <a:schemeClr val="dk1"/>
                  </a:solidFill>
                  <a:effectLst/>
                  <a:latin typeface="+mn-lt"/>
                  <a:ea typeface="+mn-ea"/>
                  <a:cs typeface="+mn-cs"/>
                </a:rPr>
                <a:t>. </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0" i="0">
                  <a:solidFill>
                    <a:schemeClr val="dk1"/>
                  </a:solidFill>
                  <a:effectLst/>
                  <a:latin typeface="Cambria Math" panose="02040503050406030204" pitchFamily="18" charset="0"/>
                  <a:ea typeface="+mn-ea"/>
                  <a:cs typeface="+mn-cs"/>
                </a:rPr>
                <a:t>〖𝐶_𝑛=𝐶〗_0∙𝑟^𝑛</a:t>
              </a:r>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Ako je došlo do promjene kamatne stope pa je tijekom </a:t>
              </a:r>
              <a:r>
                <a:rPr lang="hr-HR" sz="1100" b="0" i="0" baseline="0">
                  <a:solidFill>
                    <a:schemeClr val="dk1"/>
                  </a:solidFill>
                  <a:effectLst/>
                  <a:latin typeface="Cambria Math" panose="02040503050406030204" pitchFamily="18" charset="0"/>
                  <a:ea typeface="+mn-ea"/>
                  <a:cs typeface="+mn-cs"/>
                </a:rPr>
                <a:t>𝑛_1</a:t>
              </a:r>
              <a:r>
                <a:rPr lang="hr-HR" sz="1100" i="0" baseline="0">
                  <a:solidFill>
                    <a:schemeClr val="dk1"/>
                  </a:solidFill>
                  <a:effectLst/>
                  <a:latin typeface="+mn-lt"/>
                  <a:ea typeface="+mn-ea"/>
                  <a:cs typeface="+mn-cs"/>
                </a:rPr>
                <a:t> godina kamatna stopa iznosila </a:t>
              </a:r>
              <a:r>
                <a:rPr lang="hr-HR" sz="1100" b="0" i="0" baseline="0">
                  <a:solidFill>
                    <a:schemeClr val="dk1"/>
                  </a:solidFill>
                  <a:effectLst/>
                  <a:latin typeface="Cambria Math" panose="02040503050406030204" pitchFamily="18" charset="0"/>
                  <a:ea typeface="+mn-ea"/>
                  <a:cs typeface="+mn-cs"/>
                </a:rPr>
                <a:t>𝑝_1</a:t>
              </a:r>
              <a:r>
                <a:rPr lang="hr-HR" sz="1100" i="0" baseline="0">
                  <a:solidFill>
                    <a:schemeClr val="dk1"/>
                  </a:solidFill>
                  <a:effectLst/>
                  <a:latin typeface="+mn-lt"/>
                  <a:ea typeface="+mn-ea"/>
                  <a:cs typeface="+mn-cs"/>
                </a:rPr>
                <a:t>, tj. kamatni faktor </a:t>
              </a:r>
              <a:r>
                <a:rPr lang="hr-HR" sz="1100" b="0" i="0" baseline="0">
                  <a:solidFill>
                    <a:schemeClr val="dk1"/>
                  </a:solidFill>
                  <a:effectLst/>
                  <a:latin typeface="Cambria Math" panose="02040503050406030204" pitchFamily="18" charset="0"/>
                  <a:ea typeface="+mn-ea"/>
                  <a:cs typeface="+mn-cs"/>
                </a:rPr>
                <a:t>𝑟_1</a:t>
              </a:r>
              <a:r>
                <a:rPr lang="hr-HR" sz="1100" i="0" baseline="0">
                  <a:solidFill>
                    <a:schemeClr val="dk1"/>
                  </a:solidFill>
                  <a:effectLst/>
                  <a:latin typeface="+mn-lt"/>
                  <a:ea typeface="+mn-ea"/>
                  <a:cs typeface="+mn-cs"/>
                </a:rPr>
                <a:t>, potom </a:t>
              </a:r>
              <a:r>
                <a:rPr lang="hr-HR" sz="1100" b="0" i="0" baseline="0">
                  <a:solidFill>
                    <a:schemeClr val="dk1"/>
                  </a:solidFill>
                  <a:effectLst/>
                  <a:latin typeface="Cambria Math" panose="02040503050406030204" pitchFamily="18" charset="0"/>
                  <a:ea typeface="+mn-ea"/>
                  <a:cs typeface="+mn-cs"/>
                </a:rPr>
                <a:t>𝑛_2</a:t>
              </a:r>
              <a:r>
                <a:rPr lang="hr-HR" sz="1100" i="0" baseline="0">
                  <a:solidFill>
                    <a:schemeClr val="dk1"/>
                  </a:solidFill>
                  <a:effectLst/>
                  <a:latin typeface="+mn-lt"/>
                  <a:ea typeface="+mn-ea"/>
                  <a:cs typeface="+mn-cs"/>
                </a:rPr>
                <a:t> godina kamatna stopa bila </a:t>
              </a:r>
              <a:r>
                <a:rPr lang="hr-HR" sz="1100" b="0" i="0" baseline="0">
                  <a:solidFill>
                    <a:schemeClr val="dk1"/>
                  </a:solidFill>
                  <a:effectLst/>
                  <a:latin typeface="Cambria Math" panose="02040503050406030204" pitchFamily="18" charset="0"/>
                  <a:ea typeface="+mn-ea"/>
                  <a:cs typeface="+mn-cs"/>
                </a:rPr>
                <a:t>𝑝_2</a:t>
              </a:r>
              <a:r>
                <a:rPr lang="hr-HR" sz="1100" i="0" baseline="0">
                  <a:solidFill>
                    <a:schemeClr val="dk1"/>
                  </a:solidFill>
                  <a:effectLst/>
                  <a:latin typeface="+mn-lt"/>
                  <a:ea typeface="+mn-ea"/>
                  <a:cs typeface="+mn-cs"/>
                </a:rPr>
                <a:t>, itd... tada za konačnu vrijednost </a:t>
              </a:r>
              <a:r>
                <a:rPr lang="hr-HR" sz="1100" b="0" i="0">
                  <a:solidFill>
                    <a:schemeClr val="dk1"/>
                  </a:solidFill>
                  <a:effectLst/>
                  <a:latin typeface="Cambria Math" panose="02040503050406030204" pitchFamily="18" charset="0"/>
                  <a:ea typeface="+mn-ea"/>
                  <a:cs typeface="+mn-cs"/>
                </a:rPr>
                <a:t>𝐶_𝑛</a:t>
              </a:r>
              <a:r>
                <a:rPr lang="hr-HR" sz="1100" i="0" baseline="0">
                  <a:solidFill>
                    <a:schemeClr val="dk1"/>
                  </a:solidFill>
                  <a:effectLst/>
                  <a:latin typeface="+mn-lt"/>
                  <a:ea typeface="+mn-ea"/>
                  <a:cs typeface="+mn-cs"/>
                </a:rPr>
                <a:t> koristimo izraz </a:t>
              </a:r>
              <a:r>
                <a:rPr lang="hr-HR" sz="1100" b="0" i="0">
                  <a:solidFill>
                    <a:schemeClr val="dk1"/>
                  </a:solidFill>
                  <a:effectLst/>
                  <a:latin typeface="Cambria Math" panose="02040503050406030204" pitchFamily="18" charset="0"/>
                  <a:ea typeface="+mn-ea"/>
                  <a:cs typeface="+mn-cs"/>
                </a:rPr>
                <a:t>𝐶_𝑛=𝐶_0∙𝑟_1^(𝑛_1 )∙𝑟_2^(𝑛_2 )∙</a:t>
              </a:r>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b="1">
                  <a:effectLst/>
                </a:rPr>
                <a:t>Vrste kamatnjaka</a:t>
              </a:r>
            </a:p>
            <a:p>
              <a:r>
                <a:rPr lang="hr-HR" sz="1100" baseline="0">
                  <a:solidFill>
                    <a:schemeClr val="dk1"/>
                  </a:solidFill>
                  <a:effectLst/>
                  <a:latin typeface="+mn-lt"/>
                  <a:ea typeface="+mn-ea"/>
                  <a:cs typeface="+mn-cs"/>
                </a:rPr>
                <a:t>Kapitalizacija:</a:t>
              </a:r>
              <a:endParaRPr lang="hr-HR">
                <a:effectLst/>
              </a:endParaRPr>
            </a:p>
            <a:p>
              <a:r>
                <a:rPr lang="hr-HR" sz="1100" baseline="0">
                  <a:solidFill>
                    <a:schemeClr val="dk1"/>
                  </a:solidFill>
                  <a:effectLst/>
                  <a:latin typeface="+mn-lt"/>
                  <a:ea typeface="+mn-ea"/>
                  <a:cs typeface="+mn-cs"/>
                </a:rPr>
                <a:t>a) mjesečno m=12</a:t>
              </a:r>
              <a:endParaRPr lang="hr-HR">
                <a:effectLst/>
              </a:endParaRPr>
            </a:p>
            <a:p>
              <a:r>
                <a:rPr lang="hr-HR" sz="1100" baseline="0">
                  <a:solidFill>
                    <a:schemeClr val="dk1"/>
                  </a:solidFill>
                  <a:effectLst/>
                  <a:latin typeface="+mn-lt"/>
                  <a:ea typeface="+mn-ea"/>
                  <a:cs typeface="+mn-cs"/>
                </a:rPr>
                <a:t>b) kvartalno/tromjesečno m=4</a:t>
              </a:r>
              <a:endParaRPr lang="hr-HR">
                <a:effectLst/>
              </a:endParaRPr>
            </a:p>
            <a:p>
              <a:r>
                <a:rPr lang="hr-HR" sz="1100" baseline="0">
                  <a:solidFill>
                    <a:schemeClr val="dk1"/>
                  </a:solidFill>
                  <a:effectLst/>
                  <a:latin typeface="+mn-lt"/>
                  <a:ea typeface="+mn-ea"/>
                  <a:cs typeface="+mn-cs"/>
                </a:rPr>
                <a:t>c) polugodišnje m=2</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r>
                <a:rPr lang="hr-HR" sz="1100" baseline="0">
                  <a:solidFill>
                    <a:schemeClr val="dk1"/>
                  </a:solidFill>
                  <a:effectLst/>
                  <a:latin typeface="+mn-lt"/>
                  <a:ea typeface="+mn-ea"/>
                  <a:cs typeface="+mn-cs"/>
                </a:rPr>
                <a:t>1. proporcionalni obračun (relativna kamatna stopa) (koristi se kad mi dugujemo banci)</a:t>
              </a:r>
              <a:endParaRPr lang="hr-HR">
                <a:effectLst/>
              </a:endParaRPr>
            </a:p>
            <a:p>
              <a:r>
                <a:rPr lang="hr-HR" sz="1100" b="0" i="0" baseline="0">
                  <a:solidFill>
                    <a:schemeClr val="dk1"/>
                  </a:solidFill>
                  <a:effectLst/>
                  <a:latin typeface="Cambria Math" panose="02040503050406030204" pitchFamily="18" charset="0"/>
                  <a:ea typeface="+mn-ea"/>
                  <a:cs typeface="+mn-cs"/>
                </a:rPr>
                <a:t>𝑝_𝑟=𝑝/𝑚</a:t>
              </a:r>
              <a:r>
                <a:rPr lang="hr-HR" sz="1100" b="0" baseline="0">
                  <a:solidFill>
                    <a:schemeClr val="dk1"/>
                  </a:solidFill>
                  <a:effectLst/>
                  <a:latin typeface="+mn-lt"/>
                  <a:ea typeface="+mn-ea"/>
                  <a:cs typeface="+mn-cs"/>
                </a:rPr>
                <a:t> </a:t>
              </a:r>
              <a:endParaRPr lang="hr-HR">
                <a:effectLst/>
              </a:endParaRPr>
            </a:p>
            <a:p>
              <a:pPr/>
              <a:r>
                <a:rPr lang="hr-HR" sz="1100" b="0" i="0" baseline="0">
                  <a:solidFill>
                    <a:schemeClr val="dk1"/>
                  </a:solidFill>
                  <a:effectLst/>
                  <a:latin typeface="Cambria Math" panose="02040503050406030204" pitchFamily="18" charset="0"/>
                  <a:ea typeface="+mn-ea"/>
                  <a:cs typeface="+mn-cs"/>
                </a:rPr>
                <a:t>𝑟_𝑟=1+𝑝_𝑟</a:t>
              </a:r>
              <a:endParaRPr lang="hr-HR">
                <a:effectLst/>
              </a:endParaRPr>
            </a:p>
            <a:p>
              <a:pPr/>
              <a:r>
                <a:rPr lang="hr-HR" sz="1100" b="0" i="0" baseline="0">
                  <a:solidFill>
                    <a:schemeClr val="dk1"/>
                  </a:solidFill>
                  <a:effectLst/>
                  <a:latin typeface="Cambria Math" panose="02040503050406030204" pitchFamily="18" charset="0"/>
                  <a:ea typeface="+mn-ea"/>
                  <a:cs typeface="+mn-cs"/>
                </a:rPr>
                <a:t>𝑛_𝑟=𝑛∙𝑚</a:t>
              </a:r>
              <a:endParaRPr lang="hr-HR">
                <a:effectLst/>
              </a:endParaRPr>
            </a:p>
            <a:p>
              <a:endParaRPr lang="hr-HR" sz="1100" b="0" baseline="0">
                <a:solidFill>
                  <a:schemeClr val="dk1"/>
                </a:solidFill>
                <a:effectLst/>
                <a:latin typeface="+mn-lt"/>
                <a:ea typeface="+mn-ea"/>
                <a:cs typeface="+mn-cs"/>
              </a:endParaRPr>
            </a:p>
            <a:p>
              <a:r>
                <a:rPr lang="hr-HR" sz="1100" b="0" baseline="0">
                  <a:solidFill>
                    <a:schemeClr val="dk1"/>
                  </a:solidFill>
                  <a:effectLst/>
                  <a:latin typeface="+mn-lt"/>
                  <a:ea typeface="+mn-ea"/>
                  <a:cs typeface="+mn-cs"/>
                </a:rPr>
                <a:t>2. konformni obračun (koristi se kad štedimo)</a:t>
              </a:r>
              <a:endParaRPr lang="hr-HR">
                <a:effectLst/>
              </a:endParaRPr>
            </a:p>
            <a:p>
              <a:r>
                <a:rPr lang="hr-HR" sz="1100" i="0" baseline="0">
                  <a:solidFill>
                    <a:schemeClr val="dk1"/>
                  </a:solidFill>
                  <a:effectLst/>
                  <a:latin typeface="Cambria Math" panose="02040503050406030204" pitchFamily="18" charset="0"/>
                  <a:ea typeface="+mn-ea"/>
                  <a:cs typeface="+mn-cs"/>
                </a:rPr>
                <a:t>𝑟</a:t>
              </a:r>
              <a:r>
                <a:rPr lang="hr-HR" sz="1100" b="0" i="0" baseline="0">
                  <a:solidFill>
                    <a:schemeClr val="dk1"/>
                  </a:solidFill>
                  <a:effectLst/>
                  <a:latin typeface="Cambria Math" panose="02040503050406030204" pitchFamily="18" charset="0"/>
                  <a:ea typeface="+mn-ea"/>
                  <a:cs typeface="+mn-cs"/>
                </a:rPr>
                <a:t>^′=𝑟_𝑘=√(𝑚&amp;𝑟)=𝑟^(1/𝑚)</a:t>
              </a:r>
              <a:r>
                <a:rPr lang="hr-HR" sz="1100" baseline="0">
                  <a:solidFill>
                    <a:schemeClr val="dk1"/>
                  </a:solidFill>
                  <a:effectLst/>
                  <a:latin typeface="+mn-lt"/>
                  <a:ea typeface="+mn-ea"/>
                  <a:cs typeface="+mn-cs"/>
                </a:rPr>
                <a:t> </a:t>
              </a:r>
            </a:p>
            <a:p>
              <a:r>
                <a:rPr lang="hr-HR" sz="1100" b="0" i="0" baseline="0">
                  <a:solidFill>
                    <a:schemeClr val="dk1"/>
                  </a:solidFill>
                  <a:effectLst/>
                  <a:latin typeface="Cambria Math" panose="02040503050406030204" pitchFamily="18" charset="0"/>
                  <a:ea typeface="+mn-ea"/>
                  <a:cs typeface="+mn-cs"/>
                </a:rPr>
                <a:t>p^′=𝑝_𝑘=𝑟′−1</a:t>
              </a:r>
              <a:r>
                <a:rPr lang="hr-HR" sz="1100" b="0" baseline="0">
                  <a:solidFill>
                    <a:schemeClr val="dk1"/>
                  </a:solidFill>
                  <a:effectLst/>
                  <a:latin typeface="+mn-lt"/>
                  <a:ea typeface="+mn-ea"/>
                  <a:cs typeface="+mn-cs"/>
                </a:rPr>
                <a:t>    (prikazati u obliku postotka)</a:t>
              </a:r>
              <a:endParaRPr lang="hr-HR">
                <a:effectLst/>
              </a:endParaRPr>
            </a:p>
            <a:p>
              <a:pPr eaLnBrk="1" fontAlgn="auto" latinLnBrk="0" hangingPunct="1"/>
              <a:r>
                <a:rPr lang="hr-HR" sz="1100" b="0" i="0" baseline="0">
                  <a:solidFill>
                    <a:schemeClr val="dk1"/>
                  </a:solidFill>
                  <a:effectLst/>
                  <a:latin typeface="Cambria Math" panose="02040503050406030204" pitchFamily="18" charset="0"/>
                  <a:ea typeface="+mn-ea"/>
                  <a:cs typeface="+mn-cs"/>
                </a:rPr>
                <a:t>𝑛^′=𝑛_𝑘=𝑛∙𝑚</a:t>
              </a:r>
              <a:endParaRPr lang="hr-HR">
                <a:effectLst/>
              </a:endParaRPr>
            </a:p>
            <a:p>
              <a:endParaRPr lang="hr-HR" sz="1100" baseline="0">
                <a:solidFill>
                  <a:schemeClr val="dk1"/>
                </a:solidFill>
                <a:effectLst/>
                <a:latin typeface="+mn-lt"/>
                <a:ea typeface="+mn-ea"/>
                <a:cs typeface="+mn-cs"/>
              </a:endParaRPr>
            </a:p>
            <a:p>
              <a:r>
                <a:rPr lang="hr-HR" sz="1100" b="1" baseline="0">
                  <a:solidFill>
                    <a:schemeClr val="dk1"/>
                  </a:solidFill>
                  <a:effectLst/>
                  <a:latin typeface="+mn-lt"/>
                  <a:ea typeface="+mn-ea"/>
                  <a:cs typeface="+mn-cs"/>
                </a:rPr>
                <a:t>Konačna vrijednost višekratnih uplata/isplata</a:t>
              </a:r>
            </a:p>
            <a:p>
              <a:endParaRPr lang="hr-HR" sz="1100" b="0" baseline="0">
                <a:solidFill>
                  <a:schemeClr val="dk1"/>
                </a:solidFill>
                <a:effectLst/>
                <a:latin typeface="+mn-lt"/>
                <a:ea typeface="+mn-ea"/>
                <a:cs typeface="+mn-cs"/>
              </a:endParaRPr>
            </a:p>
            <a:p>
              <a:pPr eaLnBrk="1" fontAlgn="auto" latinLnBrk="0" hangingPunct="1"/>
              <a:r>
                <a:rPr lang="hr-HR" sz="1100" i="1" baseline="0">
                  <a:solidFill>
                    <a:schemeClr val="dk1"/>
                  </a:solidFill>
                  <a:effectLst/>
                  <a:latin typeface="+mn-lt"/>
                  <a:ea typeface="+mn-ea"/>
                  <a:cs typeface="+mn-cs"/>
                </a:rPr>
                <a:t>R</a:t>
              </a:r>
              <a:r>
                <a:rPr lang="hr-HR" sz="1100" i="0" baseline="0">
                  <a:solidFill>
                    <a:schemeClr val="dk1"/>
                  </a:solidFill>
                  <a:effectLst/>
                  <a:latin typeface="+mn-lt"/>
                  <a:ea typeface="+mn-ea"/>
                  <a:cs typeface="+mn-cs"/>
                </a:rPr>
                <a:t> = uplata</a:t>
              </a:r>
            </a:p>
            <a:p>
              <a:pPr eaLnBrk="1" fontAlgn="auto" latinLnBrk="0" hangingPunct="1"/>
              <a:r>
                <a:rPr lang="hr-HR" sz="1100" i="0" baseline="0">
                  <a:solidFill>
                    <a:schemeClr val="dk1"/>
                  </a:solidFill>
                  <a:effectLst/>
                  <a:latin typeface="+mn-lt"/>
                  <a:ea typeface="+mn-ea"/>
                  <a:cs typeface="+mn-cs"/>
                </a:rPr>
                <a:t>Konačna vrijednost </a:t>
              </a:r>
            </a:p>
            <a:p>
              <a:pPr eaLnBrk="1" fontAlgn="auto" latinLnBrk="0" hangingPunct="1"/>
              <a:r>
                <a:rPr lang="hr-HR" sz="1100" baseline="0">
                  <a:solidFill>
                    <a:schemeClr val="dk1"/>
                  </a:solidFill>
                  <a:effectLst/>
                  <a:latin typeface="+mn-lt"/>
                  <a:ea typeface="+mn-ea"/>
                  <a:cs typeface="+mn-cs"/>
                </a:rPr>
                <a:t>a) prenumerando (uplate početkom razdoblja) </a:t>
              </a:r>
              <a:r>
                <a:rPr lang="hr-HR" sz="1100" b="0" i="0" baseline="0">
                  <a:solidFill>
                    <a:schemeClr val="dk1"/>
                  </a:solidFill>
                  <a:effectLst/>
                  <a:latin typeface="Cambria Math" panose="02040503050406030204" pitchFamily="18" charset="0"/>
                  <a:ea typeface="+mn-ea"/>
                  <a:cs typeface="+mn-cs"/>
                </a:rPr>
                <a:t>𝑆_𝑛</a:t>
              </a:r>
              <a:r>
                <a:rPr lang="hr-HR" sz="1100" baseline="0">
                  <a:solidFill>
                    <a:schemeClr val="dk1"/>
                  </a:solidFill>
                  <a:effectLst/>
                  <a:latin typeface="+mn-lt"/>
                  <a:ea typeface="+mn-ea"/>
                  <a:cs typeface="+mn-cs"/>
                </a:rPr>
                <a:t> </a:t>
              </a:r>
              <a:endParaRPr lang="hr-HR">
                <a:effectLst/>
              </a:endParaRPr>
            </a:p>
            <a:p>
              <a:pPr eaLnBrk="1" fontAlgn="auto" latinLnBrk="0" hangingPunct="1"/>
              <a:r>
                <a:rPr lang="hr-HR" sz="1100" baseline="0">
                  <a:solidFill>
                    <a:schemeClr val="dk1"/>
                  </a:solidFill>
                  <a:effectLst/>
                  <a:latin typeface="+mn-lt"/>
                  <a:ea typeface="+mn-ea"/>
                  <a:cs typeface="+mn-cs"/>
                </a:rPr>
                <a:t>b) postnumerando (uplate krajem razdoblja) </a:t>
              </a: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𝑆′〗_𝑛</a:t>
              </a:r>
              <a:endParaRPr lang="hr-HR">
                <a:effectLst/>
              </a:endParaRPr>
            </a:p>
            <a:p>
              <a:pPr eaLnBrk="1" fontAlgn="auto" latinLnBrk="0" hangingPunct="1"/>
              <a:endParaRPr lang="hr-HR">
                <a:effectLst/>
              </a:endParaRPr>
            </a:p>
            <a:p>
              <a:pPr eaLnBrk="1" fontAlgn="auto" latinLnBrk="0" hangingPunct="1"/>
              <a:r>
                <a:rPr lang="hr-HR">
                  <a:effectLst/>
                </a:rPr>
                <a:t>Konačna vrijednost:</a:t>
              </a:r>
              <a:r>
                <a:rPr lang="hr-HR" baseline="0">
                  <a:effectLst/>
                </a:rPr>
                <a:t> </a:t>
              </a:r>
              <a:r>
                <a:rPr lang="hr-HR" sz="1100" baseline="0">
                  <a:solidFill>
                    <a:schemeClr val="dk1"/>
                  </a:solidFill>
                  <a:effectLst/>
                  <a:latin typeface="+mn-lt"/>
                  <a:ea typeface="+mn-ea"/>
                  <a:cs typeface="+mn-cs"/>
                </a:rPr>
                <a:t>=FV(kamatna stopa %; broj razdoblja; rata koju uplaćujemo; [eventualna velika početna uplata ili ulazna naknada (treba biti suprotnog predznaka od rata)]; 0 ili 1 ovisno o tome uplaćujemo li uplate/rate krajem (postnumerando) ili početkom (prenumarando) razdoblja)</a:t>
              </a:r>
              <a:endParaRPr lang="hr-HR">
                <a:effectLst/>
              </a:endParaRPr>
            </a:p>
            <a:p>
              <a:pPr eaLnBrk="1" fontAlgn="auto" latinLnBrk="0" hangingPunct="1"/>
              <a:r>
                <a:rPr lang="hr-HR" sz="1100" baseline="0">
                  <a:solidFill>
                    <a:schemeClr val="dk1"/>
                  </a:solidFill>
                  <a:effectLst/>
                  <a:latin typeface="+mn-lt"/>
                  <a:ea typeface="+mn-ea"/>
                  <a:cs typeface="+mn-cs"/>
                </a:rPr>
                <a:t>Napomena: uplate se uobičajemo označavaju negativnom vrijednošću.</a:t>
              </a:r>
            </a:p>
            <a:p>
              <a:pPr eaLnBrk="1" fontAlgn="auto" latinLnBrk="0" hangingPunct="1"/>
              <a:endParaRPr lang="hr-HR">
                <a:effectLst/>
              </a:endParaRPr>
            </a:p>
            <a:p>
              <a:pPr eaLnBrk="1" fontAlgn="auto" latinLnBrk="0" hangingPunct="1"/>
              <a:r>
                <a:rPr lang="hr-HR" sz="1100" baseline="0">
                  <a:solidFill>
                    <a:schemeClr val="dk1"/>
                  </a:solidFill>
                  <a:effectLst/>
                  <a:latin typeface="+mn-lt"/>
                  <a:ea typeface="+mn-ea"/>
                  <a:cs typeface="+mn-cs"/>
                </a:rPr>
                <a:t>rata R =PMT(kamatna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ako postoji; FV = konačna vrijednost, tj. iznos koji želimo uštedjeti; 0 ili 1 ovisno o tome uplaćujemo li rate krajem ili početkom razdoblja)</a:t>
              </a:r>
              <a:endParaRPr lang="hr-HR">
                <a:effectLst/>
              </a:endParaRPr>
            </a:p>
            <a:p>
              <a:pPr eaLnBrk="1" fontAlgn="auto" latinLnBrk="0" hangingPunct="1"/>
              <a:r>
                <a:rPr lang="hr-HR" sz="1100" baseline="0">
                  <a:solidFill>
                    <a:schemeClr val="dk1"/>
                  </a:solidFill>
                  <a:effectLst/>
                  <a:latin typeface="+mn-lt"/>
                  <a:ea typeface="+mn-ea"/>
                  <a:cs typeface="+mn-cs"/>
                </a:rPr>
                <a:t>Napomena: konačni iznos koji želimo dobiti upisujemo kao pozitivnu vrijednost, a rezultat R će biti negativan.</a:t>
              </a:r>
              <a:endParaRPr lang="hr-HR">
                <a:effectLst/>
              </a:endParaRPr>
            </a:p>
            <a:p>
              <a:endParaRPr lang="hr-HR" sz="1100" b="0" baseline="0">
                <a:solidFill>
                  <a:schemeClr val="dk1"/>
                </a:solidFill>
                <a:effectLst/>
                <a:latin typeface="+mn-lt"/>
                <a:ea typeface="+mn-ea"/>
                <a:cs typeface="+mn-cs"/>
              </a:endParaRPr>
            </a:p>
            <a:p>
              <a:r>
                <a:rPr lang="hr-HR" sz="1100" b="1" baseline="0">
                  <a:solidFill>
                    <a:schemeClr val="dk1"/>
                  </a:solidFill>
                  <a:effectLst/>
                  <a:latin typeface="+mn-lt"/>
                  <a:ea typeface="+mn-ea"/>
                  <a:cs typeface="+mn-cs"/>
                </a:rPr>
                <a:t>Početna vrijednost višekratnih uplata/isplata</a:t>
              </a:r>
            </a:p>
            <a:p>
              <a:endParaRPr lang="hr-HR" sz="1100" b="0" baseline="0">
                <a:solidFill>
                  <a:schemeClr val="dk1"/>
                </a:solidFill>
                <a:effectLst/>
                <a:latin typeface="+mn-lt"/>
                <a:ea typeface="+mn-ea"/>
                <a:cs typeface="+mn-cs"/>
              </a:endParaRPr>
            </a:p>
            <a:p>
              <a:pPr eaLnBrk="1" fontAlgn="auto" latinLnBrk="0" hangingPunct="1"/>
              <a:r>
                <a:rPr lang="hr-HR" sz="1100" i="1" baseline="0">
                  <a:solidFill>
                    <a:schemeClr val="dk1"/>
                  </a:solidFill>
                  <a:effectLst/>
                  <a:latin typeface="+mn-lt"/>
                  <a:ea typeface="+mn-ea"/>
                  <a:cs typeface="+mn-cs"/>
                </a:rPr>
                <a:t>R</a:t>
              </a:r>
              <a:r>
                <a:rPr lang="hr-HR" sz="1100" i="0" baseline="0">
                  <a:solidFill>
                    <a:schemeClr val="dk1"/>
                  </a:solidFill>
                  <a:effectLst/>
                  <a:latin typeface="+mn-lt"/>
                  <a:ea typeface="+mn-ea"/>
                  <a:cs typeface="+mn-cs"/>
                </a:rPr>
                <a:t> = rata</a:t>
              </a:r>
              <a:endParaRPr lang="hr-HR">
                <a:effectLst/>
              </a:endParaRPr>
            </a:p>
            <a:p>
              <a:pPr eaLnBrk="1" fontAlgn="auto" latinLnBrk="0" hangingPunct="1"/>
              <a:r>
                <a:rPr lang="hr-HR" sz="1100" baseline="0">
                  <a:solidFill>
                    <a:schemeClr val="dk1"/>
                  </a:solidFill>
                  <a:effectLst/>
                  <a:latin typeface="+mn-lt"/>
                  <a:ea typeface="+mn-ea"/>
                  <a:cs typeface="+mn-cs"/>
                </a:rPr>
                <a:t> </a:t>
              </a:r>
              <a:endParaRPr lang="hr-HR">
                <a:effectLst/>
              </a:endParaRPr>
            </a:p>
            <a:p>
              <a:pPr eaLnBrk="1" fontAlgn="auto" latinLnBrk="0" hangingPunct="1"/>
              <a:r>
                <a:rPr lang="hr-HR" sz="1100" baseline="0">
                  <a:solidFill>
                    <a:schemeClr val="dk1"/>
                  </a:solidFill>
                  <a:effectLst/>
                  <a:latin typeface="+mn-lt"/>
                  <a:ea typeface="+mn-ea"/>
                  <a:cs typeface="+mn-cs"/>
                </a:rPr>
                <a:t>a) prenumerando (isplate početkom);	početni iznos = </a:t>
              </a:r>
              <a:r>
                <a:rPr lang="hr-HR" sz="1100" i="1" baseline="0">
                  <a:solidFill>
                    <a:schemeClr val="dk1"/>
                  </a:solidFill>
                  <a:effectLst/>
                  <a:latin typeface="+mn-lt"/>
                  <a:ea typeface="+mn-ea"/>
                  <a:cs typeface="+mn-cs"/>
                </a:rPr>
                <a:t>An'</a:t>
              </a:r>
              <a:endParaRPr lang="hr-HR">
                <a:effectLst/>
              </a:endParaRPr>
            </a:p>
            <a:p>
              <a:pPr eaLnBrk="1" fontAlgn="auto" latinLnBrk="0" hangingPunct="1"/>
              <a:r>
                <a:rPr lang="hr-HR" sz="1100" baseline="0">
                  <a:solidFill>
                    <a:schemeClr val="dk1"/>
                  </a:solidFill>
                  <a:effectLst/>
                  <a:latin typeface="+mn-lt"/>
                  <a:ea typeface="+mn-ea"/>
                  <a:cs typeface="+mn-cs"/>
                </a:rPr>
                <a:t>b) postnumerando (isplate krajem);	početni iznos = </a:t>
              </a:r>
              <a:r>
                <a:rPr lang="hr-HR" sz="1100" i="1" baseline="0">
                  <a:solidFill>
                    <a:schemeClr val="dk1"/>
                  </a:solidFill>
                  <a:effectLst/>
                  <a:latin typeface="+mn-lt"/>
                  <a:ea typeface="+mn-ea"/>
                  <a:cs typeface="+mn-cs"/>
                </a:rPr>
                <a:t>An</a:t>
              </a:r>
              <a:endParaRPr lang="hr-HR">
                <a:effectLst/>
              </a:endParaRPr>
            </a:p>
            <a:p>
              <a:pPr eaLnBrk="1" fontAlgn="auto" latinLnBrk="0" hangingPunct="1"/>
              <a:endParaRPr lang="hr-HR" sz="1100" baseline="0">
                <a:solidFill>
                  <a:schemeClr val="dk1"/>
                </a:solidFill>
                <a:effectLst/>
                <a:latin typeface="+mn-lt"/>
                <a:ea typeface="+mn-ea"/>
                <a:cs typeface="+mn-cs"/>
              </a:endParaRPr>
            </a:p>
            <a:p>
              <a:pPr eaLnBrk="1" fontAlgn="auto" latinLnBrk="0" hangingPunct="1"/>
              <a:r>
                <a:rPr lang="hr-HR" sz="1100" baseline="0">
                  <a:solidFill>
                    <a:schemeClr val="dk1"/>
                  </a:solidFill>
                  <a:effectLst/>
                  <a:latin typeface="+mn-lt"/>
                  <a:ea typeface="+mn-ea"/>
                  <a:cs typeface="+mn-cs"/>
                </a:rPr>
                <a:t>Početni iznos =PV(kamatna stopa %; broj razdoblja; rata koju uplaćujemo;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vrijednost ako postoji, to je iznos koji želimo da ostane na kraju; 0 ili 1 ovisno o tome primamo li isplate/rate krajem (postnumerando) ili početkom (prenumarando)  razdoblja)</a:t>
              </a:r>
            </a:p>
            <a:p>
              <a:pPr eaLnBrk="1" fontAlgn="auto" latinLnBrk="0" hangingPunct="1"/>
              <a:endParaRPr lang="hr-HR">
                <a:effectLst/>
              </a:endParaRPr>
            </a:p>
            <a:p>
              <a:r>
                <a:rPr lang="hr-HR" sz="1100" baseline="0">
                  <a:solidFill>
                    <a:schemeClr val="dk1"/>
                  </a:solidFill>
                  <a:effectLst/>
                  <a:latin typeface="+mn-lt"/>
                  <a:ea typeface="+mn-ea"/>
                  <a:cs typeface="+mn-cs"/>
                </a:rPr>
                <a:t>Napomena: uplate se uobičajemo označavaju negativnom vrijednošću, a dobivene isplate pozitivno</a:t>
              </a:r>
            </a:p>
            <a:p>
              <a:pPr eaLnBrk="1" fontAlgn="auto" latinLnBrk="0" hangingPunct="1"/>
              <a:r>
                <a:rPr lang="hr-HR" sz="1100" baseline="0">
                  <a:solidFill>
                    <a:schemeClr val="dk1"/>
                  </a:solidFill>
                  <a:effectLst/>
                  <a:latin typeface="+mn-lt"/>
                  <a:ea typeface="+mn-ea"/>
                  <a:cs typeface="+mn-cs"/>
                </a:rPr>
                <a:t>Rata R=PMT(kamatna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t>
              </a:r>
              <a:r>
                <a:rPr lang="hr-HR" sz="1100" i="1" baseline="0">
                  <a:solidFill>
                    <a:schemeClr val="dk1"/>
                  </a:solidFill>
                  <a:effectLst/>
                  <a:latin typeface="+mn-lt"/>
                  <a:ea typeface="+mn-ea"/>
                  <a:cs typeface="+mn-cs"/>
                </a:rPr>
                <a:t>An</a:t>
              </a:r>
              <a:r>
                <a:rPr lang="hr-HR"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postoji, to je iznos koji želimo da ostane na kraju; 0 ili 1 ovisno o tome uplaćujemo li rate krajem ili početkom razdoblja)</a:t>
              </a:r>
            </a:p>
            <a:p>
              <a:pPr eaLnBrk="1" fontAlgn="auto" latinLnBrk="0" hangingPunct="1"/>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Napomena: ako govorimo</a:t>
              </a:r>
              <a:r>
                <a:rPr lang="hr-HR" sz="1100" baseline="0">
                  <a:solidFill>
                    <a:schemeClr val="dk1"/>
                  </a:solidFill>
                  <a:effectLst/>
                  <a:latin typeface="+mn-lt"/>
                  <a:ea typeface="+mn-ea"/>
                  <a:cs typeface="+mn-cs"/>
                </a:rPr>
                <a:t> o </a:t>
              </a:r>
              <a:r>
                <a:rPr lang="hr-HR" sz="1100" b="1" baseline="0">
                  <a:solidFill>
                    <a:schemeClr val="dk1"/>
                  </a:solidFill>
                  <a:effectLst/>
                  <a:latin typeface="+mn-lt"/>
                  <a:ea typeface="+mn-ea"/>
                  <a:cs typeface="+mn-cs"/>
                </a:rPr>
                <a:t>vječnoj renti (isplate do kraja života) </a:t>
              </a:r>
              <a:r>
                <a:rPr lang="hr-HR" sz="1100" baseline="0">
                  <a:solidFill>
                    <a:schemeClr val="dk1"/>
                  </a:solidFill>
                  <a:effectLst/>
                  <a:latin typeface="+mn-lt"/>
                  <a:ea typeface="+mn-ea"/>
                  <a:cs typeface="+mn-cs"/>
                </a:rPr>
                <a:t>tada je za broj godina uobičajeno staviti 9999 godina.</a:t>
              </a:r>
              <a:endParaRPr lang="hr-HR">
                <a:effectLst/>
              </a:endParaRPr>
            </a:p>
            <a:p>
              <a:endParaRPr lang="hr-HR" sz="1100" b="0" baseline="0">
                <a:solidFill>
                  <a:schemeClr val="dk1"/>
                </a:solidFill>
                <a:effectLst/>
                <a:latin typeface="+mn-lt"/>
                <a:ea typeface="+mn-ea"/>
                <a:cs typeface="+mn-cs"/>
              </a:endParaRPr>
            </a:p>
            <a:p>
              <a:endParaRPr lang="hr-HR" b="0">
                <a:effectLst/>
              </a:endParaRPr>
            </a:p>
          </xdr:txBody>
        </xdr:sp>
      </mc:Fallback>
    </mc:AlternateContent>
    <xdr:clientData/>
  </xdr:twoCellAnchor>
  <xdr:twoCellAnchor>
    <xdr:from>
      <xdr:col>0</xdr:col>
      <xdr:colOff>577850</xdr:colOff>
      <xdr:row>0</xdr:row>
      <xdr:rowOff>101600</xdr:rowOff>
    </xdr:from>
    <xdr:to>
      <xdr:col>12</xdr:col>
      <xdr:colOff>0</xdr:colOff>
      <xdr:row>22</xdr:row>
      <xdr:rowOff>44450</xdr:rowOff>
    </xdr:to>
    <mc:AlternateContent xmlns:mc="http://schemas.openxmlformats.org/markup-compatibility/2006" xmlns:a14="http://schemas.microsoft.com/office/drawing/2010/main">
      <mc:Choice Requires="a14">
        <xdr:sp macro="" textlink="">
          <xdr:nvSpPr>
            <xdr:cNvPr id="3" name="TekstniOkvir 2">
              <a:extLst>
                <a:ext uri="{FF2B5EF4-FFF2-40B4-BE49-F238E27FC236}">
                  <a16:creationId xmlns:a16="http://schemas.microsoft.com/office/drawing/2014/main" id="{AB044F3C-210F-4389-9B40-D5B2B48FB326}"/>
                </a:ext>
              </a:extLst>
            </xdr:cNvPr>
            <xdr:cNvSpPr txBox="1"/>
          </xdr:nvSpPr>
          <xdr:spPr>
            <a:xfrm>
              <a:off x="577850" y="101600"/>
              <a:ext cx="6737350" cy="399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200"/>
                <a:t>click</a:t>
              </a:r>
              <a:r>
                <a:rPr lang="hr-HR" sz="1200" baseline="0"/>
                <a:t> through rate		</a:t>
              </a:r>
              <a14:m>
                <m:oMath xmlns:m="http://schemas.openxmlformats.org/officeDocument/2006/math">
                  <m:r>
                    <a:rPr lang="hr-HR" sz="1200" i="1">
                      <a:solidFill>
                        <a:schemeClr val="dk1"/>
                      </a:solidFill>
                      <a:effectLst/>
                      <a:latin typeface="Cambria Math" panose="02040503050406030204" pitchFamily="18" charset="0"/>
                      <a:ea typeface="+mn-ea"/>
                      <a:cs typeface="+mn-cs"/>
                    </a:rPr>
                    <m:t>𝐶𝑇𝑅</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𝑘𝑙𝑖𝑘𝑜𝑣𝑎</m:t>
                      </m:r>
                    </m:num>
                    <m:den>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𝑖𝑚𝑝𝑟𝑒𝑠𝑖𝑗𝑎</m:t>
                      </m:r>
                    </m:den>
                  </m:f>
                </m:oMath>
              </a14:m>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hr-HR" sz="1200">
                <a:solidFill>
                  <a:schemeClr val="dk1"/>
                </a:solidFill>
                <a:effectLst/>
                <a:latin typeface="+mn-lt"/>
                <a:ea typeface="+mn-ea"/>
                <a:cs typeface="+mn-cs"/>
              </a:endParaRPr>
            </a:p>
            <a:p>
              <a:r>
                <a:rPr lang="hr-HR" sz="1200">
                  <a:solidFill>
                    <a:schemeClr val="dk1"/>
                  </a:solidFill>
                  <a:effectLst/>
                  <a:latin typeface="+mn-lt"/>
                  <a:ea typeface="+mn-ea"/>
                  <a:cs typeface="+mn-cs"/>
                </a:rPr>
                <a:t>Average Cost per Click</a:t>
              </a:r>
              <a:r>
                <a:rPr lang="en-US" sz="1200">
                  <a:solidFill>
                    <a:schemeClr val="dk1"/>
                  </a:solidFill>
                  <a:effectLst/>
                  <a:latin typeface="+mn-lt"/>
                  <a:ea typeface="+mn-ea"/>
                  <a:cs typeface="+mn-cs"/>
                </a:rPr>
                <a:t>	</a:t>
              </a:r>
              <a:r>
                <a:rPr lang="hr-HR" sz="1200">
                  <a:solidFill>
                    <a:schemeClr val="dk1"/>
                  </a:solidFill>
                  <a:effectLst/>
                  <a:latin typeface="+mn-lt"/>
                  <a:ea typeface="+mn-ea"/>
                  <a:cs typeface="+mn-cs"/>
                </a:rPr>
                <a:t>	</a:t>
              </a:r>
              <a14:m>
                <m:oMath xmlns:m="http://schemas.openxmlformats.org/officeDocument/2006/math">
                  <m:r>
                    <a:rPr lang="hr-HR" sz="1200" i="1">
                      <a:solidFill>
                        <a:schemeClr val="dk1"/>
                      </a:solidFill>
                      <a:effectLst/>
                      <a:latin typeface="Cambria Math" panose="02040503050406030204" pitchFamily="18" charset="0"/>
                      <a:ea typeface="+mn-ea"/>
                      <a:cs typeface="+mn-cs"/>
                    </a:rPr>
                    <m:t>𝐴𝑣𝑔</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𝐶𝑃𝐶</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𝑡𝑟𝑜</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𝑎𝑘</m:t>
                      </m:r>
                      <m:r>
                        <a:rPr lang="en-US" sz="1200" b="0" i="1">
                          <a:solidFill>
                            <a:schemeClr val="dk1"/>
                          </a:solidFill>
                          <a:effectLst/>
                          <a:latin typeface="Cambria Math" panose="02040503050406030204" pitchFamily="18" charset="0"/>
                          <a:ea typeface="+mn-ea"/>
                          <a:cs typeface="+mn-cs"/>
                        </a:rPr>
                        <m:t> </m:t>
                      </m:r>
                      <m:r>
                        <a:rPr lang="en-US" sz="1200" b="0" i="1">
                          <a:solidFill>
                            <a:schemeClr val="dk1"/>
                          </a:solidFill>
                          <a:effectLst/>
                          <a:latin typeface="Cambria Math" panose="02040503050406030204" pitchFamily="18" charset="0"/>
                          <a:ea typeface="+mn-ea"/>
                          <a:cs typeface="+mn-cs"/>
                        </a:rPr>
                        <m:t>𝑜𝑔𝑙𝑎</m:t>
                      </m:r>
                      <m:r>
                        <a:rPr lang="en-US" sz="1200" b="0" i="1">
                          <a:solidFill>
                            <a:schemeClr val="dk1"/>
                          </a:solidFill>
                          <a:effectLst/>
                          <a:latin typeface="Cambria Math" panose="02040503050406030204" pitchFamily="18" charset="0"/>
                          <a:ea typeface="+mn-ea"/>
                          <a:cs typeface="+mn-cs"/>
                        </a:rPr>
                        <m:t>š</m:t>
                      </m:r>
                      <m:r>
                        <a:rPr lang="en-US" sz="1200" b="0" i="1">
                          <a:solidFill>
                            <a:schemeClr val="dk1"/>
                          </a:solidFill>
                          <a:effectLst/>
                          <a:latin typeface="Cambria Math" panose="02040503050406030204" pitchFamily="18" charset="0"/>
                          <a:ea typeface="+mn-ea"/>
                          <a:cs typeface="+mn-cs"/>
                        </a:rPr>
                        <m:t>𝑎𝑣𝑎𝑛𝑗𝑎</m:t>
                      </m:r>
                      <m:r>
                        <a:rPr lang="hr-HR" sz="1200" i="1">
                          <a:solidFill>
                            <a:schemeClr val="dk1"/>
                          </a:solidFill>
                          <a:effectLst/>
                          <a:latin typeface="Cambria Math" panose="02040503050406030204" pitchFamily="18" charset="0"/>
                          <a:ea typeface="+mn-ea"/>
                          <a:cs typeface="+mn-cs"/>
                        </a:rPr>
                        <m:t> </m:t>
                      </m:r>
                      <m:r>
                        <a:rPr lang="en-US" sz="1200" b="0" i="1">
                          <a:solidFill>
                            <a:schemeClr val="dk1"/>
                          </a:solidFill>
                          <a:effectLst/>
                          <a:latin typeface="Cambria Math" panose="02040503050406030204" pitchFamily="18" charset="0"/>
                          <a:ea typeface="+mn-ea"/>
                          <a:cs typeface="+mn-cs"/>
                        </a:rPr>
                        <m:t>(</m:t>
                      </m:r>
                      <m:r>
                        <a:rPr lang="hr-HR" sz="1200" i="1">
                          <a:solidFill>
                            <a:schemeClr val="dk1"/>
                          </a:solidFill>
                          <a:effectLst/>
                          <a:latin typeface="Cambria Math" panose="02040503050406030204" pitchFamily="18" charset="0"/>
                          <a:ea typeface="+mn-ea"/>
                          <a:cs typeface="+mn-cs"/>
                        </a:rPr>
                        <m:t>𝑛𝑎</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𝑘𝑙𝑖𝑘𝑜𝑣𝑒</m:t>
                      </m:r>
                      <m:r>
                        <a:rPr lang="en-US" sz="1200" b="0" i="1">
                          <a:solidFill>
                            <a:schemeClr val="dk1"/>
                          </a:solidFill>
                          <a:effectLst/>
                          <a:latin typeface="Cambria Math" panose="02040503050406030204" pitchFamily="18" charset="0"/>
                          <a:ea typeface="+mn-ea"/>
                          <a:cs typeface="+mn-cs"/>
                        </a:rPr>
                        <m:t>)</m:t>
                      </m:r>
                    </m:num>
                    <m:den>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𝑘𝑙𝑖𝑘𝑜𝑣𝑎</m:t>
                      </m:r>
                    </m:den>
                  </m:f>
                </m:oMath>
              </a14:m>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Stopa konverzije (conversion rate)	</a:t>
              </a:r>
              <a14:m>
                <m:oMath xmlns:m="http://schemas.openxmlformats.org/officeDocument/2006/math">
                  <m:r>
                    <a:rPr lang="hr-HR" sz="1200" i="1">
                      <a:solidFill>
                        <a:schemeClr val="dk1"/>
                      </a:solidFill>
                      <a:effectLst/>
                      <a:latin typeface="Cambria Math" panose="02040503050406030204" pitchFamily="18" charset="0"/>
                      <a:ea typeface="+mn-ea"/>
                      <a:cs typeface="+mn-cs"/>
                    </a:rPr>
                    <m:t>𝐶𝑉𝑅</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𝑘𝑜𝑛𝑣𝑒𝑟𝑧𝑖𝑗𝑎</m:t>
                      </m:r>
                    </m:num>
                    <m:den>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𝑘𝑙𝑖𝑘𝑜𝑣𝑎</m:t>
                      </m:r>
                    </m:den>
                  </m:f>
                </m:oMath>
              </a14:m>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Customer aquisition cost		</a:t>
              </a:r>
              <a14:m>
                <m:oMath xmlns:m="http://schemas.openxmlformats.org/officeDocument/2006/math">
                  <m:r>
                    <a:rPr lang="hr-HR" sz="1200" i="1">
                      <a:solidFill>
                        <a:schemeClr val="dk1"/>
                      </a:solidFill>
                      <a:effectLst/>
                      <a:latin typeface="Cambria Math" panose="02040503050406030204" pitchFamily="18" charset="0"/>
                      <a:ea typeface="+mn-ea"/>
                      <a:cs typeface="+mn-cs"/>
                    </a:rPr>
                    <m:t>𝐶𝐴𝐶</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100" i="1">
                          <a:solidFill>
                            <a:schemeClr val="dk1"/>
                          </a:solidFill>
                          <a:effectLst/>
                          <a:latin typeface="Cambria Math" panose="02040503050406030204" pitchFamily="18" charset="0"/>
                          <a:ea typeface="+mn-ea"/>
                          <a:cs typeface="+mn-cs"/>
                        </a:rPr>
                        <m:t>𝑡𝑟𝑜</m:t>
                      </m:r>
                      <m:r>
                        <a:rPr lang="hr-HR" sz="1100" i="1">
                          <a:solidFill>
                            <a:schemeClr val="dk1"/>
                          </a:solidFill>
                          <a:effectLst/>
                          <a:latin typeface="Cambria Math" panose="02040503050406030204" pitchFamily="18" charset="0"/>
                          <a:ea typeface="+mn-ea"/>
                          <a:cs typeface="+mn-cs"/>
                        </a:rPr>
                        <m:t>š</m:t>
                      </m:r>
                      <m:r>
                        <a:rPr lang="hr-HR" sz="1100" i="1">
                          <a:solidFill>
                            <a:schemeClr val="dk1"/>
                          </a:solidFill>
                          <a:effectLst/>
                          <a:latin typeface="Cambria Math" panose="02040503050406030204" pitchFamily="18" charset="0"/>
                          <a:ea typeface="+mn-ea"/>
                          <a:cs typeface="+mn-cs"/>
                        </a:rPr>
                        <m:t>𝑎𝑘</m:t>
                      </m:r>
                      <m:r>
                        <a:rPr lang="en-US" sz="1100" b="0" i="1">
                          <a:solidFill>
                            <a:schemeClr val="dk1"/>
                          </a:solidFill>
                          <a:effectLst/>
                          <a:latin typeface="Cambria Math" panose="02040503050406030204" pitchFamily="18" charset="0"/>
                          <a:ea typeface="+mn-ea"/>
                          <a:cs typeface="+mn-cs"/>
                        </a:rPr>
                        <m:t> </m:t>
                      </m:r>
                      <m:r>
                        <a:rPr lang="en-US" sz="1100" b="0" i="1">
                          <a:solidFill>
                            <a:schemeClr val="dk1"/>
                          </a:solidFill>
                          <a:effectLst/>
                          <a:latin typeface="Cambria Math" panose="02040503050406030204" pitchFamily="18" charset="0"/>
                          <a:ea typeface="+mn-ea"/>
                          <a:cs typeface="+mn-cs"/>
                        </a:rPr>
                        <m:t>𝑜𝑔𝑙𝑎</m:t>
                      </m:r>
                      <m:r>
                        <a:rPr lang="en-US" sz="1100" b="0" i="1">
                          <a:solidFill>
                            <a:schemeClr val="dk1"/>
                          </a:solidFill>
                          <a:effectLst/>
                          <a:latin typeface="Cambria Math" panose="02040503050406030204" pitchFamily="18" charset="0"/>
                          <a:ea typeface="+mn-ea"/>
                          <a:cs typeface="+mn-cs"/>
                        </a:rPr>
                        <m:t>š</m:t>
                      </m:r>
                      <m:r>
                        <a:rPr lang="en-US" sz="1100" b="0" i="1">
                          <a:solidFill>
                            <a:schemeClr val="dk1"/>
                          </a:solidFill>
                          <a:effectLst/>
                          <a:latin typeface="Cambria Math" panose="02040503050406030204" pitchFamily="18" charset="0"/>
                          <a:ea typeface="+mn-ea"/>
                          <a:cs typeface="+mn-cs"/>
                        </a:rPr>
                        <m:t>𝑎𝑣𝑎𝑛𝑗𝑎</m:t>
                      </m:r>
                      <m:r>
                        <a:rPr lang="hr-HR" sz="1100" i="1">
                          <a:solidFill>
                            <a:schemeClr val="dk1"/>
                          </a:solidFill>
                          <a:effectLst/>
                          <a:latin typeface="Cambria Math" panose="02040503050406030204" pitchFamily="18" charset="0"/>
                          <a:ea typeface="+mn-ea"/>
                          <a:cs typeface="+mn-cs"/>
                        </a:rPr>
                        <m:t> </m:t>
                      </m:r>
                      <m:r>
                        <a:rPr lang="en-US" sz="1100" b="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𝑛𝑎</m:t>
                      </m:r>
                      <m:r>
                        <a:rPr lang="hr-HR" sz="1100" i="1">
                          <a:solidFill>
                            <a:schemeClr val="dk1"/>
                          </a:solidFill>
                          <a:effectLst/>
                          <a:latin typeface="Cambria Math" panose="02040503050406030204" pitchFamily="18" charset="0"/>
                          <a:ea typeface="+mn-ea"/>
                          <a:cs typeface="+mn-cs"/>
                        </a:rPr>
                        <m:t> </m:t>
                      </m:r>
                      <m:r>
                        <a:rPr lang="hr-HR" sz="1100" i="1">
                          <a:solidFill>
                            <a:schemeClr val="dk1"/>
                          </a:solidFill>
                          <a:effectLst/>
                          <a:latin typeface="Cambria Math" panose="02040503050406030204" pitchFamily="18" charset="0"/>
                          <a:ea typeface="+mn-ea"/>
                          <a:cs typeface="+mn-cs"/>
                        </a:rPr>
                        <m:t>𝑘𝑙𝑖𝑘𝑜𝑣𝑒</m:t>
                      </m:r>
                      <m:r>
                        <a:rPr lang="en-US" sz="1100" b="0" i="1">
                          <a:solidFill>
                            <a:schemeClr val="dk1"/>
                          </a:solidFill>
                          <a:effectLst/>
                          <a:latin typeface="Cambria Math" panose="02040503050406030204" pitchFamily="18" charset="0"/>
                          <a:ea typeface="+mn-ea"/>
                          <a:cs typeface="+mn-cs"/>
                        </a:rPr>
                        <m:t>)</m:t>
                      </m:r>
                    </m:num>
                    <m:den>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𝑛𝑜𝑣𝑖h</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𝑘𝑙𝑖𝑗𝑒𝑛𝑎𝑡𝑎</m:t>
                      </m:r>
                    </m:den>
                  </m:f>
                </m:oMath>
              </a14:m>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Cost per conversion		</a:t>
              </a:r>
              <a14:m>
                <m:oMath xmlns:m="http://schemas.openxmlformats.org/officeDocument/2006/math">
                  <m:r>
                    <a:rPr lang="hr-HR" sz="1200" i="1">
                      <a:solidFill>
                        <a:schemeClr val="dk1"/>
                      </a:solidFill>
                      <a:effectLst/>
                      <a:latin typeface="Cambria Math" panose="02040503050406030204" pitchFamily="18" charset="0"/>
                      <a:ea typeface="+mn-ea"/>
                      <a:cs typeface="+mn-cs"/>
                    </a:rPr>
                    <m:t>𝐶𝑃𝐶</m:t>
                  </m:r>
                  <m:r>
                    <a:rPr lang="en-US" sz="1200" b="0" i="1">
                      <a:solidFill>
                        <a:schemeClr val="dk1"/>
                      </a:solidFill>
                      <a:effectLst/>
                      <a:latin typeface="Cambria Math" panose="02040503050406030204" pitchFamily="18" charset="0"/>
                      <a:ea typeface="+mn-ea"/>
                      <a:cs typeface="+mn-cs"/>
                    </a:rPr>
                    <m:t>𝑜𝑛</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100" i="1">
                          <a:solidFill>
                            <a:schemeClr val="dk1"/>
                          </a:solidFill>
                          <a:effectLst/>
                          <a:latin typeface="Cambria Math" panose="02040503050406030204" pitchFamily="18" charset="0"/>
                          <a:ea typeface="+mn-ea"/>
                          <a:cs typeface="+mn-cs"/>
                        </a:rPr>
                        <m:t>𝑡𝑟𝑜</m:t>
                      </m:r>
                      <m:r>
                        <a:rPr lang="hr-HR" sz="1100" i="1">
                          <a:solidFill>
                            <a:schemeClr val="dk1"/>
                          </a:solidFill>
                          <a:effectLst/>
                          <a:latin typeface="Cambria Math" panose="02040503050406030204" pitchFamily="18" charset="0"/>
                          <a:ea typeface="+mn-ea"/>
                          <a:cs typeface="+mn-cs"/>
                        </a:rPr>
                        <m:t>š</m:t>
                      </m:r>
                      <m:r>
                        <a:rPr lang="hr-HR" sz="1100" i="1">
                          <a:solidFill>
                            <a:schemeClr val="dk1"/>
                          </a:solidFill>
                          <a:effectLst/>
                          <a:latin typeface="Cambria Math" panose="02040503050406030204" pitchFamily="18" charset="0"/>
                          <a:ea typeface="+mn-ea"/>
                          <a:cs typeface="+mn-cs"/>
                        </a:rPr>
                        <m:t>𝑎𝑘</m:t>
                      </m:r>
                      <m:r>
                        <a:rPr lang="en-US" sz="1100" b="0" i="1">
                          <a:solidFill>
                            <a:schemeClr val="dk1"/>
                          </a:solidFill>
                          <a:effectLst/>
                          <a:latin typeface="Cambria Math" panose="02040503050406030204" pitchFamily="18" charset="0"/>
                          <a:ea typeface="+mn-ea"/>
                          <a:cs typeface="+mn-cs"/>
                        </a:rPr>
                        <m:t> </m:t>
                      </m:r>
                      <m:r>
                        <a:rPr lang="en-US" sz="1100" b="0" i="1">
                          <a:solidFill>
                            <a:schemeClr val="dk1"/>
                          </a:solidFill>
                          <a:effectLst/>
                          <a:latin typeface="Cambria Math" panose="02040503050406030204" pitchFamily="18" charset="0"/>
                          <a:ea typeface="+mn-ea"/>
                          <a:cs typeface="+mn-cs"/>
                        </a:rPr>
                        <m:t>𝑜𝑔𝑙𝑎</m:t>
                      </m:r>
                      <m:r>
                        <a:rPr lang="en-US" sz="1100" b="0" i="1">
                          <a:solidFill>
                            <a:schemeClr val="dk1"/>
                          </a:solidFill>
                          <a:effectLst/>
                          <a:latin typeface="Cambria Math" panose="02040503050406030204" pitchFamily="18" charset="0"/>
                          <a:ea typeface="+mn-ea"/>
                          <a:cs typeface="+mn-cs"/>
                        </a:rPr>
                        <m:t>š</m:t>
                      </m:r>
                      <m:r>
                        <a:rPr lang="en-US" sz="1100" b="0" i="1">
                          <a:solidFill>
                            <a:schemeClr val="dk1"/>
                          </a:solidFill>
                          <a:effectLst/>
                          <a:latin typeface="Cambria Math" panose="02040503050406030204" pitchFamily="18" charset="0"/>
                          <a:ea typeface="+mn-ea"/>
                          <a:cs typeface="+mn-cs"/>
                        </a:rPr>
                        <m:t>𝑎𝑣𝑎𝑛𝑗𝑎</m:t>
                      </m:r>
                      <m:r>
                        <a:rPr lang="hr-HR" sz="1100" i="1">
                          <a:solidFill>
                            <a:schemeClr val="dk1"/>
                          </a:solidFill>
                          <a:effectLst/>
                          <a:latin typeface="Cambria Math" panose="02040503050406030204" pitchFamily="18" charset="0"/>
                          <a:ea typeface="+mn-ea"/>
                          <a:cs typeface="+mn-cs"/>
                        </a:rPr>
                        <m:t> </m:t>
                      </m:r>
                      <m:r>
                        <a:rPr lang="en-US" sz="1100" b="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𝑛𝑎</m:t>
                      </m:r>
                      <m:r>
                        <a:rPr lang="hr-HR" sz="1100" i="1">
                          <a:solidFill>
                            <a:schemeClr val="dk1"/>
                          </a:solidFill>
                          <a:effectLst/>
                          <a:latin typeface="Cambria Math" panose="02040503050406030204" pitchFamily="18" charset="0"/>
                          <a:ea typeface="+mn-ea"/>
                          <a:cs typeface="+mn-cs"/>
                        </a:rPr>
                        <m:t> </m:t>
                      </m:r>
                      <m:r>
                        <a:rPr lang="hr-HR" sz="1100" i="1">
                          <a:solidFill>
                            <a:schemeClr val="dk1"/>
                          </a:solidFill>
                          <a:effectLst/>
                          <a:latin typeface="Cambria Math" panose="02040503050406030204" pitchFamily="18" charset="0"/>
                          <a:ea typeface="+mn-ea"/>
                          <a:cs typeface="+mn-cs"/>
                        </a:rPr>
                        <m:t>𝑘𝑙𝑖𝑘𝑜𝑣𝑒</m:t>
                      </m:r>
                      <m:r>
                        <a:rPr lang="en-US" sz="1100" b="0" i="1">
                          <a:solidFill>
                            <a:schemeClr val="dk1"/>
                          </a:solidFill>
                          <a:effectLst/>
                          <a:latin typeface="Cambria Math" panose="02040503050406030204" pitchFamily="18" charset="0"/>
                          <a:ea typeface="+mn-ea"/>
                          <a:cs typeface="+mn-cs"/>
                        </a:rPr>
                        <m:t>)</m:t>
                      </m:r>
                    </m:num>
                    <m:den>
                      <m:r>
                        <a:rPr lang="hr-HR" sz="1200" i="1">
                          <a:solidFill>
                            <a:schemeClr val="dk1"/>
                          </a:solidFill>
                          <a:effectLst/>
                          <a:latin typeface="Cambria Math" panose="02040503050406030204" pitchFamily="18" charset="0"/>
                          <a:ea typeface="+mn-ea"/>
                          <a:cs typeface="+mn-cs"/>
                        </a:rPr>
                        <m:t>𝑏𝑟𝑜𝑗</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𝑘𝑜𝑛𝑣𝑒𝑟𝑧𝑖𝑗𝑎</m:t>
                      </m:r>
                    </m:den>
                  </m:f>
                </m:oMath>
              </a14:m>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return on ad spend		</a:t>
              </a:r>
              <a14:m>
                <m:oMath xmlns:m="http://schemas.openxmlformats.org/officeDocument/2006/math">
                  <m:r>
                    <a:rPr lang="hr-HR" sz="1200" i="1">
                      <a:solidFill>
                        <a:schemeClr val="dk1"/>
                      </a:solidFill>
                      <a:effectLst/>
                      <a:latin typeface="Cambria Math" panose="02040503050406030204" pitchFamily="18" charset="0"/>
                      <a:ea typeface="+mn-ea"/>
                      <a:cs typeface="+mn-cs"/>
                    </a:rPr>
                    <m:t>𝑅𝑂𝐴𝑆</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200" i="1">
                          <a:solidFill>
                            <a:schemeClr val="dk1"/>
                          </a:solidFill>
                          <a:effectLst/>
                          <a:latin typeface="Cambria Math" panose="02040503050406030204" pitchFamily="18" charset="0"/>
                          <a:ea typeface="+mn-ea"/>
                          <a:cs typeface="+mn-cs"/>
                        </a:rPr>
                        <m:t>𝑢𝑘𝑢𝑝𝑎𝑛</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𝑝𝑟𝑖h𝑜𝑑</m:t>
                      </m:r>
                      <m:r>
                        <a:rPr lang="hr-HR" sz="1200" i="1">
                          <a:solidFill>
                            <a:schemeClr val="dk1"/>
                          </a:solidFill>
                          <a:effectLst/>
                          <a:latin typeface="Cambria Math" panose="02040503050406030204" pitchFamily="18" charset="0"/>
                          <a:ea typeface="+mn-ea"/>
                          <a:cs typeface="+mn-cs"/>
                        </a:rPr>
                        <m:t>−</m:t>
                      </m:r>
                      <m:r>
                        <a:rPr lang="hr-HR" sz="1200" i="1">
                          <a:solidFill>
                            <a:schemeClr val="dk1"/>
                          </a:solidFill>
                          <a:effectLst/>
                          <a:latin typeface="Cambria Math" panose="02040503050406030204" pitchFamily="18" charset="0"/>
                          <a:ea typeface="+mn-ea"/>
                          <a:cs typeface="+mn-cs"/>
                        </a:rPr>
                        <m:t>𝑡𝑟𝑜</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𝑎𝑘</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𝑜𝑔𝑙𝑎</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𝑎𝑣𝑎𝑛𝑗𝑎</m:t>
                      </m:r>
                    </m:num>
                    <m:den>
                      <m:r>
                        <a:rPr lang="hr-HR" sz="1200" i="1">
                          <a:solidFill>
                            <a:schemeClr val="dk1"/>
                          </a:solidFill>
                          <a:effectLst/>
                          <a:latin typeface="Cambria Math" panose="02040503050406030204" pitchFamily="18" charset="0"/>
                          <a:ea typeface="+mn-ea"/>
                          <a:cs typeface="+mn-cs"/>
                        </a:rPr>
                        <m:t>𝑡𝑟𝑜</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𝑎𝑘</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𝑜𝑔𝑙𝑎</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𝑎𝑣𝑎𝑛𝑗𝑎</m:t>
                      </m:r>
                    </m:den>
                  </m:f>
                </m:oMath>
              </a14:m>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r>
                <a:rPr lang="hr-HR" sz="1200">
                  <a:solidFill>
                    <a:schemeClr val="dk1"/>
                  </a:solidFill>
                  <a:effectLst/>
                  <a:latin typeface="+mn-lt"/>
                  <a:ea typeface="+mn-ea"/>
                  <a:cs typeface="+mn-cs"/>
                </a:rPr>
                <a:t>return on investment, povrat ulaganja	</a:t>
              </a:r>
              <a14:m>
                <m:oMath xmlns:m="http://schemas.openxmlformats.org/officeDocument/2006/math">
                  <m:r>
                    <a:rPr lang="hr-HR" sz="1200" i="1">
                      <a:solidFill>
                        <a:schemeClr val="dk1"/>
                      </a:solidFill>
                      <a:effectLst/>
                      <a:latin typeface="Cambria Math" panose="02040503050406030204" pitchFamily="18" charset="0"/>
                      <a:ea typeface="+mn-ea"/>
                      <a:cs typeface="+mn-cs"/>
                    </a:rPr>
                    <m:t>𝑅𝑂𝐼</m:t>
                  </m:r>
                  <m:r>
                    <a:rPr lang="hr-HR" sz="1200" i="1">
                      <a:solidFill>
                        <a:schemeClr val="dk1"/>
                      </a:solidFill>
                      <a:effectLst/>
                      <a:latin typeface="Cambria Math" panose="02040503050406030204" pitchFamily="18" charset="0"/>
                      <a:ea typeface="+mn-ea"/>
                      <a:cs typeface="+mn-cs"/>
                    </a:rPr>
                    <m:t>=</m:t>
                  </m:r>
                  <m:f>
                    <m:fPr>
                      <m:ctrlPr>
                        <a:rPr lang="hr-HR" sz="1200" i="1">
                          <a:solidFill>
                            <a:schemeClr val="dk1"/>
                          </a:solidFill>
                          <a:effectLst/>
                          <a:latin typeface="Cambria Math" panose="02040503050406030204" pitchFamily="18" charset="0"/>
                          <a:ea typeface="+mn-ea"/>
                          <a:cs typeface="+mn-cs"/>
                        </a:rPr>
                      </m:ctrlPr>
                    </m:fPr>
                    <m:num>
                      <m:r>
                        <a:rPr lang="hr-HR" sz="1200" i="1">
                          <a:solidFill>
                            <a:schemeClr val="dk1"/>
                          </a:solidFill>
                          <a:effectLst/>
                          <a:latin typeface="Cambria Math" panose="02040503050406030204" pitchFamily="18" charset="0"/>
                          <a:ea typeface="+mn-ea"/>
                          <a:cs typeface="+mn-cs"/>
                        </a:rPr>
                        <m:t>𝑢𝑘𝑢𝑝𝑎𝑛</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𝑝𝑟𝑖h𝑜𝑑</m:t>
                      </m:r>
                      <m:r>
                        <a:rPr lang="hr-HR" sz="1200" i="1">
                          <a:solidFill>
                            <a:schemeClr val="dk1"/>
                          </a:solidFill>
                          <a:effectLst/>
                          <a:latin typeface="Cambria Math" panose="02040503050406030204" pitchFamily="18" charset="0"/>
                          <a:ea typeface="+mn-ea"/>
                          <a:cs typeface="+mn-cs"/>
                        </a:rPr>
                        <m:t>−</m:t>
                      </m:r>
                      <m:r>
                        <a:rPr lang="hr-HR" sz="1200" i="1">
                          <a:solidFill>
                            <a:schemeClr val="dk1"/>
                          </a:solidFill>
                          <a:effectLst/>
                          <a:latin typeface="Cambria Math" panose="02040503050406030204" pitchFamily="18" charset="0"/>
                          <a:ea typeface="+mn-ea"/>
                          <a:cs typeface="+mn-cs"/>
                        </a:rPr>
                        <m:t>𝑢𝑘𝑢𝑝𝑎𝑛</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𝑡𝑟𝑜</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𝑎𝑘</m:t>
                      </m:r>
                    </m:num>
                    <m:den>
                      <m:r>
                        <a:rPr lang="hr-HR" sz="1200" i="1">
                          <a:solidFill>
                            <a:schemeClr val="dk1"/>
                          </a:solidFill>
                          <a:effectLst/>
                          <a:latin typeface="Cambria Math" panose="02040503050406030204" pitchFamily="18" charset="0"/>
                          <a:ea typeface="+mn-ea"/>
                          <a:cs typeface="+mn-cs"/>
                        </a:rPr>
                        <m:t>𝑢𝑘𝑢𝑝𝑎𝑛</m:t>
                      </m:r>
                      <m:r>
                        <a:rPr lang="hr-HR" sz="1200" i="1">
                          <a:solidFill>
                            <a:schemeClr val="dk1"/>
                          </a:solidFill>
                          <a:effectLst/>
                          <a:latin typeface="Cambria Math" panose="02040503050406030204" pitchFamily="18" charset="0"/>
                          <a:ea typeface="+mn-ea"/>
                          <a:cs typeface="+mn-cs"/>
                        </a:rPr>
                        <m:t> </m:t>
                      </m:r>
                      <m:r>
                        <a:rPr lang="hr-HR" sz="1200" i="1">
                          <a:solidFill>
                            <a:schemeClr val="dk1"/>
                          </a:solidFill>
                          <a:effectLst/>
                          <a:latin typeface="Cambria Math" panose="02040503050406030204" pitchFamily="18" charset="0"/>
                          <a:ea typeface="+mn-ea"/>
                          <a:cs typeface="+mn-cs"/>
                        </a:rPr>
                        <m:t>𝑡𝑟𝑜</m:t>
                      </m:r>
                      <m:r>
                        <a:rPr lang="hr-HR" sz="1200" i="1">
                          <a:solidFill>
                            <a:schemeClr val="dk1"/>
                          </a:solidFill>
                          <a:effectLst/>
                          <a:latin typeface="Cambria Math" panose="02040503050406030204" pitchFamily="18" charset="0"/>
                          <a:ea typeface="+mn-ea"/>
                          <a:cs typeface="+mn-cs"/>
                        </a:rPr>
                        <m:t>š</m:t>
                      </m:r>
                      <m:r>
                        <a:rPr lang="hr-HR" sz="1200" i="1">
                          <a:solidFill>
                            <a:schemeClr val="dk1"/>
                          </a:solidFill>
                          <a:effectLst/>
                          <a:latin typeface="Cambria Math" panose="02040503050406030204" pitchFamily="18" charset="0"/>
                          <a:ea typeface="+mn-ea"/>
                          <a:cs typeface="+mn-cs"/>
                        </a:rPr>
                        <m:t>𝑎𝑘</m:t>
                      </m:r>
                    </m:den>
                  </m:f>
                </m:oMath>
              </a14:m>
              <a:r>
                <a:rPr lang="hr-HR" sz="1200">
                  <a:solidFill>
                    <a:schemeClr val="dk1"/>
                  </a:solidFill>
                  <a:effectLst/>
                  <a:latin typeface="+mn-lt"/>
                  <a:ea typeface="+mn-ea"/>
                  <a:cs typeface="+mn-cs"/>
                </a:rPr>
                <a:t> </a:t>
              </a:r>
            </a:p>
            <a:p>
              <a:endParaRPr lang="hr-HR" sz="1200"/>
            </a:p>
          </xdr:txBody>
        </xdr:sp>
      </mc:Choice>
      <mc:Fallback xmlns="">
        <xdr:sp macro="" textlink="">
          <xdr:nvSpPr>
            <xdr:cNvPr id="3" name="TekstniOkvir 2">
              <a:extLst>
                <a:ext uri="{FF2B5EF4-FFF2-40B4-BE49-F238E27FC236}">
                  <a16:creationId xmlns:a16="http://schemas.microsoft.com/office/drawing/2014/main" id="{AB044F3C-210F-4389-9B40-D5B2B48FB326}"/>
                </a:ext>
              </a:extLst>
            </xdr:cNvPr>
            <xdr:cNvSpPr txBox="1"/>
          </xdr:nvSpPr>
          <xdr:spPr>
            <a:xfrm>
              <a:off x="577850" y="101600"/>
              <a:ext cx="6737350" cy="399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200"/>
                <a:t>click</a:t>
              </a:r>
              <a:r>
                <a:rPr lang="hr-HR" sz="1200" baseline="0"/>
                <a:t> through rate		</a:t>
              </a:r>
              <a:r>
                <a:rPr lang="hr-HR" sz="1200" i="0">
                  <a:solidFill>
                    <a:schemeClr val="dk1"/>
                  </a:solidFill>
                  <a:effectLst/>
                  <a:latin typeface="Cambria Math" panose="02040503050406030204" pitchFamily="18" charset="0"/>
                  <a:ea typeface="+mn-ea"/>
                  <a:cs typeface="+mn-cs"/>
                </a:rPr>
                <a:t>𝐶𝑇𝑅=(𝑏𝑟𝑜𝑗 𝑘𝑙𝑖𝑘𝑜𝑣𝑎)/(𝑏𝑟𝑜𝑗 𝑖𝑚𝑝𝑟𝑒𝑠𝑖𝑗𝑎)</a:t>
              </a:r>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hr-HR" sz="1200">
                <a:solidFill>
                  <a:schemeClr val="dk1"/>
                </a:solidFill>
                <a:effectLst/>
                <a:latin typeface="+mn-lt"/>
                <a:ea typeface="+mn-ea"/>
                <a:cs typeface="+mn-cs"/>
              </a:endParaRPr>
            </a:p>
            <a:p>
              <a:r>
                <a:rPr lang="hr-HR" sz="1200">
                  <a:solidFill>
                    <a:schemeClr val="dk1"/>
                  </a:solidFill>
                  <a:effectLst/>
                  <a:latin typeface="+mn-lt"/>
                  <a:ea typeface="+mn-ea"/>
                  <a:cs typeface="+mn-cs"/>
                </a:rPr>
                <a:t>Average Cost per Click</a:t>
              </a:r>
              <a:r>
                <a:rPr lang="en-US" sz="1200">
                  <a:solidFill>
                    <a:schemeClr val="dk1"/>
                  </a:solidFill>
                  <a:effectLst/>
                  <a:latin typeface="+mn-lt"/>
                  <a:ea typeface="+mn-ea"/>
                  <a:cs typeface="+mn-cs"/>
                </a:rPr>
                <a:t>	</a:t>
              </a:r>
              <a:r>
                <a:rPr lang="hr-HR" sz="1200">
                  <a:solidFill>
                    <a:schemeClr val="dk1"/>
                  </a:solidFill>
                  <a:effectLst/>
                  <a:latin typeface="+mn-lt"/>
                  <a:ea typeface="+mn-ea"/>
                  <a:cs typeface="+mn-cs"/>
                </a:rPr>
                <a:t>	</a:t>
              </a:r>
              <a:r>
                <a:rPr lang="hr-HR" sz="1200" i="0">
                  <a:solidFill>
                    <a:schemeClr val="dk1"/>
                  </a:solidFill>
                  <a:effectLst/>
                  <a:latin typeface="Cambria Math" panose="02040503050406030204" pitchFamily="18" charset="0"/>
                  <a:ea typeface="+mn-ea"/>
                  <a:cs typeface="+mn-cs"/>
                </a:rPr>
                <a:t>𝐴𝑣𝑔. 𝐶𝑃𝐶=( 𝑡𝑟𝑜š𝑎𝑘</a:t>
              </a:r>
              <a:r>
                <a:rPr lang="en-US" sz="1200" b="0" i="0">
                  <a:solidFill>
                    <a:schemeClr val="dk1"/>
                  </a:solidFill>
                  <a:effectLst/>
                  <a:latin typeface="Cambria Math" panose="02040503050406030204" pitchFamily="18" charset="0"/>
                  <a:ea typeface="+mn-ea"/>
                  <a:cs typeface="+mn-cs"/>
                </a:rPr>
                <a:t> 𝑜𝑔𝑙𝑎š𝑎𝑣𝑎𝑛𝑗𝑎</a:t>
              </a:r>
              <a:r>
                <a:rPr lang="hr-HR" sz="1200" i="0">
                  <a:solidFill>
                    <a:schemeClr val="dk1"/>
                  </a:solidFill>
                  <a:effectLst/>
                  <a:latin typeface="Cambria Math" panose="02040503050406030204" pitchFamily="18" charset="0"/>
                  <a:ea typeface="+mn-ea"/>
                  <a:cs typeface="+mn-cs"/>
                </a:rPr>
                <a:t> </a:t>
              </a:r>
              <a:r>
                <a:rPr lang="en-US" sz="1200" b="0" i="0">
                  <a:solidFill>
                    <a:schemeClr val="dk1"/>
                  </a:solidFill>
                  <a:effectLst/>
                  <a:latin typeface="Cambria Math" panose="02040503050406030204" pitchFamily="18" charset="0"/>
                  <a:ea typeface="+mn-ea"/>
                  <a:cs typeface="+mn-cs"/>
                </a:rPr>
                <a:t>(</a:t>
              </a:r>
              <a:r>
                <a:rPr lang="hr-HR" sz="1200" i="0">
                  <a:solidFill>
                    <a:schemeClr val="dk1"/>
                  </a:solidFill>
                  <a:effectLst/>
                  <a:latin typeface="Cambria Math" panose="02040503050406030204" pitchFamily="18" charset="0"/>
                  <a:ea typeface="+mn-ea"/>
                  <a:cs typeface="+mn-cs"/>
                </a:rPr>
                <a:t>𝑛𝑎 𝑘𝑙𝑖𝑘𝑜𝑣𝑒</a:t>
              </a:r>
              <a:r>
                <a:rPr lang="en-US" sz="1200" b="0" i="0">
                  <a:solidFill>
                    <a:schemeClr val="dk1"/>
                  </a:solidFill>
                  <a:effectLst/>
                  <a:latin typeface="Cambria Math" panose="02040503050406030204" pitchFamily="18" charset="0"/>
                  <a:ea typeface="+mn-ea"/>
                  <a:cs typeface="+mn-cs"/>
                </a:rPr>
                <a:t>)</a:t>
              </a:r>
              <a:r>
                <a:rPr lang="hr-HR" sz="1200" b="0" i="0">
                  <a:solidFill>
                    <a:schemeClr val="dk1"/>
                  </a:solidFill>
                  <a:effectLst/>
                  <a:latin typeface="Cambria Math" panose="02040503050406030204" pitchFamily="18" charset="0"/>
                  <a:ea typeface="+mn-ea"/>
                  <a:cs typeface="+mn-cs"/>
                </a:rPr>
                <a:t>)/(</a:t>
              </a:r>
              <a:r>
                <a:rPr lang="hr-HR" sz="1200" i="0">
                  <a:solidFill>
                    <a:schemeClr val="dk1"/>
                  </a:solidFill>
                  <a:effectLst/>
                  <a:latin typeface="Cambria Math" panose="02040503050406030204" pitchFamily="18" charset="0"/>
                  <a:ea typeface="+mn-ea"/>
                  <a:cs typeface="+mn-cs"/>
                </a:rPr>
                <a:t>𝑏𝑟𝑜𝑗 𝑘𝑙𝑖𝑘𝑜𝑣𝑎)</a:t>
              </a:r>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Stopa konverzije (conversion rate)	</a:t>
              </a:r>
              <a:r>
                <a:rPr lang="hr-HR" sz="1200" i="0">
                  <a:solidFill>
                    <a:schemeClr val="dk1"/>
                  </a:solidFill>
                  <a:effectLst/>
                  <a:latin typeface="Cambria Math" panose="02040503050406030204" pitchFamily="18" charset="0"/>
                  <a:ea typeface="+mn-ea"/>
                  <a:cs typeface="+mn-cs"/>
                </a:rPr>
                <a:t>𝐶𝑉𝑅=(𝑏𝑟𝑜𝑗 𝑘𝑜𝑛𝑣𝑒𝑟𝑧𝑖𝑗𝑎)/(𝑏𝑟𝑜𝑗 𝑘𝑙𝑖𝑘𝑜𝑣𝑎)</a:t>
              </a:r>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Customer aquisition cost		</a:t>
              </a:r>
              <a:r>
                <a:rPr lang="hr-HR" sz="1200" i="0">
                  <a:solidFill>
                    <a:schemeClr val="dk1"/>
                  </a:solidFill>
                  <a:effectLst/>
                  <a:latin typeface="Cambria Math" panose="02040503050406030204" pitchFamily="18" charset="0"/>
                  <a:ea typeface="+mn-ea"/>
                  <a:cs typeface="+mn-cs"/>
                </a:rPr>
                <a:t>𝐶𝐴𝐶=(</a:t>
              </a:r>
              <a:r>
                <a:rPr lang="hr-HR" sz="1100" i="0">
                  <a:solidFill>
                    <a:schemeClr val="dk1"/>
                  </a:solidFill>
                  <a:effectLst/>
                  <a:latin typeface="Cambria Math" panose="02040503050406030204" pitchFamily="18" charset="0"/>
                  <a:ea typeface="+mn-ea"/>
                  <a:cs typeface="+mn-cs"/>
                </a:rPr>
                <a:t>𝑡𝑟𝑜š𝑎𝑘</a:t>
              </a:r>
              <a:r>
                <a:rPr lang="en-US" sz="1100" b="0" i="0">
                  <a:solidFill>
                    <a:schemeClr val="dk1"/>
                  </a:solidFill>
                  <a:effectLst/>
                  <a:latin typeface="Cambria Math" panose="02040503050406030204" pitchFamily="18" charset="0"/>
                  <a:ea typeface="+mn-ea"/>
                  <a:cs typeface="+mn-cs"/>
                </a:rPr>
                <a:t> 𝑜𝑔𝑙𝑎š𝑎𝑣𝑎𝑛𝑗𝑎</a:t>
              </a:r>
              <a:r>
                <a:rPr lang="hr-HR" sz="110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hr-HR" sz="1100" i="0">
                  <a:solidFill>
                    <a:schemeClr val="dk1"/>
                  </a:solidFill>
                  <a:effectLst/>
                  <a:latin typeface="Cambria Math" panose="02040503050406030204" pitchFamily="18" charset="0"/>
                  <a:ea typeface="+mn-ea"/>
                  <a:cs typeface="+mn-cs"/>
                </a:rPr>
                <a:t>𝑛𝑎 𝑘𝑙𝑖𝑘𝑜𝑣𝑒</a:t>
              </a:r>
              <a:r>
                <a:rPr lang="en-US" sz="1100" b="0" i="0">
                  <a:solidFill>
                    <a:schemeClr val="dk1"/>
                  </a:solidFill>
                  <a:effectLst/>
                  <a:latin typeface="Cambria Math" panose="02040503050406030204" pitchFamily="18" charset="0"/>
                  <a:ea typeface="+mn-ea"/>
                  <a:cs typeface="+mn-cs"/>
                </a:rPr>
                <a:t>)</a:t>
              </a:r>
              <a:r>
                <a:rPr lang="hr-HR" sz="1200" b="0" i="0">
                  <a:solidFill>
                    <a:schemeClr val="dk1"/>
                  </a:solidFill>
                  <a:effectLst/>
                  <a:latin typeface="Cambria Math" panose="02040503050406030204" pitchFamily="18" charset="0"/>
                  <a:ea typeface="+mn-ea"/>
                  <a:cs typeface="+mn-cs"/>
                </a:rPr>
                <a:t>)/(</a:t>
              </a:r>
              <a:r>
                <a:rPr lang="hr-HR" sz="1200" i="0">
                  <a:solidFill>
                    <a:schemeClr val="dk1"/>
                  </a:solidFill>
                  <a:effectLst/>
                  <a:latin typeface="Cambria Math" panose="02040503050406030204" pitchFamily="18" charset="0"/>
                  <a:ea typeface="+mn-ea"/>
                  <a:cs typeface="+mn-cs"/>
                </a:rPr>
                <a:t>𝑏𝑟𝑜𝑗 𝑛𝑜𝑣𝑖ℎ 𝑘𝑙𝑖𝑗𝑒𝑛𝑎𝑡𝑎)</a:t>
              </a:r>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Cost per conversion		</a:t>
              </a:r>
              <a:r>
                <a:rPr lang="hr-HR" sz="1200" i="0">
                  <a:solidFill>
                    <a:schemeClr val="dk1"/>
                  </a:solidFill>
                  <a:effectLst/>
                  <a:latin typeface="Cambria Math" panose="02040503050406030204" pitchFamily="18" charset="0"/>
                  <a:ea typeface="+mn-ea"/>
                  <a:cs typeface="+mn-cs"/>
                </a:rPr>
                <a:t>𝐶𝑃𝐶</a:t>
              </a:r>
              <a:r>
                <a:rPr lang="en-US" sz="1200" b="0" i="0">
                  <a:solidFill>
                    <a:schemeClr val="dk1"/>
                  </a:solidFill>
                  <a:effectLst/>
                  <a:latin typeface="Cambria Math" panose="02040503050406030204" pitchFamily="18" charset="0"/>
                  <a:ea typeface="+mn-ea"/>
                  <a:cs typeface="+mn-cs"/>
                </a:rPr>
                <a:t>𝑜𝑛</a:t>
              </a:r>
              <a:r>
                <a:rPr lang="hr-HR" sz="1200" i="0">
                  <a:solidFill>
                    <a:schemeClr val="dk1"/>
                  </a:solidFill>
                  <a:effectLst/>
                  <a:latin typeface="Cambria Math" panose="02040503050406030204" pitchFamily="18" charset="0"/>
                  <a:ea typeface="+mn-ea"/>
                  <a:cs typeface="+mn-cs"/>
                </a:rPr>
                <a:t>=(</a:t>
              </a:r>
              <a:r>
                <a:rPr lang="hr-HR" sz="1100" i="0">
                  <a:solidFill>
                    <a:schemeClr val="dk1"/>
                  </a:solidFill>
                  <a:effectLst/>
                  <a:latin typeface="Cambria Math" panose="02040503050406030204" pitchFamily="18" charset="0"/>
                  <a:ea typeface="+mn-ea"/>
                  <a:cs typeface="+mn-cs"/>
                </a:rPr>
                <a:t>𝑡𝑟𝑜š𝑎𝑘</a:t>
              </a:r>
              <a:r>
                <a:rPr lang="en-US" sz="1100" b="0" i="0">
                  <a:solidFill>
                    <a:schemeClr val="dk1"/>
                  </a:solidFill>
                  <a:effectLst/>
                  <a:latin typeface="Cambria Math" panose="02040503050406030204" pitchFamily="18" charset="0"/>
                  <a:ea typeface="+mn-ea"/>
                  <a:cs typeface="+mn-cs"/>
                </a:rPr>
                <a:t> 𝑜𝑔𝑙𝑎š𝑎𝑣𝑎𝑛𝑗𝑎</a:t>
              </a:r>
              <a:r>
                <a:rPr lang="hr-HR" sz="110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hr-HR" sz="1100" i="0">
                  <a:solidFill>
                    <a:schemeClr val="dk1"/>
                  </a:solidFill>
                  <a:effectLst/>
                  <a:latin typeface="Cambria Math" panose="02040503050406030204" pitchFamily="18" charset="0"/>
                  <a:ea typeface="+mn-ea"/>
                  <a:cs typeface="+mn-cs"/>
                </a:rPr>
                <a:t>𝑛𝑎 𝑘𝑙𝑖𝑘𝑜𝑣𝑒</a:t>
              </a:r>
              <a:r>
                <a:rPr lang="en-US" sz="1100" b="0" i="0">
                  <a:solidFill>
                    <a:schemeClr val="dk1"/>
                  </a:solidFill>
                  <a:effectLst/>
                  <a:latin typeface="Cambria Math" panose="02040503050406030204" pitchFamily="18" charset="0"/>
                  <a:ea typeface="+mn-ea"/>
                  <a:cs typeface="+mn-cs"/>
                </a:rPr>
                <a:t>)</a:t>
              </a:r>
              <a:r>
                <a:rPr lang="hr-HR" sz="1200" b="0" i="0">
                  <a:solidFill>
                    <a:schemeClr val="dk1"/>
                  </a:solidFill>
                  <a:effectLst/>
                  <a:latin typeface="Cambria Math" panose="02040503050406030204" pitchFamily="18" charset="0"/>
                  <a:ea typeface="+mn-ea"/>
                  <a:cs typeface="+mn-cs"/>
                </a:rPr>
                <a:t>)/(</a:t>
              </a:r>
              <a:r>
                <a:rPr lang="hr-HR" sz="1200" i="0">
                  <a:solidFill>
                    <a:schemeClr val="dk1"/>
                  </a:solidFill>
                  <a:effectLst/>
                  <a:latin typeface="Cambria Math" panose="02040503050406030204" pitchFamily="18" charset="0"/>
                  <a:ea typeface="+mn-ea"/>
                  <a:cs typeface="+mn-cs"/>
                </a:rPr>
                <a:t>𝑏𝑟𝑜𝑗 𝑘𝑜𝑛𝑣𝑒𝑟𝑧𝑖𝑗𝑎)</a:t>
              </a:r>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200">
                  <a:solidFill>
                    <a:schemeClr val="dk1"/>
                  </a:solidFill>
                  <a:effectLst/>
                  <a:latin typeface="+mn-lt"/>
                  <a:ea typeface="+mn-ea"/>
                  <a:cs typeface="+mn-cs"/>
                </a:rPr>
                <a:t>return on ad spend		</a:t>
              </a:r>
              <a:r>
                <a:rPr lang="hr-HR" sz="1200" i="0">
                  <a:solidFill>
                    <a:schemeClr val="dk1"/>
                  </a:solidFill>
                  <a:effectLst/>
                  <a:latin typeface="Cambria Math" panose="02040503050406030204" pitchFamily="18" charset="0"/>
                  <a:ea typeface="+mn-ea"/>
                  <a:cs typeface="+mn-cs"/>
                </a:rPr>
                <a:t>𝑅𝑂𝐴𝑆=(𝑢𝑘𝑢𝑝𝑎𝑛 𝑝𝑟𝑖ℎ𝑜𝑑−𝑡𝑟𝑜š𝑎𝑘 𝑜𝑔𝑙𝑎š𝑎𝑣𝑎𝑛𝑗𝑎)/(𝑡𝑟𝑜š𝑎𝑘 𝑜𝑔𝑙𝑎š𝑎𝑣𝑎𝑛𝑗𝑎)</a:t>
              </a:r>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endParaRPr lang="hr-HR" sz="1200">
                <a:solidFill>
                  <a:schemeClr val="dk1"/>
                </a:solidFill>
                <a:effectLst/>
                <a:latin typeface="+mn-lt"/>
                <a:ea typeface="+mn-ea"/>
                <a:cs typeface="+mn-cs"/>
              </a:endParaRPr>
            </a:p>
            <a:p>
              <a:r>
                <a:rPr lang="hr-HR" sz="1200">
                  <a:solidFill>
                    <a:schemeClr val="dk1"/>
                  </a:solidFill>
                  <a:effectLst/>
                  <a:latin typeface="+mn-lt"/>
                  <a:ea typeface="+mn-ea"/>
                  <a:cs typeface="+mn-cs"/>
                </a:rPr>
                <a:t>return on investment, povrat ulaganja	</a:t>
              </a:r>
              <a:r>
                <a:rPr lang="hr-HR" sz="1200" i="0">
                  <a:solidFill>
                    <a:schemeClr val="dk1"/>
                  </a:solidFill>
                  <a:effectLst/>
                  <a:latin typeface="Cambria Math" panose="02040503050406030204" pitchFamily="18" charset="0"/>
                  <a:ea typeface="+mn-ea"/>
                  <a:cs typeface="+mn-cs"/>
                </a:rPr>
                <a:t>𝑅𝑂𝐼=(𝑢𝑘𝑢𝑝𝑎𝑛 𝑝𝑟𝑖ℎ𝑜𝑑−𝑢𝑘𝑢𝑝𝑎𝑛 𝑡𝑟𝑜š𝑎𝑘)/(𝑢𝑘𝑢𝑝𝑎𝑛 𝑡𝑟𝑜š𝑎𝑘)</a:t>
              </a:r>
              <a:r>
                <a:rPr lang="hr-HR" sz="1200">
                  <a:solidFill>
                    <a:schemeClr val="dk1"/>
                  </a:solidFill>
                  <a:effectLst/>
                  <a:latin typeface="+mn-lt"/>
                  <a:ea typeface="+mn-ea"/>
                  <a:cs typeface="+mn-cs"/>
                </a:rPr>
                <a:t> </a:t>
              </a:r>
            </a:p>
            <a:p>
              <a:endParaRPr lang="hr-HR" sz="1200"/>
            </a:p>
          </xdr:txBody>
        </xdr:sp>
      </mc:Fallback>
    </mc:AlternateContent>
    <xdr:clientData/>
  </xdr:twoCellAnchor>
  <xdr:twoCellAnchor>
    <xdr:from>
      <xdr:col>1</xdr:col>
      <xdr:colOff>0</xdr:colOff>
      <xdr:row>91</xdr:row>
      <xdr:rowOff>0</xdr:rowOff>
    </xdr:from>
    <xdr:to>
      <xdr:col>12</xdr:col>
      <xdr:colOff>47798</xdr:colOff>
      <xdr:row>129</xdr:row>
      <xdr:rowOff>0</xdr:rowOff>
    </xdr:to>
    <mc:AlternateContent xmlns:mc="http://schemas.openxmlformats.org/markup-compatibility/2006" xmlns:a14="http://schemas.microsoft.com/office/drawing/2010/main">
      <mc:Choice Requires="a14">
        <xdr:sp macro="" textlink="">
          <xdr:nvSpPr>
            <xdr:cNvPr id="4" name="TekstniOkvir 2">
              <a:extLst>
                <a:ext uri="{FF2B5EF4-FFF2-40B4-BE49-F238E27FC236}">
                  <a16:creationId xmlns:a16="http://schemas.microsoft.com/office/drawing/2014/main" id="{2C201ACC-7E2F-4D0A-94E4-81CA675A8BEF}"/>
                </a:ext>
              </a:extLst>
            </xdr:cNvPr>
            <xdr:cNvSpPr txBox="1"/>
          </xdr:nvSpPr>
          <xdr:spPr>
            <a:xfrm>
              <a:off x="609600" y="16757650"/>
              <a:ext cx="6753398" cy="699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600" b="1"/>
                <a:t>Upute za 3. ishod:</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Razlika zajam i kredit: Kredit je posudba </a:t>
              </a:r>
              <a:r>
                <a:rPr lang="hr-HR" sz="1100" b="1" i="0" baseline="0">
                  <a:solidFill>
                    <a:schemeClr val="dk1"/>
                  </a:solidFill>
                  <a:effectLst/>
                  <a:latin typeface="+mn-lt"/>
                  <a:ea typeface="+mn-ea"/>
                  <a:cs typeface="+mn-cs"/>
                </a:rPr>
                <a:t>novca</a:t>
              </a:r>
              <a:r>
                <a:rPr lang="hr-HR" sz="1100" i="0" baseline="0">
                  <a:solidFill>
                    <a:schemeClr val="dk1"/>
                  </a:solidFill>
                  <a:effectLst/>
                  <a:latin typeface="+mn-lt"/>
                  <a:ea typeface="+mn-ea"/>
                  <a:cs typeface="+mn-cs"/>
                </a:rPr>
                <a:t> od </a:t>
              </a:r>
              <a:r>
                <a:rPr lang="hr-HR" sz="1100" b="1" i="0" baseline="0">
                  <a:solidFill>
                    <a:schemeClr val="dk1"/>
                  </a:solidFill>
                  <a:effectLst/>
                  <a:latin typeface="+mn-lt"/>
                  <a:ea typeface="+mn-ea"/>
                  <a:cs typeface="+mn-cs"/>
                </a:rPr>
                <a:t>banke</a:t>
              </a:r>
              <a:r>
                <a:rPr lang="hr-HR" sz="1100" i="0" baseline="0">
                  <a:solidFill>
                    <a:schemeClr val="dk1"/>
                  </a:solidFill>
                  <a:effectLst/>
                  <a:latin typeface="+mn-lt"/>
                  <a:ea typeface="+mn-ea"/>
                  <a:cs typeface="+mn-cs"/>
                </a:rPr>
                <a:t> uz </a:t>
              </a:r>
              <a:r>
                <a:rPr lang="hr-HR" sz="1100" b="1" i="0" baseline="0">
                  <a:solidFill>
                    <a:schemeClr val="dk1"/>
                  </a:solidFill>
                  <a:effectLst/>
                  <a:latin typeface="+mn-lt"/>
                  <a:ea typeface="+mn-ea"/>
                  <a:cs typeface="+mn-cs"/>
                </a:rPr>
                <a:t>određenu kamatu</a:t>
              </a:r>
              <a:r>
                <a:rPr lang="hr-HR" sz="1100" i="0" baseline="0">
                  <a:solidFill>
                    <a:schemeClr val="dk1"/>
                  </a:solidFill>
                  <a:effectLst/>
                  <a:latin typeface="+mn-lt"/>
                  <a:ea typeface="+mn-ea"/>
                  <a:cs typeface="+mn-cs"/>
                </a:rPr>
                <a:t>. Zajam je bilo kakva pozajmica, npr. posudba novca od osiguravajuće kuće ili nekog predmeta od bilo koje fizičke ili pravne osobe. Zajam može biti vraćen uz kamatu, ali i ne mora. Svaki kredit je zajam, ali obrnuto ne vrijedi.</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Mi nećemo raditi razliku između zajma i kredita, već ćemo se baviti načinom njihove otplate.</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Najčešća metoda otplate je </a:t>
              </a:r>
              <a:r>
                <a:rPr lang="hr-HR" sz="1100" b="1" i="0" baseline="0">
                  <a:solidFill>
                    <a:schemeClr val="dk1"/>
                  </a:solidFill>
                  <a:effectLst/>
                  <a:latin typeface="+mn-lt"/>
                  <a:ea typeface="+mn-ea"/>
                  <a:cs typeface="+mn-cs"/>
                </a:rPr>
                <a:t>metoda jednakim anuitetima</a:t>
              </a:r>
              <a:r>
                <a:rPr lang="hr-HR" sz="1100" i="0" baseline="0">
                  <a:solidFill>
                    <a:schemeClr val="dk1"/>
                  </a:solidFill>
                  <a:effectLst/>
                  <a:latin typeface="+mn-lt"/>
                  <a:ea typeface="+mn-ea"/>
                  <a:cs typeface="+mn-cs"/>
                </a:rPr>
                <a:t>/obrocima.</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a14:m>
              <a:r>
                <a:rPr lang="hr-HR" sz="1100" i="0" baseline="0">
                  <a:solidFill>
                    <a:schemeClr val="dk1"/>
                  </a:solidFill>
                  <a:effectLst/>
                  <a:latin typeface="+mn-lt"/>
                  <a:ea typeface="+mn-ea"/>
                  <a:cs typeface="+mn-cs"/>
                </a:rPr>
                <a:t> iznos zajma/kredita, glavnica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𝑎</m:t>
                  </m:r>
                </m:oMath>
              </a14:m>
              <a:r>
                <a:rPr lang="hr-HR" sz="1100" i="0" baseline="0">
                  <a:solidFill>
                    <a:schemeClr val="dk1"/>
                  </a:solidFill>
                  <a:effectLst/>
                  <a:latin typeface="+mn-lt"/>
                  <a:ea typeface="+mn-ea"/>
                  <a:cs typeface="+mn-cs"/>
                </a:rPr>
                <a:t> iznos anuiteta/obroka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𝑛</m:t>
                  </m:r>
                </m:oMath>
              </a14:m>
              <a:r>
                <a:rPr lang="hr-HR" sz="1100" i="0" baseline="0">
                  <a:solidFill>
                    <a:schemeClr val="dk1"/>
                  </a:solidFill>
                  <a:effectLst/>
                  <a:latin typeface="+mn-lt"/>
                  <a:ea typeface="+mn-ea"/>
                  <a:cs typeface="+mn-cs"/>
                </a:rPr>
                <a:t> razdoblje otplate (broj godina)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godišnja kamatna stopa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𝑟</m:t>
                  </m:r>
                </m:oMath>
              </a14:m>
              <a:r>
                <a:rPr lang="hr-HR" sz="1100" i="0" baseline="0">
                  <a:solidFill>
                    <a:schemeClr val="dk1"/>
                  </a:solidFill>
                  <a:effectLst/>
                  <a:latin typeface="+mn-lt"/>
                  <a:ea typeface="+mn-ea"/>
                  <a:cs typeface="+mn-cs"/>
                </a:rPr>
                <a:t> godišnji kamatni faktor</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kamata u k-tom razdoblju otplate</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otplatna kvota (otplata glavnice) u k-tom otplatnom razdoblju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Svaki anuitet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𝑎</m:t>
                  </m:r>
                </m:oMath>
              </a14:m>
              <a:r>
                <a:rPr lang="hr-HR" sz="1100" i="0" baseline="0">
                  <a:solidFill>
                    <a:schemeClr val="dk1"/>
                  </a:solidFill>
                  <a:effectLst/>
                  <a:latin typeface="+mn-lt"/>
                  <a:ea typeface="+mn-ea"/>
                  <a:cs typeface="+mn-cs"/>
                </a:rPr>
                <a:t> sastoji se od 2 dijela: otplate kamate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i otplatne kvote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Za posuđen iznos zajma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a14:m>
              <a:r>
                <a:rPr lang="hr-HR" sz="1100" i="0" baseline="0">
                  <a:solidFill>
                    <a:schemeClr val="dk1"/>
                  </a:solidFill>
                  <a:effectLst/>
                  <a:latin typeface="+mn-lt"/>
                  <a:ea typeface="+mn-ea"/>
                  <a:cs typeface="+mn-cs"/>
                </a:rPr>
                <a:t>, zadanu kamatnu stopu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broj razdoblja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𝑛</m:t>
                  </m:r>
                </m:oMath>
              </a14:m>
              <a:r>
                <a:rPr lang="hr-HR" sz="1100" i="0" baseline="0">
                  <a:solidFill>
                    <a:schemeClr val="dk1"/>
                  </a:solidFill>
                  <a:effectLst/>
                  <a:latin typeface="+mn-lt"/>
                  <a:ea typeface="+mn-ea"/>
                  <a:cs typeface="+mn-cs"/>
                </a:rPr>
                <a:t>, anuitet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𝑎</m:t>
                  </m:r>
                </m:oMath>
              </a14:m>
              <a:r>
                <a:rPr lang="hr-HR" sz="1100" i="0" baseline="0">
                  <a:solidFill>
                    <a:schemeClr val="dk1"/>
                  </a:solidFill>
                  <a:effectLst/>
                  <a:latin typeface="+mn-lt"/>
                  <a:ea typeface="+mn-ea"/>
                  <a:cs typeface="+mn-cs"/>
                </a:rPr>
                <a:t> računa se izrazom</a:t>
              </a:r>
            </a:p>
            <a:p>
              <a:pPr marL="0" marR="0" lvl="0" indent="0" defTabSz="914400" eaLnBrk="1" fontAlgn="auto" latinLnBrk="0" hangingPunct="1">
                <a:lnSpc>
                  <a:spcPct val="100000"/>
                </a:lnSpc>
                <a:spcBef>
                  <a:spcPts val="0"/>
                </a:spcBef>
                <a:spcAft>
                  <a:spcPts val="0"/>
                </a:spcAft>
                <a:buClrTx/>
                <a:buSzTx/>
                <a:buFontTx/>
                <a:buNone/>
                <a:tabLst/>
                <a:defRPr/>
              </a:pPr>
              <a:r>
                <a:rPr lang="hr-HR" sz="1100" b="0" baseline="0">
                  <a:solidFill>
                    <a:schemeClr val="dk1"/>
                  </a:solidFill>
                  <a:effectLst/>
                  <a:ea typeface="+mn-ea"/>
                  <a:cs typeface="+mn-cs"/>
                </a:rPr>
                <a:t>a</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m:rPr>
                      <m:nor/>
                    </m:rPr>
                    <a:rPr lang="hr-HR" sz="1100" i="0" baseline="0">
                      <a:solidFill>
                        <a:schemeClr val="dk1"/>
                      </a:solidFill>
                      <a:effectLst/>
                      <a:latin typeface="+mn-lt"/>
                      <a:ea typeface="+mn-ea"/>
                      <a:cs typeface="+mn-cs"/>
                    </a:rPr>
                    <m:t> </m:t>
                  </m:r>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m:t>
                      </m:r>
                      <m:d>
                        <m:dPr>
                          <m:ctrlPr>
                            <a:rPr lang="hr-HR" sz="1100" b="0" i="1" baseline="0">
                              <a:solidFill>
                                <a:schemeClr val="dk1"/>
                              </a:solidFill>
                              <a:effectLst/>
                              <a:latin typeface="Cambria Math" panose="02040503050406030204" pitchFamily="18" charset="0"/>
                              <a:ea typeface="+mn-ea"/>
                              <a:cs typeface="+mn-cs"/>
                            </a:rPr>
                          </m:ctrlPr>
                        </m:dPr>
                        <m:e>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−1</m:t>
                          </m:r>
                        </m:e>
                      </m:d>
                    </m:num>
                    <m:den>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−1</m:t>
                      </m:r>
                    </m:den>
                  </m:f>
                </m:oMath>
              </a14:m>
              <a:r>
                <a:rPr lang="hr-HR" sz="1100" i="0" baseline="0">
                  <a:solidFill>
                    <a:schemeClr val="dk1"/>
                  </a:solidFill>
                  <a:effectLst/>
                  <a:latin typeface="+mn-lt"/>
                  <a:ea typeface="+mn-ea"/>
                  <a:cs typeface="+mn-cs"/>
                </a:rPr>
                <a:t>. Uočite identičan izraz za početnu vrijednost više uplata/isplata postnumerando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𝑅</m:t>
                  </m:r>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𝐴</m:t>
                      </m:r>
                    </m:e>
                    <m:sub>
                      <m:r>
                        <a:rPr lang="hr-HR" sz="1100" b="0" i="1" baseline="0">
                          <a:solidFill>
                            <a:schemeClr val="dk1"/>
                          </a:solidFill>
                          <a:effectLst/>
                          <a:latin typeface="Cambria Math" panose="02040503050406030204" pitchFamily="18" charset="0"/>
                          <a:ea typeface="+mn-ea"/>
                          <a:cs typeface="+mn-cs"/>
                        </a:rPr>
                        <m:t>𝑛</m:t>
                      </m:r>
                    </m:sub>
                  </m:sSub>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m:t>
                      </m:r>
                      <m:d>
                        <m:dPr>
                          <m:ctrlPr>
                            <a:rPr lang="hr-HR" sz="1100" b="0" i="1" baseline="0">
                              <a:solidFill>
                                <a:schemeClr val="dk1"/>
                              </a:solidFill>
                              <a:effectLst/>
                              <a:latin typeface="Cambria Math" panose="02040503050406030204" pitchFamily="18" charset="0"/>
                              <a:ea typeface="+mn-ea"/>
                              <a:cs typeface="+mn-cs"/>
                            </a:rPr>
                          </m:ctrlPr>
                        </m:dPr>
                        <m:e>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−1</m:t>
                          </m:r>
                        </m:e>
                      </m:d>
                    </m:num>
                    <m:den>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−1</m:t>
                      </m:r>
                    </m:den>
                  </m:f>
                </m:oMath>
              </a14:m>
              <a:r>
                <a:rPr lang="hr-HR" sz="1100" i="0" baseline="0">
                  <a:solidFill>
                    <a:schemeClr val="dk1"/>
                  </a:solidFill>
                  <a:effectLst/>
                  <a:latin typeface="+mn-lt"/>
                  <a:ea typeface="+mn-ea"/>
                  <a:cs typeface="+mn-cs"/>
                </a:rPr>
                <a:t>. I kod zajma također imamo veliki početni iznos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a14:m>
              <a:r>
                <a:rPr lang="hr-HR" sz="1100" i="0" baseline="0">
                  <a:solidFill>
                    <a:schemeClr val="dk1"/>
                  </a:solidFill>
                  <a:effectLst/>
                  <a:latin typeface="+mn-lt"/>
                  <a:ea typeface="+mn-ea"/>
                  <a:cs typeface="+mn-cs"/>
                </a:rPr>
                <a:t> koji vraćamo u više jednakih obroka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𝑎</m:t>
                  </m:r>
                </m:oMath>
              </a14:m>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U excelu se vrijednost anuiteta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𝑎</m:t>
                  </m:r>
                </m:oMath>
              </a14:m>
              <a:r>
                <a:rPr lang="hr-HR" sz="1100" i="0" baseline="0">
                  <a:solidFill>
                    <a:schemeClr val="dk1"/>
                  </a:solidFill>
                  <a:effectLst/>
                  <a:latin typeface="+mn-lt"/>
                  <a:ea typeface="+mn-ea"/>
                  <a:cs typeface="+mn-cs"/>
                </a:rPr>
                <a:t> računa baš poput iznosa jednake rate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𝑅</m:t>
                  </m:r>
                </m:oMath>
              </a14:m>
              <a:r>
                <a:rPr lang="hr-HR" sz="1100" i="0" baseline="0">
                  <a:solidFill>
                    <a:schemeClr val="dk1"/>
                  </a:solidFill>
                  <a:effectLst/>
                  <a:latin typeface="+mn-lt"/>
                  <a:ea typeface="+mn-ea"/>
                  <a:cs typeface="+mn-cs"/>
                </a:rPr>
                <a:t> u prethodnoj lekciji.</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Koristimo naredbu PAYMENT i i upisujemo 5 podataka =PMT(kamatna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m:rPr>
                      <m:nor/>
                    </m:rPr>
                    <a:rPr lang="hr-HR" sz="1100" i="0" baseline="0">
                      <a:solidFill>
                        <a:schemeClr val="dk1"/>
                      </a:solidFill>
                      <a:effectLst/>
                      <a:latin typeface="+mn-lt"/>
                      <a:ea typeface="+mn-ea"/>
                      <a:cs typeface="+mn-cs"/>
                    </a:rPr>
                    <m:t> </m:t>
                  </m:r>
                </m:oMath>
              </a14:m>
              <a:r>
                <a:rPr lang="hr-HR"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na kraju ostaje neotplaćeni iznos kredita; 0 jer se anuiteti vraćaju uvijek krajem razdoblja).</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Uzmite u obzir da se anuiteti trebaju računati na 2 decimale pa prilagodimo formulu i pišemo </a:t>
              </a:r>
              <a:r>
                <a:rPr lang="hr-HR" sz="1100" b="1" baseline="0">
                  <a:solidFill>
                    <a:schemeClr val="dk1"/>
                  </a:solidFill>
                  <a:effectLst/>
                  <a:latin typeface="+mn-lt"/>
                  <a:ea typeface="+mn-ea"/>
                  <a:cs typeface="+mn-cs"/>
                </a:rPr>
                <a:t>=ROUND(PMT(kamatna stopa (%); broj razdoblja; iznos kredita </a:t>
              </a:r>
              <a14:m>
                <m:oMath xmlns:m="http://schemas.openxmlformats.org/officeDocument/2006/math">
                  <m:sSub>
                    <m:sSubPr>
                      <m:ctrlPr>
                        <a:rPr lang="hr-HR" sz="1100" b="1" i="1" baseline="0">
                          <a:solidFill>
                            <a:schemeClr val="dk1"/>
                          </a:solidFill>
                          <a:effectLst/>
                          <a:latin typeface="Cambria Math" panose="02040503050406030204" pitchFamily="18" charset="0"/>
                          <a:ea typeface="+mn-ea"/>
                          <a:cs typeface="+mn-cs"/>
                        </a:rPr>
                      </m:ctrlPr>
                    </m:sSubPr>
                    <m:e>
                      <m:r>
                        <a:rPr lang="hr-HR" sz="1100" b="1" i="1" baseline="0">
                          <a:solidFill>
                            <a:schemeClr val="dk1"/>
                          </a:solidFill>
                          <a:effectLst/>
                          <a:latin typeface="Cambria Math" panose="02040503050406030204" pitchFamily="18" charset="0"/>
                          <a:ea typeface="+mn-ea"/>
                          <a:cs typeface="+mn-cs"/>
                        </a:rPr>
                        <m:t>𝑪</m:t>
                      </m:r>
                    </m:e>
                    <m:sub>
                      <m:r>
                        <a:rPr lang="hr-HR" sz="1100" b="1" i="1" baseline="0">
                          <a:solidFill>
                            <a:schemeClr val="dk1"/>
                          </a:solidFill>
                          <a:effectLst/>
                          <a:latin typeface="Cambria Math" panose="02040503050406030204" pitchFamily="18" charset="0"/>
                          <a:ea typeface="+mn-ea"/>
                          <a:cs typeface="+mn-cs"/>
                        </a:rPr>
                        <m:t>𝟎</m:t>
                      </m:r>
                    </m:sub>
                  </m:sSub>
                  <m:r>
                    <m:rPr>
                      <m:nor/>
                    </m:rPr>
                    <a:rPr lang="hr-HR" sz="1100" b="1" i="0" baseline="0">
                      <a:solidFill>
                        <a:schemeClr val="dk1"/>
                      </a:solidFill>
                      <a:effectLst/>
                      <a:latin typeface="+mn-lt"/>
                      <a:ea typeface="+mn-ea"/>
                      <a:cs typeface="+mn-cs"/>
                    </a:rPr>
                    <m:t> </m:t>
                  </m:r>
                </m:oMath>
              </a14:m>
              <a:r>
                <a:rPr lang="hr-HR" sz="1100" b="1" baseline="0">
                  <a:solidFill>
                    <a:schemeClr val="dk1"/>
                  </a:solidFill>
                  <a:effectLst/>
                  <a:latin typeface="+mn-lt"/>
                  <a:ea typeface="+mn-ea"/>
                  <a:cs typeface="+mn-cs"/>
                </a:rPr>
                <a:t>; mogući ostatak duga; 0);2)</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Ako je poznat iznos anuiteta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𝑎</m:t>
                  </m:r>
                </m:oMath>
              </a14:m>
              <a:r>
                <a:rPr lang="hr-HR">
                  <a:effectLst/>
                </a:rPr>
                <a:t> tada iznos zajma</a:t>
              </a:r>
              <a:r>
                <a:rPr lang="hr-HR" baseline="0">
                  <a:effectLst/>
                </a:rPr>
                <a:t>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m:rPr>
                      <m:nor/>
                    </m:rPr>
                    <a:rPr lang="hr-HR" sz="1100" i="0" baseline="0">
                      <a:solidFill>
                        <a:schemeClr val="dk1"/>
                      </a:solidFill>
                      <a:effectLst/>
                      <a:latin typeface="+mn-lt"/>
                      <a:ea typeface="+mn-ea"/>
                      <a:cs typeface="+mn-cs"/>
                    </a:rPr>
                    <m:t> </m:t>
                  </m:r>
                </m:oMath>
              </a14:m>
              <a:r>
                <a:rPr lang="hr-HR">
                  <a:effectLst/>
                </a:rPr>
                <a:t>možemo izračunati</a:t>
              </a:r>
              <a:r>
                <a:rPr lang="hr-HR" baseline="0">
                  <a:effectLst/>
                </a:rPr>
                <a:t>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𝑎</m:t>
                  </m:r>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−1</m:t>
                      </m:r>
                    </m:num>
                    <m:den>
                      <m:sSup>
                        <m:sSupPr>
                          <m:ctrlPr>
                            <a:rPr lang="hr-HR" sz="1100" b="0" i="1" baseline="0">
                              <a:solidFill>
                                <a:schemeClr val="dk1"/>
                              </a:solidFill>
                              <a:effectLst/>
                              <a:latin typeface="Cambria Math" panose="02040503050406030204" pitchFamily="18" charset="0"/>
                              <a:ea typeface="+mn-ea"/>
                              <a:cs typeface="+mn-cs"/>
                            </a:rPr>
                          </m:ctrlPr>
                        </m:sSupPr>
                        <m:e>
                          <m:r>
                            <a:rPr lang="hr-HR" sz="1100" b="0" i="1" baseline="0">
                              <a:solidFill>
                                <a:schemeClr val="dk1"/>
                              </a:solidFill>
                              <a:effectLst/>
                              <a:latin typeface="Cambria Math" panose="02040503050406030204" pitchFamily="18" charset="0"/>
                              <a:ea typeface="+mn-ea"/>
                              <a:cs typeface="+mn-cs"/>
                            </a:rPr>
                            <m:t>𝑟</m:t>
                          </m:r>
                        </m:e>
                        <m:sup>
                          <m:r>
                            <a:rPr lang="hr-HR" sz="1100" b="0" i="1" baseline="0">
                              <a:solidFill>
                                <a:schemeClr val="dk1"/>
                              </a:solidFill>
                              <a:effectLst/>
                              <a:latin typeface="Cambria Math" panose="02040503050406030204" pitchFamily="18" charset="0"/>
                              <a:ea typeface="+mn-ea"/>
                              <a:cs typeface="+mn-cs"/>
                            </a:rPr>
                            <m:t>𝑛</m:t>
                          </m:r>
                        </m:sup>
                      </m:sSup>
                      <m:r>
                        <a:rPr lang="hr-HR" sz="1100" b="0" i="1" baseline="0">
                          <a:solidFill>
                            <a:schemeClr val="dk1"/>
                          </a:solidFill>
                          <a:effectLst/>
                          <a:latin typeface="Cambria Math" panose="02040503050406030204" pitchFamily="18" charset="0"/>
                          <a:ea typeface="+mn-ea"/>
                          <a:cs typeface="+mn-cs"/>
                        </a:rPr>
                        <m:t>∙</m:t>
                      </m:r>
                      <m:d>
                        <m:dPr>
                          <m:ctrlPr>
                            <a:rPr lang="hr-HR" sz="1100" b="0" i="1" baseline="0">
                              <a:solidFill>
                                <a:schemeClr val="dk1"/>
                              </a:solidFill>
                              <a:effectLst/>
                              <a:latin typeface="Cambria Math" panose="02040503050406030204" pitchFamily="18" charset="0"/>
                              <a:ea typeface="+mn-ea"/>
                              <a:cs typeface="+mn-cs"/>
                            </a:rPr>
                          </m:ctrlPr>
                        </m:dPr>
                        <m:e>
                          <m:r>
                            <a:rPr lang="hr-HR" sz="1100" b="0" i="1" baseline="0">
                              <a:solidFill>
                                <a:schemeClr val="dk1"/>
                              </a:solidFill>
                              <a:effectLst/>
                              <a:latin typeface="Cambria Math" panose="02040503050406030204" pitchFamily="18" charset="0"/>
                              <a:ea typeface="+mn-ea"/>
                              <a:cs typeface="+mn-cs"/>
                            </a:rPr>
                            <m:t>𝑟</m:t>
                          </m:r>
                          <m:r>
                            <a:rPr lang="hr-HR" sz="1100" b="0" i="1" baseline="0">
                              <a:solidFill>
                                <a:schemeClr val="dk1"/>
                              </a:solidFill>
                              <a:effectLst/>
                              <a:latin typeface="Cambria Math" panose="02040503050406030204" pitchFamily="18" charset="0"/>
                              <a:ea typeface="+mn-ea"/>
                              <a:cs typeface="+mn-cs"/>
                            </a:rPr>
                            <m:t>−1</m:t>
                          </m:r>
                        </m:e>
                      </m:d>
                    </m:den>
                  </m:f>
                </m:oMath>
              </a14:m>
              <a:r>
                <a:rPr lang="hr-HR">
                  <a:effectLst/>
                </a:rPr>
                <a:t>, a u excelu</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=PV(kamatna stopa %; broj razdoblja; iznos obroka;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na kraju ostaje neotplaćeni iznos kredita; 0 jer se anuiteti vraćaju uvijek krajem razdoblja).</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Uzmite u obzir da se iznos kredita treba računati na 2 decimale pa prilagodimo formulu i pišemo</a:t>
              </a:r>
            </a:p>
            <a:p>
              <a:pPr marL="0" marR="0" lvl="0" indent="0" defTabSz="914400" eaLnBrk="1" fontAlgn="auto" latinLnBrk="0" hangingPunct="1">
                <a:lnSpc>
                  <a:spcPct val="100000"/>
                </a:lnSpc>
                <a:spcBef>
                  <a:spcPts val="0"/>
                </a:spcBef>
                <a:spcAft>
                  <a:spcPts val="0"/>
                </a:spcAft>
                <a:buClrTx/>
                <a:buSzTx/>
                <a:buFontTx/>
                <a:buNone/>
                <a:tabLst/>
                <a:defRPr/>
              </a:pPr>
              <a:r>
                <a:rPr lang="hr-HR" sz="1100" b="1" baseline="0">
                  <a:solidFill>
                    <a:schemeClr val="dk1"/>
                  </a:solidFill>
                  <a:effectLst/>
                  <a:latin typeface="+mn-lt"/>
                  <a:ea typeface="+mn-ea"/>
                  <a:cs typeface="+mn-cs"/>
                </a:rPr>
                <a:t>=ROUND(PV(kamatna stopa %; broj razdoblja; iznos obroka; eventualni ostatak duga;0);2)</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Napomena: iznose anuiteta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𝑎</m:t>
                  </m:r>
                </m:oMath>
              </a14:m>
              <a:r>
                <a:rPr lang="hr-HR">
                  <a:effectLst/>
                </a:rPr>
                <a:t> upisujemo s negativnim</a:t>
              </a:r>
              <a:r>
                <a:rPr lang="hr-HR" baseline="0">
                  <a:effectLst/>
                </a:rPr>
                <a:t> predznakom, jer ga mi plaćamo, a iznos zajma/kredita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a14:m>
              <a:r>
                <a:rPr lang="hr-HR" baseline="0">
                  <a:effectLst/>
                </a:rPr>
                <a:t> pozitivnim jer taj iznos dobivamo.</a:t>
              </a:r>
            </a:p>
          </xdr:txBody>
        </xdr:sp>
      </mc:Choice>
      <mc:Fallback xmlns="">
        <xdr:sp macro="" textlink="">
          <xdr:nvSpPr>
            <xdr:cNvPr id="4" name="TekstniOkvir 2">
              <a:extLst>
                <a:ext uri="{FF2B5EF4-FFF2-40B4-BE49-F238E27FC236}">
                  <a16:creationId xmlns:a16="http://schemas.microsoft.com/office/drawing/2014/main" id="{2C201ACC-7E2F-4D0A-94E4-81CA675A8BEF}"/>
                </a:ext>
              </a:extLst>
            </xdr:cNvPr>
            <xdr:cNvSpPr txBox="1"/>
          </xdr:nvSpPr>
          <xdr:spPr>
            <a:xfrm>
              <a:off x="609600" y="16757650"/>
              <a:ext cx="6753398" cy="699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600" b="1"/>
                <a:t>Upute za 3. ishod:</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Razlika zajam i kredit: Kredit je posudba </a:t>
              </a:r>
              <a:r>
                <a:rPr lang="hr-HR" sz="1100" b="1" i="0" baseline="0">
                  <a:solidFill>
                    <a:schemeClr val="dk1"/>
                  </a:solidFill>
                  <a:effectLst/>
                  <a:latin typeface="+mn-lt"/>
                  <a:ea typeface="+mn-ea"/>
                  <a:cs typeface="+mn-cs"/>
                </a:rPr>
                <a:t>novca</a:t>
              </a:r>
              <a:r>
                <a:rPr lang="hr-HR" sz="1100" i="0" baseline="0">
                  <a:solidFill>
                    <a:schemeClr val="dk1"/>
                  </a:solidFill>
                  <a:effectLst/>
                  <a:latin typeface="+mn-lt"/>
                  <a:ea typeface="+mn-ea"/>
                  <a:cs typeface="+mn-cs"/>
                </a:rPr>
                <a:t> od </a:t>
              </a:r>
              <a:r>
                <a:rPr lang="hr-HR" sz="1100" b="1" i="0" baseline="0">
                  <a:solidFill>
                    <a:schemeClr val="dk1"/>
                  </a:solidFill>
                  <a:effectLst/>
                  <a:latin typeface="+mn-lt"/>
                  <a:ea typeface="+mn-ea"/>
                  <a:cs typeface="+mn-cs"/>
                </a:rPr>
                <a:t>banke</a:t>
              </a:r>
              <a:r>
                <a:rPr lang="hr-HR" sz="1100" i="0" baseline="0">
                  <a:solidFill>
                    <a:schemeClr val="dk1"/>
                  </a:solidFill>
                  <a:effectLst/>
                  <a:latin typeface="+mn-lt"/>
                  <a:ea typeface="+mn-ea"/>
                  <a:cs typeface="+mn-cs"/>
                </a:rPr>
                <a:t> uz </a:t>
              </a:r>
              <a:r>
                <a:rPr lang="hr-HR" sz="1100" b="1" i="0" baseline="0">
                  <a:solidFill>
                    <a:schemeClr val="dk1"/>
                  </a:solidFill>
                  <a:effectLst/>
                  <a:latin typeface="+mn-lt"/>
                  <a:ea typeface="+mn-ea"/>
                  <a:cs typeface="+mn-cs"/>
                </a:rPr>
                <a:t>određenu kamatu</a:t>
              </a:r>
              <a:r>
                <a:rPr lang="hr-HR" sz="1100" i="0" baseline="0">
                  <a:solidFill>
                    <a:schemeClr val="dk1"/>
                  </a:solidFill>
                  <a:effectLst/>
                  <a:latin typeface="+mn-lt"/>
                  <a:ea typeface="+mn-ea"/>
                  <a:cs typeface="+mn-cs"/>
                </a:rPr>
                <a:t>. Zajam je bilo kakva pozajmica, npr. posudba novca od osiguravajuće kuće ili nekog predmeta od bilo koje fizičke ili pravne osobe. Zajam može biti vraćen uz kamatu, ali i ne mora. Svaki kredit je zajam, ali obrnuto ne vrijedi.</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Mi nećemo raditi razliku između zajma i kredita, već ćemo se baviti načinom njihove otplate.</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Najčešća metoda otplate je </a:t>
              </a:r>
              <a:r>
                <a:rPr lang="hr-HR" sz="1100" b="1" i="0" baseline="0">
                  <a:solidFill>
                    <a:schemeClr val="dk1"/>
                  </a:solidFill>
                  <a:effectLst/>
                  <a:latin typeface="+mn-lt"/>
                  <a:ea typeface="+mn-ea"/>
                  <a:cs typeface="+mn-cs"/>
                </a:rPr>
                <a:t>metoda jednakim anuitetima</a:t>
              </a:r>
              <a:r>
                <a:rPr lang="hr-HR" sz="1100" i="0" baseline="0">
                  <a:solidFill>
                    <a:schemeClr val="dk1"/>
                  </a:solidFill>
                  <a:effectLst/>
                  <a:latin typeface="+mn-lt"/>
                  <a:ea typeface="+mn-ea"/>
                  <a:cs typeface="+mn-cs"/>
                </a:rPr>
                <a:t>/obrocima.</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𝐶_0</a:t>
              </a:r>
              <a:r>
                <a:rPr lang="hr-HR" sz="1100" i="0" baseline="0">
                  <a:solidFill>
                    <a:schemeClr val="dk1"/>
                  </a:solidFill>
                  <a:effectLst/>
                  <a:latin typeface="+mn-lt"/>
                  <a:ea typeface="+mn-ea"/>
                  <a:cs typeface="+mn-cs"/>
                </a:rPr>
                <a:t> iznos zajma/kredita, glavnica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𝑎</a:t>
              </a:r>
              <a:r>
                <a:rPr lang="hr-HR" sz="1100" i="0" baseline="0">
                  <a:solidFill>
                    <a:schemeClr val="dk1"/>
                  </a:solidFill>
                  <a:effectLst/>
                  <a:latin typeface="+mn-lt"/>
                  <a:ea typeface="+mn-ea"/>
                  <a:cs typeface="+mn-cs"/>
                </a:rPr>
                <a:t> iznos anuiteta/obroka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𝑛</a:t>
              </a:r>
              <a:r>
                <a:rPr lang="hr-HR" sz="1100" i="0" baseline="0">
                  <a:solidFill>
                    <a:schemeClr val="dk1"/>
                  </a:solidFill>
                  <a:effectLst/>
                  <a:latin typeface="+mn-lt"/>
                  <a:ea typeface="+mn-ea"/>
                  <a:cs typeface="+mn-cs"/>
                </a:rPr>
                <a:t> razdoblje otplate (broj godina)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𝑝</a:t>
              </a:r>
              <a:r>
                <a:rPr lang="hr-HR" sz="1100" i="0" baseline="0">
                  <a:solidFill>
                    <a:schemeClr val="dk1"/>
                  </a:solidFill>
                  <a:effectLst/>
                  <a:latin typeface="+mn-lt"/>
                  <a:ea typeface="+mn-ea"/>
                  <a:cs typeface="+mn-cs"/>
                </a:rPr>
                <a:t> godišnja kamatna stopa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𝑟</a:t>
              </a:r>
              <a:r>
                <a:rPr lang="hr-HR" sz="1100" i="0" baseline="0">
                  <a:solidFill>
                    <a:schemeClr val="dk1"/>
                  </a:solidFill>
                  <a:effectLst/>
                  <a:latin typeface="+mn-lt"/>
                  <a:ea typeface="+mn-ea"/>
                  <a:cs typeface="+mn-cs"/>
                </a:rPr>
                <a:t> godišnji kamatni faktor</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𝐼_𝑘</a:t>
              </a:r>
              <a:r>
                <a:rPr lang="hr-HR" sz="1100" i="0" baseline="0">
                  <a:solidFill>
                    <a:schemeClr val="dk1"/>
                  </a:solidFill>
                  <a:effectLst/>
                  <a:latin typeface="+mn-lt"/>
                  <a:ea typeface="+mn-ea"/>
                  <a:cs typeface="+mn-cs"/>
                </a:rPr>
                <a:t> kamata u k-tom razdoblju otplate</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𝑅_𝑘</a:t>
              </a:r>
              <a:r>
                <a:rPr lang="hr-HR" sz="1100" i="0" baseline="0">
                  <a:solidFill>
                    <a:schemeClr val="dk1"/>
                  </a:solidFill>
                  <a:effectLst/>
                  <a:latin typeface="+mn-lt"/>
                  <a:ea typeface="+mn-ea"/>
                  <a:cs typeface="+mn-cs"/>
                </a:rPr>
                <a:t> otplatna kvota (otplata glavnice) u k-tom otplatnom razdoblju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Svaki anuitet </a:t>
              </a:r>
              <a:r>
                <a:rPr lang="hr-HR" sz="1100" i="0" baseline="0">
                  <a:solidFill>
                    <a:schemeClr val="dk1"/>
                  </a:solidFill>
                  <a:effectLst/>
                  <a:latin typeface="Cambria Math" panose="02040503050406030204" pitchFamily="18" charset="0"/>
                  <a:ea typeface="+mn-ea"/>
                  <a:cs typeface="+mn-cs"/>
                </a:rPr>
                <a:t>𝑎</a:t>
              </a:r>
              <a:r>
                <a:rPr lang="hr-HR" sz="1100" i="0" baseline="0">
                  <a:solidFill>
                    <a:schemeClr val="dk1"/>
                  </a:solidFill>
                  <a:effectLst/>
                  <a:latin typeface="+mn-lt"/>
                  <a:ea typeface="+mn-ea"/>
                  <a:cs typeface="+mn-cs"/>
                </a:rPr>
                <a:t> sastoji se od 2 dijela: otplate kamate </a:t>
              </a:r>
              <a:r>
                <a:rPr lang="hr-HR" sz="1100" b="0" i="0" baseline="0">
                  <a:solidFill>
                    <a:schemeClr val="dk1"/>
                  </a:solidFill>
                  <a:effectLst/>
                  <a:latin typeface="Cambria Math" panose="02040503050406030204" pitchFamily="18" charset="0"/>
                  <a:ea typeface="+mn-ea"/>
                  <a:cs typeface="+mn-cs"/>
                </a:rPr>
                <a:t>𝐼_𝑘</a:t>
              </a:r>
              <a:r>
                <a:rPr lang="hr-HR" sz="1100" i="0" baseline="0">
                  <a:solidFill>
                    <a:schemeClr val="dk1"/>
                  </a:solidFill>
                  <a:effectLst/>
                  <a:latin typeface="+mn-lt"/>
                  <a:ea typeface="+mn-ea"/>
                  <a:cs typeface="+mn-cs"/>
                </a:rPr>
                <a:t> i otplatne kvote </a:t>
              </a:r>
              <a:r>
                <a:rPr lang="hr-HR" sz="1100" b="0" i="0" baseline="0">
                  <a:solidFill>
                    <a:schemeClr val="dk1"/>
                  </a:solidFill>
                  <a:effectLst/>
                  <a:latin typeface="Cambria Math" panose="02040503050406030204" pitchFamily="18" charset="0"/>
                  <a:ea typeface="+mn-ea"/>
                  <a:cs typeface="+mn-cs"/>
                </a:rPr>
                <a:t>𝑅_𝑘</a:t>
              </a:r>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Za posuđen iznos zajma </a:t>
              </a:r>
              <a:r>
                <a:rPr lang="hr-HR" sz="1100" b="0" i="0" baseline="0">
                  <a:solidFill>
                    <a:schemeClr val="dk1"/>
                  </a:solidFill>
                  <a:effectLst/>
                  <a:latin typeface="Cambria Math" panose="02040503050406030204" pitchFamily="18" charset="0"/>
                  <a:ea typeface="+mn-ea"/>
                  <a:cs typeface="+mn-cs"/>
                </a:rPr>
                <a:t>𝐶_0</a:t>
              </a:r>
              <a:r>
                <a:rPr lang="hr-HR" sz="1100" i="0" baseline="0">
                  <a:solidFill>
                    <a:schemeClr val="dk1"/>
                  </a:solidFill>
                  <a:effectLst/>
                  <a:latin typeface="+mn-lt"/>
                  <a:ea typeface="+mn-ea"/>
                  <a:cs typeface="+mn-cs"/>
                </a:rPr>
                <a:t>, zadanu kamatnu stopu </a:t>
              </a:r>
              <a:r>
                <a:rPr lang="hr-HR" sz="1100" i="0" baseline="0">
                  <a:solidFill>
                    <a:schemeClr val="dk1"/>
                  </a:solidFill>
                  <a:effectLst/>
                  <a:latin typeface="Cambria Math" panose="02040503050406030204" pitchFamily="18" charset="0"/>
                  <a:ea typeface="+mn-ea"/>
                  <a:cs typeface="+mn-cs"/>
                </a:rPr>
                <a:t>𝑝</a:t>
              </a:r>
              <a:r>
                <a:rPr lang="hr-HR" sz="1100" i="0" baseline="0">
                  <a:solidFill>
                    <a:schemeClr val="dk1"/>
                  </a:solidFill>
                  <a:effectLst/>
                  <a:latin typeface="+mn-lt"/>
                  <a:ea typeface="+mn-ea"/>
                  <a:cs typeface="+mn-cs"/>
                </a:rPr>
                <a:t>, broj razdoblja </a:t>
              </a:r>
              <a:r>
                <a:rPr lang="hr-HR" sz="1100" i="0" baseline="0">
                  <a:solidFill>
                    <a:schemeClr val="dk1"/>
                  </a:solidFill>
                  <a:effectLst/>
                  <a:latin typeface="Cambria Math" panose="02040503050406030204" pitchFamily="18" charset="0"/>
                  <a:ea typeface="+mn-ea"/>
                  <a:cs typeface="+mn-cs"/>
                </a:rPr>
                <a:t>𝑛</a:t>
              </a:r>
              <a:r>
                <a:rPr lang="hr-HR" sz="1100" i="0" baseline="0">
                  <a:solidFill>
                    <a:schemeClr val="dk1"/>
                  </a:solidFill>
                  <a:effectLst/>
                  <a:latin typeface="+mn-lt"/>
                  <a:ea typeface="+mn-ea"/>
                  <a:cs typeface="+mn-cs"/>
                </a:rPr>
                <a:t>, anuitet </a:t>
              </a:r>
              <a:r>
                <a:rPr lang="hr-HR" sz="1100" b="0" i="0" baseline="0">
                  <a:solidFill>
                    <a:schemeClr val="dk1"/>
                  </a:solidFill>
                  <a:effectLst/>
                  <a:latin typeface="Cambria Math" panose="02040503050406030204" pitchFamily="18" charset="0"/>
                  <a:ea typeface="+mn-ea"/>
                  <a:cs typeface="+mn-cs"/>
                </a:rPr>
                <a:t>𝑎</a:t>
              </a:r>
              <a:r>
                <a:rPr lang="hr-HR" sz="1100" i="0" baseline="0">
                  <a:solidFill>
                    <a:schemeClr val="dk1"/>
                  </a:solidFill>
                  <a:effectLst/>
                  <a:latin typeface="+mn-lt"/>
                  <a:ea typeface="+mn-ea"/>
                  <a:cs typeface="+mn-cs"/>
                </a:rPr>
                <a:t> računa se izrazom</a:t>
              </a:r>
            </a:p>
            <a:p>
              <a:pPr marL="0" marR="0" lvl="0" indent="0" defTabSz="914400" eaLnBrk="1" fontAlgn="auto" latinLnBrk="0" hangingPunct="1">
                <a:lnSpc>
                  <a:spcPct val="100000"/>
                </a:lnSpc>
                <a:spcBef>
                  <a:spcPts val="0"/>
                </a:spcBef>
                <a:spcAft>
                  <a:spcPts val="0"/>
                </a:spcAft>
                <a:buClrTx/>
                <a:buSzTx/>
                <a:buFontTx/>
                <a:buNone/>
                <a:tabLst/>
                <a:defRPr/>
              </a:pPr>
              <a:r>
                <a:rPr lang="hr-HR" sz="1100" b="0" baseline="0">
                  <a:solidFill>
                    <a:schemeClr val="dk1"/>
                  </a:solidFill>
                  <a:effectLst/>
                  <a:ea typeface="+mn-ea"/>
                  <a:cs typeface="+mn-cs"/>
                </a:rPr>
                <a:t>a</a:t>
              </a:r>
              <a:r>
                <a:rPr lang="hr-HR" sz="1100" b="0" i="0" baseline="0">
                  <a:solidFill>
                    <a:schemeClr val="dk1"/>
                  </a:solidFill>
                  <a:effectLst/>
                  <a:latin typeface="Cambria Math" panose="02040503050406030204" pitchFamily="18" charset="0"/>
                  <a:ea typeface="+mn-ea"/>
                  <a:cs typeface="+mn-cs"/>
                </a:rPr>
                <a:t>=𝐶_0</a:t>
              </a:r>
              <a:r>
                <a:rPr lang="hr-HR" sz="1100" b="0" i="0" baseline="0">
                  <a:solidFill>
                    <a:schemeClr val="dk1"/>
                  </a:solidFill>
                  <a:effectLst/>
                  <a:latin typeface="+mn-lt"/>
                  <a:ea typeface="+mn-ea"/>
                  <a:cs typeface="+mn-cs"/>
                </a:rPr>
                <a:t> </a:t>
              </a:r>
              <a:r>
                <a:rPr lang="hr-HR" sz="1100" b="0" i="0" baseline="0">
                  <a:solidFill>
                    <a:schemeClr val="dk1"/>
                  </a:solidFill>
                  <a:effectLst/>
                  <a:latin typeface="Cambria Math" panose="02040503050406030204" pitchFamily="18" charset="0"/>
                  <a:ea typeface="+mn-ea"/>
                  <a:cs typeface="+mn-cs"/>
                </a:rPr>
                <a:t>"</a:t>
              </a:r>
              <a:r>
                <a:rPr lang="hr-HR" sz="1100" i="0" baseline="0">
                  <a:solidFill>
                    <a:schemeClr val="dk1"/>
                  </a:solidFill>
                  <a:effectLst/>
                  <a:latin typeface="Cambria Math" panose="02040503050406030204" pitchFamily="18" charset="0"/>
                  <a:ea typeface="+mn-ea"/>
                  <a:cs typeface="+mn-cs"/>
                </a:rPr>
                <a:t> </a:t>
              </a:r>
              <a:r>
                <a:rPr lang="hr-HR" sz="1100" b="0" i="0" baseline="0">
                  <a:solidFill>
                    <a:schemeClr val="dk1"/>
                  </a:solidFill>
                  <a:effectLst/>
                  <a:latin typeface="Cambria Math" panose="02040503050406030204" pitchFamily="18" charset="0"/>
                  <a:ea typeface="+mn-ea"/>
                  <a:cs typeface="+mn-cs"/>
                </a:rPr>
                <a:t>"∙(𝑟^𝑛∙(𝑟−1))/(𝑟^𝑛−1)</a:t>
              </a:r>
              <a:r>
                <a:rPr lang="hr-HR" sz="1100" i="0" baseline="0">
                  <a:solidFill>
                    <a:schemeClr val="dk1"/>
                  </a:solidFill>
                  <a:effectLst/>
                  <a:latin typeface="+mn-lt"/>
                  <a:ea typeface="+mn-ea"/>
                  <a:cs typeface="+mn-cs"/>
                </a:rPr>
                <a:t>. Uočite identičan izraz za početnu vrijednost više uplata/isplata postnumerando </a:t>
              </a:r>
              <a:r>
                <a:rPr lang="hr-HR" sz="1100" b="0" i="0" baseline="0">
                  <a:solidFill>
                    <a:schemeClr val="dk1"/>
                  </a:solidFill>
                  <a:effectLst/>
                  <a:latin typeface="Cambria Math" panose="02040503050406030204" pitchFamily="18" charset="0"/>
                  <a:ea typeface="+mn-ea"/>
                  <a:cs typeface="+mn-cs"/>
                </a:rPr>
                <a:t>𝑅=𝐴_𝑛∙(𝑟^𝑛∙(𝑟−1))/(𝑟^𝑛−1)</a:t>
              </a:r>
              <a:r>
                <a:rPr lang="hr-HR" sz="1100" i="0" baseline="0">
                  <a:solidFill>
                    <a:schemeClr val="dk1"/>
                  </a:solidFill>
                  <a:effectLst/>
                  <a:latin typeface="+mn-lt"/>
                  <a:ea typeface="+mn-ea"/>
                  <a:cs typeface="+mn-cs"/>
                </a:rPr>
                <a:t>. I kod zajma također imamo veliki početni iznos </a:t>
              </a:r>
              <a:r>
                <a:rPr lang="hr-HR" sz="1100" b="0" i="0" baseline="0">
                  <a:solidFill>
                    <a:schemeClr val="dk1"/>
                  </a:solidFill>
                  <a:effectLst/>
                  <a:latin typeface="Cambria Math" panose="02040503050406030204" pitchFamily="18" charset="0"/>
                  <a:ea typeface="+mn-ea"/>
                  <a:cs typeface="+mn-cs"/>
                </a:rPr>
                <a:t>𝐶_0</a:t>
              </a:r>
              <a:r>
                <a:rPr lang="hr-HR" sz="1100" i="0" baseline="0">
                  <a:solidFill>
                    <a:schemeClr val="dk1"/>
                  </a:solidFill>
                  <a:effectLst/>
                  <a:latin typeface="+mn-lt"/>
                  <a:ea typeface="+mn-ea"/>
                  <a:cs typeface="+mn-cs"/>
                </a:rPr>
                <a:t> koji vraćamo u više jednakih obroka </a:t>
              </a:r>
              <a:r>
                <a:rPr lang="hr-HR" sz="1100" b="0" i="0" baseline="0">
                  <a:solidFill>
                    <a:schemeClr val="dk1"/>
                  </a:solidFill>
                  <a:effectLst/>
                  <a:latin typeface="Cambria Math" panose="02040503050406030204" pitchFamily="18" charset="0"/>
                  <a:ea typeface="+mn-ea"/>
                  <a:cs typeface="+mn-cs"/>
                </a:rPr>
                <a:t>𝑎</a:t>
              </a:r>
              <a:r>
                <a:rPr lang="hr-HR" sz="1100" i="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U excelu se vrijednost anuiteta </a:t>
              </a:r>
              <a:r>
                <a:rPr lang="hr-HR" sz="1100" i="0" baseline="0">
                  <a:solidFill>
                    <a:schemeClr val="dk1"/>
                  </a:solidFill>
                  <a:effectLst/>
                  <a:latin typeface="Cambria Math" panose="02040503050406030204" pitchFamily="18" charset="0"/>
                  <a:ea typeface="+mn-ea"/>
                  <a:cs typeface="+mn-cs"/>
                </a:rPr>
                <a:t>𝑎</a:t>
              </a:r>
              <a:r>
                <a:rPr lang="hr-HR" sz="1100" i="0" baseline="0">
                  <a:solidFill>
                    <a:schemeClr val="dk1"/>
                  </a:solidFill>
                  <a:effectLst/>
                  <a:latin typeface="+mn-lt"/>
                  <a:ea typeface="+mn-ea"/>
                  <a:cs typeface="+mn-cs"/>
                </a:rPr>
                <a:t> računa baš poput iznosa jednake rate </a:t>
              </a:r>
              <a:r>
                <a:rPr lang="hr-HR" sz="1100" i="0" baseline="0">
                  <a:solidFill>
                    <a:schemeClr val="dk1"/>
                  </a:solidFill>
                  <a:effectLst/>
                  <a:latin typeface="Cambria Math" panose="02040503050406030204" pitchFamily="18" charset="0"/>
                  <a:ea typeface="+mn-ea"/>
                  <a:cs typeface="+mn-cs"/>
                </a:rPr>
                <a:t>𝑅</a:t>
              </a:r>
              <a:r>
                <a:rPr lang="hr-HR" sz="1100" i="0" baseline="0">
                  <a:solidFill>
                    <a:schemeClr val="dk1"/>
                  </a:solidFill>
                  <a:effectLst/>
                  <a:latin typeface="+mn-lt"/>
                  <a:ea typeface="+mn-ea"/>
                  <a:cs typeface="+mn-cs"/>
                </a:rPr>
                <a:t> u prethodnoj lekciji.</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Koristimo naredbu PAYMENT i i upisujemo 5 podataka =PMT(kamatna stopa (%); broj razdoblja; </a:t>
              </a:r>
              <a:r>
                <a:rPr lang="en-US" sz="1100" baseline="0">
                  <a:solidFill>
                    <a:schemeClr val="dk1"/>
                  </a:solidFill>
                  <a:effectLst/>
                  <a:latin typeface="+mn-lt"/>
                  <a:ea typeface="+mn-ea"/>
                  <a:cs typeface="+mn-cs"/>
                </a:rPr>
                <a:t>P</a:t>
              </a:r>
              <a:r>
                <a:rPr lang="hr-HR" sz="1100" baseline="0">
                  <a:solidFill>
                    <a:schemeClr val="dk1"/>
                  </a:solidFill>
                  <a:effectLst/>
                  <a:latin typeface="+mn-lt"/>
                  <a:ea typeface="+mn-ea"/>
                  <a:cs typeface="+mn-cs"/>
                </a:rPr>
                <a:t>V =sadašnja, tj. početna velika uplata </a:t>
              </a:r>
              <a:r>
                <a:rPr lang="hr-HR" sz="1100" b="0" i="0" baseline="0">
                  <a:solidFill>
                    <a:schemeClr val="dk1"/>
                  </a:solidFill>
                  <a:effectLst/>
                  <a:latin typeface="Cambria Math" panose="02040503050406030204" pitchFamily="18" charset="0"/>
                  <a:ea typeface="+mn-ea"/>
                  <a:cs typeface="+mn-cs"/>
                </a:rPr>
                <a:t>𝐶_0</a:t>
              </a:r>
              <a:r>
                <a:rPr lang="hr-HR" sz="1100" b="0" i="0" baseline="0">
                  <a:solidFill>
                    <a:schemeClr val="dk1"/>
                  </a:solidFill>
                  <a:effectLst/>
                  <a:latin typeface="+mn-lt"/>
                  <a:ea typeface="+mn-ea"/>
                  <a:cs typeface="+mn-cs"/>
                </a:rPr>
                <a:t> </a:t>
              </a:r>
              <a:r>
                <a:rPr lang="hr-HR" sz="1100" b="0" i="0" baseline="0">
                  <a:solidFill>
                    <a:schemeClr val="dk1"/>
                  </a:solidFill>
                  <a:effectLst/>
                  <a:latin typeface="Cambria Math" panose="02040503050406030204" pitchFamily="18" charset="0"/>
                  <a:ea typeface="+mn-ea"/>
                  <a:cs typeface="+mn-cs"/>
                </a:rPr>
                <a:t>"</a:t>
              </a:r>
              <a:r>
                <a:rPr lang="hr-HR" sz="1100" i="0" baseline="0">
                  <a:solidFill>
                    <a:schemeClr val="dk1"/>
                  </a:solidFill>
                  <a:effectLst/>
                  <a:latin typeface="Cambria Math" panose="02040503050406030204" pitchFamily="18" charset="0"/>
                  <a:ea typeface="+mn-ea"/>
                  <a:cs typeface="+mn-cs"/>
                </a:rPr>
                <a:t> </a:t>
              </a:r>
              <a:r>
                <a:rPr lang="en-US" sz="1100" i="0" baseline="0">
                  <a:solidFill>
                    <a:schemeClr val="dk1"/>
                  </a:solidFill>
                  <a:effectLst/>
                  <a:latin typeface="+mn-lt"/>
                  <a:ea typeface="+mn-ea"/>
                  <a:cs typeface="+mn-cs"/>
                </a:rPr>
                <a:t>"</a:t>
              </a:r>
              <a:r>
                <a:rPr lang="hr-HR" sz="1100" baseline="0">
                  <a:solidFill>
                    <a:schemeClr val="dk1"/>
                  </a:solidFill>
                  <a:effectLst/>
                  <a:latin typeface="+mn-lt"/>
                  <a:ea typeface="+mn-ea"/>
                  <a:cs typeface="+mn-cs"/>
                </a:rPr>
                <a:t>;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na kraju ostaje neotplaćeni iznos kredita; 0 jer se anuiteti vraćaju uvijek krajem razdoblja).</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Uzmite u obzir da se anuiteti trebaju računati na 2 decimale pa prilagodimo formulu i pišemo </a:t>
              </a:r>
              <a:r>
                <a:rPr lang="hr-HR" sz="1100" b="1" baseline="0">
                  <a:solidFill>
                    <a:schemeClr val="dk1"/>
                  </a:solidFill>
                  <a:effectLst/>
                  <a:latin typeface="+mn-lt"/>
                  <a:ea typeface="+mn-ea"/>
                  <a:cs typeface="+mn-cs"/>
                </a:rPr>
                <a:t>=ROUND(PMT(kamatna stopa (%); broj razdoblja; iznos kredita </a:t>
              </a:r>
              <a:r>
                <a:rPr lang="hr-HR" sz="1100" b="1" i="0" baseline="0">
                  <a:solidFill>
                    <a:schemeClr val="dk1"/>
                  </a:solidFill>
                  <a:effectLst/>
                  <a:latin typeface="Cambria Math" panose="02040503050406030204" pitchFamily="18" charset="0"/>
                  <a:ea typeface="+mn-ea"/>
                  <a:cs typeface="+mn-cs"/>
                </a:rPr>
                <a:t>𝑪_𝟎</a:t>
              </a:r>
              <a:r>
                <a:rPr lang="hr-HR" sz="1100" b="1" i="0" baseline="0">
                  <a:solidFill>
                    <a:schemeClr val="dk1"/>
                  </a:solidFill>
                  <a:effectLst/>
                  <a:latin typeface="+mn-lt"/>
                  <a:ea typeface="+mn-ea"/>
                  <a:cs typeface="+mn-cs"/>
                </a:rPr>
                <a:t> </a:t>
              </a:r>
              <a:r>
                <a:rPr lang="hr-HR" sz="1100" b="1" i="0" baseline="0">
                  <a:solidFill>
                    <a:schemeClr val="dk1"/>
                  </a:solidFill>
                  <a:effectLst/>
                  <a:latin typeface="Cambria Math" panose="02040503050406030204" pitchFamily="18" charset="0"/>
                  <a:ea typeface="+mn-ea"/>
                  <a:cs typeface="+mn-cs"/>
                </a:rPr>
                <a:t>" </a:t>
              </a:r>
              <a:r>
                <a:rPr lang="en-US" sz="1100" b="1" i="0" baseline="0">
                  <a:solidFill>
                    <a:schemeClr val="dk1"/>
                  </a:solidFill>
                  <a:effectLst/>
                  <a:latin typeface="+mn-lt"/>
                  <a:ea typeface="+mn-ea"/>
                  <a:cs typeface="+mn-cs"/>
                </a:rPr>
                <a:t>"</a:t>
              </a:r>
              <a:r>
                <a:rPr lang="hr-HR" sz="1100" b="1" baseline="0">
                  <a:solidFill>
                    <a:schemeClr val="dk1"/>
                  </a:solidFill>
                  <a:effectLst/>
                  <a:latin typeface="+mn-lt"/>
                  <a:ea typeface="+mn-ea"/>
                  <a:cs typeface="+mn-cs"/>
                </a:rPr>
                <a:t>; mogući ostatak duga; 0);2)</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Ako je poznat iznos anuiteta </a:t>
              </a:r>
              <a:r>
                <a:rPr lang="hr-HR" sz="1100" i="0" baseline="0">
                  <a:solidFill>
                    <a:schemeClr val="dk1"/>
                  </a:solidFill>
                  <a:effectLst/>
                  <a:latin typeface="Cambria Math" panose="02040503050406030204" pitchFamily="18" charset="0"/>
                  <a:ea typeface="+mn-ea"/>
                  <a:cs typeface="+mn-cs"/>
                </a:rPr>
                <a:t>𝑎</a:t>
              </a:r>
              <a:r>
                <a:rPr lang="hr-HR">
                  <a:effectLst/>
                </a:rPr>
                <a:t> tada iznos zajma</a:t>
              </a:r>
              <a:r>
                <a:rPr lang="hr-HR" baseline="0">
                  <a:effectLst/>
                </a:rPr>
                <a:t> </a:t>
              </a:r>
              <a:r>
                <a:rPr lang="hr-HR" sz="1100" b="0" i="0" baseline="0">
                  <a:solidFill>
                    <a:schemeClr val="dk1"/>
                  </a:solidFill>
                  <a:effectLst/>
                  <a:latin typeface="Cambria Math" panose="02040503050406030204" pitchFamily="18" charset="0"/>
                  <a:ea typeface="+mn-ea"/>
                  <a:cs typeface="+mn-cs"/>
                </a:rPr>
                <a:t>𝐶_0</a:t>
              </a:r>
              <a:r>
                <a:rPr lang="hr-HR" sz="1100" b="0" i="0" baseline="0">
                  <a:solidFill>
                    <a:schemeClr val="dk1"/>
                  </a:solidFill>
                  <a:effectLst/>
                  <a:latin typeface="+mn-lt"/>
                  <a:ea typeface="+mn-ea"/>
                  <a:cs typeface="+mn-cs"/>
                </a:rPr>
                <a:t> </a:t>
              </a:r>
              <a:r>
                <a:rPr lang="hr-HR" sz="1100" b="0" i="0" baseline="0">
                  <a:solidFill>
                    <a:schemeClr val="dk1"/>
                  </a:solidFill>
                  <a:effectLst/>
                  <a:latin typeface="Cambria Math" panose="02040503050406030204" pitchFamily="18" charset="0"/>
                  <a:ea typeface="+mn-ea"/>
                  <a:cs typeface="+mn-cs"/>
                </a:rPr>
                <a:t>"</a:t>
              </a:r>
              <a:r>
                <a:rPr lang="hr-HR" sz="1100" i="0" baseline="0">
                  <a:solidFill>
                    <a:schemeClr val="dk1"/>
                  </a:solidFill>
                  <a:effectLst/>
                  <a:latin typeface="Cambria Math" panose="02040503050406030204" pitchFamily="18" charset="0"/>
                  <a:ea typeface="+mn-ea"/>
                  <a:cs typeface="+mn-cs"/>
                </a:rPr>
                <a:t> </a:t>
              </a:r>
              <a:r>
                <a:rPr lang="en-US" sz="1100" i="0" baseline="0">
                  <a:solidFill>
                    <a:schemeClr val="dk1"/>
                  </a:solidFill>
                  <a:effectLst/>
                  <a:latin typeface="+mn-lt"/>
                  <a:ea typeface="+mn-ea"/>
                  <a:cs typeface="+mn-cs"/>
                </a:rPr>
                <a:t>"</a:t>
              </a:r>
              <a:r>
                <a:rPr lang="hr-HR">
                  <a:effectLst/>
                </a:rPr>
                <a:t>možemo izračunati</a:t>
              </a:r>
              <a:r>
                <a:rPr lang="hr-HR" baseline="0">
                  <a:effectLst/>
                </a:rPr>
                <a:t> </a:t>
              </a:r>
              <a:r>
                <a:rPr lang="hr-HR" sz="1100" b="0" i="0" baseline="0">
                  <a:solidFill>
                    <a:schemeClr val="dk1"/>
                  </a:solidFill>
                  <a:effectLst/>
                  <a:latin typeface="Cambria Math" panose="02040503050406030204" pitchFamily="18" charset="0"/>
                  <a:ea typeface="+mn-ea"/>
                  <a:cs typeface="+mn-cs"/>
                </a:rPr>
                <a:t>𝐶_0=𝑎∙(𝑟^𝑛−1)/(𝑟^𝑛∙(𝑟−1) )</a:t>
              </a:r>
              <a:r>
                <a:rPr lang="hr-HR">
                  <a:effectLst/>
                </a:rPr>
                <a:t>, a u excelu</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=PV(kamatna stopa %; broj razdoblja; iznos obroka; </a:t>
              </a:r>
              <a:r>
                <a:rPr lang="en-US" sz="1100" baseline="0">
                  <a:solidFill>
                    <a:schemeClr val="dk1"/>
                  </a:solidFill>
                  <a:effectLst/>
                  <a:latin typeface="+mn-lt"/>
                  <a:ea typeface="+mn-ea"/>
                  <a:cs typeface="+mn-cs"/>
                </a:rPr>
                <a:t>F</a:t>
              </a:r>
              <a:r>
                <a:rPr lang="hr-HR" sz="1100" baseline="0">
                  <a:solidFill>
                    <a:schemeClr val="dk1"/>
                  </a:solidFill>
                  <a:effectLst/>
                  <a:latin typeface="+mn-lt"/>
                  <a:ea typeface="+mn-ea"/>
                  <a:cs typeface="+mn-cs"/>
                </a:rPr>
                <a:t>V = konačna (buduća) vrijednost ako na kraju ostaje neotplaćeni iznos kredita; 0 jer se anuiteti vraćaju uvijek krajem razdoblja).</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Uzmite u obzir da se iznos kredita treba računati na 2 decimale pa prilagodimo formulu i pišemo</a:t>
              </a:r>
            </a:p>
            <a:p>
              <a:pPr marL="0" marR="0" lvl="0" indent="0" defTabSz="914400" eaLnBrk="1" fontAlgn="auto" latinLnBrk="0" hangingPunct="1">
                <a:lnSpc>
                  <a:spcPct val="100000"/>
                </a:lnSpc>
                <a:spcBef>
                  <a:spcPts val="0"/>
                </a:spcBef>
                <a:spcAft>
                  <a:spcPts val="0"/>
                </a:spcAft>
                <a:buClrTx/>
                <a:buSzTx/>
                <a:buFontTx/>
                <a:buNone/>
                <a:tabLst/>
                <a:defRPr/>
              </a:pPr>
              <a:r>
                <a:rPr lang="hr-HR" sz="1100" b="1" baseline="0">
                  <a:solidFill>
                    <a:schemeClr val="dk1"/>
                  </a:solidFill>
                  <a:effectLst/>
                  <a:latin typeface="+mn-lt"/>
                  <a:ea typeface="+mn-ea"/>
                  <a:cs typeface="+mn-cs"/>
                </a:rPr>
                <a:t>=ROUND(PV(kamatna stopa %; broj razdoblja; iznos obroka; eventualni ostatak duga;0);2)</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Napomena: iznose anuiteta </a:t>
              </a:r>
              <a:r>
                <a:rPr lang="hr-HR" sz="1100" i="0" baseline="0">
                  <a:solidFill>
                    <a:schemeClr val="dk1"/>
                  </a:solidFill>
                  <a:effectLst/>
                  <a:latin typeface="Cambria Math" panose="02040503050406030204" pitchFamily="18" charset="0"/>
                  <a:ea typeface="+mn-ea"/>
                  <a:cs typeface="+mn-cs"/>
                </a:rPr>
                <a:t>𝑎</a:t>
              </a:r>
              <a:r>
                <a:rPr lang="hr-HR">
                  <a:effectLst/>
                </a:rPr>
                <a:t> upisujemo s negativnim</a:t>
              </a:r>
              <a:r>
                <a:rPr lang="hr-HR" baseline="0">
                  <a:effectLst/>
                </a:rPr>
                <a:t> predznakom, jer ga mi plaćamo, a iznos zajma/kredita </a:t>
              </a:r>
              <a:r>
                <a:rPr lang="hr-HR" sz="1100" b="0" i="0" baseline="0">
                  <a:solidFill>
                    <a:schemeClr val="dk1"/>
                  </a:solidFill>
                  <a:effectLst/>
                  <a:latin typeface="Cambria Math" panose="02040503050406030204" pitchFamily="18" charset="0"/>
                  <a:ea typeface="+mn-ea"/>
                  <a:cs typeface="+mn-cs"/>
                </a:rPr>
                <a:t>𝐶_0</a:t>
              </a:r>
              <a:r>
                <a:rPr lang="hr-HR" baseline="0">
                  <a:effectLst/>
                </a:rPr>
                <a:t> pozitivnim jer taj iznos dobivamo.</a:t>
              </a:r>
            </a:p>
          </xdr:txBody>
        </xdr:sp>
      </mc:Fallback>
    </mc:AlternateContent>
    <xdr:clientData/>
  </xdr:twoCellAnchor>
  <xdr:twoCellAnchor>
    <xdr:from>
      <xdr:col>1</xdr:col>
      <xdr:colOff>0</xdr:colOff>
      <xdr:row>130</xdr:row>
      <xdr:rowOff>0</xdr:rowOff>
    </xdr:from>
    <xdr:to>
      <xdr:col>12</xdr:col>
      <xdr:colOff>47798</xdr:colOff>
      <xdr:row>163</xdr:row>
      <xdr:rowOff>89536</xdr:rowOff>
    </xdr:to>
    <mc:AlternateContent xmlns:mc="http://schemas.openxmlformats.org/markup-compatibility/2006" xmlns:a14="http://schemas.microsoft.com/office/drawing/2010/main">
      <mc:Choice Requires="a14">
        <xdr:sp macro="" textlink="">
          <xdr:nvSpPr>
            <xdr:cNvPr id="5" name="TekstniOkvir 4">
              <a:extLst>
                <a:ext uri="{FF2B5EF4-FFF2-40B4-BE49-F238E27FC236}">
                  <a16:creationId xmlns:a16="http://schemas.microsoft.com/office/drawing/2014/main" id="{6B1A8C93-54B3-4D59-A73E-3CC2ED0E6A01}"/>
                </a:ext>
              </a:extLst>
            </xdr:cNvPr>
            <xdr:cNvSpPr txBox="1"/>
          </xdr:nvSpPr>
          <xdr:spPr>
            <a:xfrm>
              <a:off x="609600" y="23939500"/>
              <a:ext cx="6753398" cy="6166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IZRADA OTPLATNE TABLICE</a:t>
              </a:r>
            </a:p>
            <a:p>
              <a:endParaRPr lang="hr-HR" sz="1100"/>
            </a:p>
            <a:p>
              <a:r>
                <a:rPr lang="hr-HR" sz="1100"/>
                <a:t>Otplatna</a:t>
              </a:r>
              <a:r>
                <a:rPr lang="hr-HR" sz="1100" baseline="0"/>
                <a:t> tablica ima 5 stupaca: k a I R C, podsjeća na KAIRO.</a:t>
              </a:r>
            </a:p>
            <a:p>
              <a14:m>
                <m:oMath xmlns:m="http://schemas.openxmlformats.org/officeDocument/2006/math">
                  <m:r>
                    <a:rPr lang="hr-HR" sz="1100" b="0" i="1">
                      <a:latin typeface="Cambria Math" panose="02040503050406030204" pitchFamily="18" charset="0"/>
                    </a:rPr>
                    <m:t>𝑘</m:t>
                  </m:r>
                </m:oMath>
              </a14:m>
              <a:r>
                <a:rPr lang="hr-HR" sz="1100"/>
                <a:t> je redni broj anuiteta, kreće od broja 0</a:t>
              </a:r>
            </a:p>
            <a:p>
              <a14:m>
                <m:oMath xmlns:m="http://schemas.openxmlformats.org/officeDocument/2006/math">
                  <m:r>
                    <a:rPr lang="hr-HR" sz="1100" b="0" i="1">
                      <a:latin typeface="Cambria Math" panose="02040503050406030204" pitchFamily="18" charset="0"/>
                    </a:rPr>
                    <m:t>𝑎</m:t>
                  </m:r>
                </m:oMath>
              </a14:m>
              <a:r>
                <a:rPr lang="hr-HR" sz="1100"/>
                <a:t> iznos</a:t>
              </a:r>
              <a:r>
                <a:rPr lang="hr-HR" sz="1100" baseline="0"/>
                <a:t> anuiteta (unesite s pozitivnim predznakom)</a:t>
              </a:r>
            </a:p>
            <a:p>
              <a:pPr eaLnBrk="1" fontAlgn="auto" latinLnBrk="0" hangingPunct="1"/>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kamata u k-tom razdoblju otplate</a:t>
              </a:r>
              <a:endParaRPr lang="hr-HR">
                <a:effectLst/>
              </a:endParaRPr>
            </a:p>
            <a:p>
              <a:pPr eaLnBrk="1" fontAlgn="auto" latinLnBrk="0" hangingPunct="1"/>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otplatna kvota (otplata glavnice) u k-tom otplatnom razdoblju</a:t>
              </a:r>
              <a:endParaRPr lang="hr-HR">
                <a:effectLst/>
              </a:endParaRPr>
            </a:p>
            <a:p>
              <a:pPr eaLnBrk="1" fontAlgn="auto" latinLnBrk="0" hangingPunct="1"/>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ostatak duga u k-tom razdoblju otplate</a:t>
              </a:r>
              <a:endParaRPr lang="hr-HR">
                <a:effectLst/>
              </a:endParaRPr>
            </a:p>
            <a:p>
              <a:endParaRPr lang="hr-HR" sz="1100"/>
            </a:p>
            <a:p>
              <a:r>
                <a:rPr lang="hr-HR" sz="1100"/>
                <a:t>U 0-tom razdoblju</a:t>
              </a:r>
              <a:r>
                <a:rPr lang="hr-HR" sz="1100" baseline="0"/>
                <a:t>/retku uzimamo kredit/zajam i upisujemo iznos zajma.</a:t>
              </a:r>
            </a:p>
            <a:p>
              <a:r>
                <a:rPr lang="hr-HR" sz="1100" baseline="0"/>
                <a:t>Popunimo iznos anuiteta </a:t>
              </a:r>
              <a14:m>
                <m:oMath xmlns:m="http://schemas.openxmlformats.org/officeDocument/2006/math">
                  <m:r>
                    <a:rPr lang="hr-HR" sz="1100" b="0" i="1" baseline="0">
                      <a:latin typeface="Cambria Math" panose="02040503050406030204" pitchFamily="18" charset="0"/>
                    </a:rPr>
                    <m:t>𝑎</m:t>
                  </m:r>
                </m:oMath>
              </a14:m>
              <a:r>
                <a:rPr lang="hr-HR" sz="1100" baseline="0"/>
                <a:t> za sva razdoblja otplate, ali u pozitivnom iznosu.</a:t>
              </a:r>
            </a:p>
            <a:p>
              <a:r>
                <a:rPr lang="hr-HR" sz="1100" baseline="0"/>
                <a:t>Popunjavanje 1. retka:</a:t>
              </a:r>
            </a:p>
            <a:p>
              <a:r>
                <a:rPr lang="hr-HR" sz="1100" baseline="0"/>
                <a:t>Kamata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en-US" sz="1100" b="0" i="1" baseline="0">
                      <a:solidFill>
                        <a:schemeClr val="dk1"/>
                      </a:solidFill>
                      <a:effectLst/>
                      <a:latin typeface="Cambria Math" panose="02040503050406030204" pitchFamily="18" charset="0"/>
                      <a:ea typeface="+mn-ea"/>
                      <a:cs typeface="+mn-cs"/>
                    </a:rPr>
                    <m:t>𝑅𝑂𝑈𝑁𝐷</m:t>
                  </m:r>
                  <m:r>
                    <a:rPr lang="en-US"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Cambria Math" panose="02040503050406030204" pitchFamily="18" charset="0"/>
                      <a:cs typeface="+mn-cs"/>
                    </a:rPr>
                    <m:t>∙</m:t>
                  </m:r>
                  <m:r>
                    <a:rPr lang="hr-HR" sz="1100" b="0" i="1" baseline="0">
                      <a:solidFill>
                        <a:schemeClr val="dk1"/>
                      </a:solidFill>
                      <a:effectLst/>
                      <a:latin typeface="Cambria Math" panose="02040503050406030204" pitchFamily="18" charset="0"/>
                      <a:ea typeface="Cambria Math" panose="02040503050406030204" pitchFamily="18" charset="0"/>
                      <a:cs typeface="+mn-cs"/>
                    </a:rPr>
                    <m:t>𝑝</m:t>
                  </m:r>
                  <m:r>
                    <a:rPr lang="en-US" sz="1100" b="0" i="1" baseline="0">
                      <a:solidFill>
                        <a:schemeClr val="dk1"/>
                      </a:solidFill>
                      <a:effectLst/>
                      <a:latin typeface="Cambria Math" panose="02040503050406030204" pitchFamily="18" charset="0"/>
                      <a:ea typeface="Cambria Math" panose="02040503050406030204" pitchFamily="18" charset="0"/>
                      <a:cs typeface="+mn-cs"/>
                    </a:rPr>
                    <m:t>;2)</m:t>
                  </m:r>
                </m:oMath>
              </a14:m>
              <a:r>
                <a:rPr lang="hr-HR" sz="1100" i="0" baseline="0">
                  <a:solidFill>
                    <a:schemeClr val="dk1"/>
                  </a:solidFill>
                  <a:effectLst/>
                  <a:latin typeface="+mn-lt"/>
                  <a:ea typeface="+mn-ea"/>
                  <a:cs typeface="+mn-cs"/>
                </a:rPr>
                <a:t>. (jer je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zapisan kao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r>
                    <a:rPr lang="hr-HR" sz="1100" b="0" i="1" baseline="0">
                      <a:solidFill>
                        <a:schemeClr val="dk1"/>
                      </a:solidFill>
                      <a:effectLst/>
                      <a:latin typeface="Cambria Math" panose="02040503050406030204" pitchFamily="18" charset="0"/>
                      <a:ea typeface="+mn-ea"/>
                      <a:cs typeface="+mn-cs"/>
                    </a:rPr>
                    <m:t>=5%</m:t>
                  </m:r>
                </m:oMath>
              </a14:m>
              <a:r>
                <a:rPr lang="hr-HR" sz="1100" i="0" baseline="0">
                  <a:solidFill>
                    <a:schemeClr val="dk1"/>
                  </a:solidFill>
                  <a:effectLst/>
                  <a:latin typeface="+mn-lt"/>
                  <a:ea typeface="+mn-ea"/>
                  <a:cs typeface="+mn-cs"/>
                </a:rPr>
                <a:t> što je jednako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r>
                    <a:rPr lang="hr-HR" sz="1100" b="0" i="1" baseline="0">
                      <a:solidFill>
                        <a:schemeClr val="dk1"/>
                      </a:solidFill>
                      <a:effectLst/>
                      <a:latin typeface="Cambria Math" panose="02040503050406030204" pitchFamily="18" charset="0"/>
                      <a:ea typeface="+mn-ea"/>
                      <a:cs typeface="+mn-cs"/>
                    </a:rPr>
                    <m:t>=0,05</m:t>
                  </m:r>
                </m:oMath>
              </a14:m>
              <a:r>
                <a:rPr lang="hr-HR" sz="1100" i="0" baseline="0">
                  <a:solidFill>
                    <a:schemeClr val="dk1"/>
                  </a:solidFill>
                  <a:effectLst/>
                  <a:latin typeface="+mn-lt"/>
                  <a:ea typeface="+mn-ea"/>
                  <a:cs typeface="+mn-cs"/>
                </a:rPr>
                <a:t> pa nema potrebe dijeliti izraz sa 100 i koristiti formulu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𝑝</m:t>
                      </m:r>
                      <m:r>
                        <m:rPr>
                          <m:nor/>
                        </m:rPr>
                        <a:rPr lang="hr-HR" sz="1100" i="0" baseline="0">
                          <a:solidFill>
                            <a:schemeClr val="dk1"/>
                          </a:solidFill>
                          <a:effectLst/>
                          <a:latin typeface="+mn-lt"/>
                          <a:ea typeface="+mn-ea"/>
                          <a:cs typeface="+mn-cs"/>
                        </a:rPr>
                        <m:t> </m:t>
                      </m:r>
                    </m:num>
                    <m:den>
                      <m:r>
                        <a:rPr lang="hr-HR" sz="1100" b="0" i="1" baseline="0">
                          <a:solidFill>
                            <a:schemeClr val="dk1"/>
                          </a:solidFill>
                          <a:effectLst/>
                          <a:latin typeface="Cambria Math" panose="02040503050406030204" pitchFamily="18" charset="0"/>
                          <a:ea typeface="+mn-ea"/>
                          <a:cs typeface="+mn-cs"/>
                        </a:rPr>
                        <m:t>100</m:t>
                      </m:r>
                    </m:den>
                  </m:f>
                </m:oMath>
              </a14:m>
              <a:r>
                <a:rPr lang="hr-HR" sz="1100"/>
                <a:t>). Napomena:</a:t>
              </a:r>
              <a:r>
                <a:rPr lang="hr-HR" sz="1100" baseline="0"/>
                <a:t> koristite naredbu </a:t>
              </a:r>
              <a:r>
                <a:rPr lang="hr-HR" sz="1100" b="1" baseline="0"/>
                <a:t>=ROUND(   ;2)</a:t>
              </a:r>
              <a:endParaRPr lang="hr-HR" sz="1100" b="1"/>
            </a:p>
            <a:p>
              <a:r>
                <a:rPr lang="hr-HR" sz="1100"/>
                <a:t>Otplatna kvota je otplata glavnice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𝑎</m:t>
                  </m:r>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oMath>
              </a14:m>
              <a:r>
                <a:rPr lang="hr-HR" sz="1100"/>
                <a:t>.</a:t>
              </a:r>
            </a:p>
            <a:p>
              <a:r>
                <a:rPr lang="hr-HR" sz="1100"/>
                <a:t>Ostatak duga nakon</a:t>
              </a:r>
              <a:r>
                <a:rPr lang="hr-HR" sz="1100" baseline="0"/>
                <a:t> prvog otplaćenog anuiteta iznosi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1</m:t>
                      </m:r>
                    </m:sub>
                  </m:sSub>
                </m:oMath>
              </a14:m>
              <a:r>
                <a:rPr lang="hr-HR" sz="1100"/>
                <a:t>.</a:t>
              </a:r>
            </a:p>
            <a:p>
              <a:endParaRPr lang="hr-HR" sz="1100"/>
            </a:p>
            <a:p>
              <a:r>
                <a:rPr lang="hr-HR" sz="1100"/>
                <a:t>Nakon toga se</a:t>
              </a:r>
              <a:r>
                <a:rPr lang="hr-HR" sz="1100" baseline="0"/>
                <a:t> popunjavaju ostali retci: </a:t>
              </a:r>
            </a:p>
            <a:p>
              <a:pPr/>
              <a14:m>
                <m:oMathPara xmlns:m="http://schemas.openxmlformats.org/officeDocument/2006/math">
                  <m:oMathParaPr>
                    <m:jc m:val="left"/>
                  </m:oMathParaPr>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en-US" sz="1100" b="0" i="1" baseline="0">
                        <a:solidFill>
                          <a:schemeClr val="dk1"/>
                        </a:solidFill>
                        <a:effectLst/>
                        <a:latin typeface="Cambria Math" panose="02040503050406030204" pitchFamily="18" charset="0"/>
                        <a:ea typeface="+mn-ea"/>
                        <a:cs typeface="+mn-cs"/>
                      </a:rPr>
                      <m:t>𝑅𝑂𝑈𝑁𝐷</m:t>
                    </m:r>
                    <m:r>
                      <a:rPr lang="en-US"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𝑝</m:t>
                    </m:r>
                    <m:r>
                      <a:rPr lang="en-US" sz="1100" b="0" i="1" baseline="0">
                        <a:solidFill>
                          <a:schemeClr val="dk1"/>
                        </a:solidFill>
                        <a:effectLst/>
                        <a:latin typeface="Cambria Math" panose="02040503050406030204" pitchFamily="18" charset="0"/>
                        <a:ea typeface="+mn-ea"/>
                        <a:cs typeface="+mn-cs"/>
                      </a:rPr>
                      <m:t>;2)</m:t>
                    </m:r>
                  </m:oMath>
                </m:oMathPara>
              </a14:m>
              <a:endParaRPr lang="hr-HR" sz="1100"/>
            </a:p>
            <a:p>
              <a:pPr/>
              <a14:m>
                <m:oMathPara xmlns:m="http://schemas.openxmlformats.org/officeDocument/2006/math">
                  <m:oMathParaPr>
                    <m:jc m:val="left"/>
                  </m:oMathParaPr>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𝑎</m:t>
                    </m:r>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m:oMathPara>
              </a14:m>
              <a:endParaRPr lang="hr-HR" sz="1100"/>
            </a:p>
            <a:p>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a:t>.</a:t>
              </a:r>
            </a:p>
            <a:p>
              <a:r>
                <a:rPr lang="hr-HR" sz="1100"/>
                <a:t>U excelu je dovoljno popuniti prvi redak</a:t>
              </a:r>
              <a:r>
                <a:rPr lang="hr-HR" sz="1100" baseline="0"/>
                <a:t> i potom kopirati/razvući u ostale retke. Pazite da usidrite s F4 odgovarajuće podatke (kamatnu stopu).</a:t>
              </a:r>
            </a:p>
            <a:p>
              <a:endParaRPr lang="hr-HR" sz="1100" baseline="0"/>
            </a:p>
            <a:p>
              <a:r>
                <a:rPr lang="hr-HR" sz="1100" baseline="0"/>
                <a:t>PROVJERA TABLICE:</a:t>
              </a:r>
            </a:p>
            <a:p>
              <a:r>
                <a:rPr lang="hr-HR" sz="1100" baseline="0"/>
                <a:t>zadnji ostatak duga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𝑛</m:t>
                      </m:r>
                    </m:sub>
                  </m:sSub>
                </m:oMath>
              </a14:m>
              <a:r>
                <a:rPr lang="hr-HR" sz="1100" baseline="0"/>
                <a:t> treba biti jednak nula</a:t>
              </a:r>
            </a:p>
            <a:p>
              <a:pPr/>
              <a14:m>
                <m:oMathPara xmlns:m="http://schemas.openxmlformats.org/officeDocument/2006/math">
                  <m:oMathParaPr>
                    <m:jc m:val="left"/>
                  </m:oMathParaPr>
                  <m:oMath xmlns:m="http://schemas.openxmlformats.org/officeDocument/2006/math">
                    <m:nary>
                      <m:naryPr>
                        <m:chr m:val="∑"/>
                        <m:subHide m:val="on"/>
                        <m:supHide m:val="on"/>
                        <m:ctrlPr>
                          <a:rPr lang="hr-HR" sz="1100" i="1" baseline="0">
                            <a:latin typeface="Cambria Math" panose="02040503050406030204" pitchFamily="18" charset="0"/>
                          </a:rPr>
                        </m:ctrlPr>
                      </m:naryPr>
                      <m:sub/>
                      <m:sup/>
                      <m:e>
                        <m:sSub>
                          <m:sSubPr>
                            <m:ctrlPr>
                              <a:rPr lang="hr-HR" sz="1100" i="1" baseline="0">
                                <a:latin typeface="Cambria Math" panose="02040503050406030204" pitchFamily="18" charset="0"/>
                              </a:rPr>
                            </m:ctrlPr>
                          </m:sSubPr>
                          <m:e>
                            <m:r>
                              <a:rPr lang="hr-HR" sz="1100" b="0" i="1" baseline="0">
                                <a:latin typeface="Cambria Math" panose="02040503050406030204" pitchFamily="18" charset="0"/>
                              </a:rPr>
                              <m:t>𝑅</m:t>
                            </m:r>
                          </m:e>
                          <m:sub>
                            <m:r>
                              <a:rPr lang="hr-HR" sz="1100" b="0" i="1" baseline="0">
                                <a:latin typeface="Cambria Math" panose="02040503050406030204" pitchFamily="18" charset="0"/>
                              </a:rPr>
                              <m:t>𝑘</m:t>
                            </m:r>
                          </m:sub>
                        </m:sSub>
                      </m:e>
                    </m:nary>
                    <m:r>
                      <a:rPr lang="hr-HR" sz="1100" b="0" i="1" baseline="0">
                        <a:latin typeface="Cambria Math" panose="02040503050406030204" pitchFamily="18" charset="0"/>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m:oMathPara>
              </a14:m>
              <a:endParaRPr lang="hr-HR" sz="1100" baseline="0"/>
            </a:p>
            <a:p>
              <a:pPr/>
              <a14:m>
                <m:oMathPara xmlns:m="http://schemas.openxmlformats.org/officeDocument/2006/math">
                  <m:oMathParaPr>
                    <m:jc m:val="left"/>
                  </m:oMathParaPr>
                  <m:oMath xmlns:m="http://schemas.openxmlformats.org/officeDocument/2006/math">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r>
                          <a:rPr lang="hr-HR" sz="1100" i="1" baseline="0">
                            <a:solidFill>
                              <a:schemeClr val="dk1"/>
                            </a:solidFill>
                            <a:effectLst/>
                            <a:latin typeface="Cambria Math" panose="02040503050406030204" pitchFamily="18" charset="0"/>
                            <a:ea typeface="+mn-ea"/>
                            <a:cs typeface="+mn-cs"/>
                          </a:rPr>
                          <m:t>𝑎</m:t>
                        </m:r>
                      </m:e>
                    </m:nary>
                    <m:r>
                      <a:rPr lang="hr-HR" sz="1100" b="0" i="1" baseline="0">
                        <a:solidFill>
                          <a:schemeClr val="dk1"/>
                        </a:solidFill>
                        <a:effectLst/>
                        <a:latin typeface="Cambria Math" panose="02040503050406030204" pitchFamily="18" charset="0"/>
                        <a:ea typeface="+mn-ea"/>
                        <a:cs typeface="+mn-cs"/>
                      </a:rPr>
                      <m:t>=</m:t>
                    </m:r>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e>
                    </m:nary>
                    <m:r>
                      <a:rPr lang="hr-HR" sz="1100" b="0" i="1" baseline="0">
                        <a:solidFill>
                          <a:schemeClr val="dk1"/>
                        </a:solidFill>
                        <a:effectLst/>
                        <a:latin typeface="Cambria Math" panose="02040503050406030204" pitchFamily="18" charset="0"/>
                        <a:ea typeface="+mn-ea"/>
                        <a:cs typeface="+mn-cs"/>
                      </a:rPr>
                      <m:t>+</m:t>
                    </m:r>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m:t>
                            </m:r>
                          </m:e>
                          <m:sub>
                            <m:r>
                              <a:rPr lang="hr-HR" sz="1100" b="0" i="1" baseline="0">
                                <a:solidFill>
                                  <a:schemeClr val="dk1"/>
                                </a:solidFill>
                                <a:effectLst/>
                                <a:latin typeface="Cambria Math" panose="02040503050406030204" pitchFamily="18" charset="0"/>
                                <a:ea typeface="+mn-ea"/>
                                <a:cs typeface="+mn-cs"/>
                              </a:rPr>
                              <m:t>𝑘</m:t>
                            </m:r>
                          </m:sub>
                        </m:sSub>
                      </m:e>
                    </m:nary>
                  </m:oMath>
                </m:oMathPara>
              </a14:m>
              <a:endParaRPr lang="hr-HR" sz="1100" baseline="0"/>
            </a:p>
            <a:p>
              <a:endParaRPr lang="hr-HR" sz="1100" baseline="0"/>
            </a:p>
            <a:p>
              <a:r>
                <a:rPr lang="hr-HR" sz="1100"/>
                <a:t>Napomena: </a:t>
              </a:r>
              <a:r>
                <a:rPr lang="hr-HR" sz="1100" i="1"/>
                <a:t>k</a:t>
              </a:r>
              <a:r>
                <a:rPr lang="hr-HR" sz="1100"/>
                <a:t> u ovom slučaju predstavlja</a:t>
              </a:r>
              <a:r>
                <a:rPr lang="hr-HR" sz="1100" baseline="0"/>
                <a:t> redni broj otplatnog razdoblja, a ne konformnu metodu!!!</a:t>
              </a:r>
              <a:endParaRPr lang="hr-HR" sz="1100"/>
            </a:p>
            <a:p>
              <a:endParaRPr lang="hr-HR" sz="1100"/>
            </a:p>
          </xdr:txBody>
        </xdr:sp>
      </mc:Choice>
      <mc:Fallback xmlns="">
        <xdr:sp macro="" textlink="">
          <xdr:nvSpPr>
            <xdr:cNvPr id="5" name="TekstniOkvir 4">
              <a:extLst>
                <a:ext uri="{FF2B5EF4-FFF2-40B4-BE49-F238E27FC236}">
                  <a16:creationId xmlns:a16="http://schemas.microsoft.com/office/drawing/2014/main" id="{6B1A8C93-54B3-4D59-A73E-3CC2ED0E6A01}"/>
                </a:ext>
              </a:extLst>
            </xdr:cNvPr>
            <xdr:cNvSpPr txBox="1"/>
          </xdr:nvSpPr>
          <xdr:spPr>
            <a:xfrm>
              <a:off x="609600" y="23939500"/>
              <a:ext cx="6753398" cy="6166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IZRADA OTPLATNE TABLICE</a:t>
              </a:r>
            </a:p>
            <a:p>
              <a:endParaRPr lang="hr-HR" sz="1100"/>
            </a:p>
            <a:p>
              <a:r>
                <a:rPr lang="hr-HR" sz="1100"/>
                <a:t>Otplatna</a:t>
              </a:r>
              <a:r>
                <a:rPr lang="hr-HR" sz="1100" baseline="0"/>
                <a:t> tablica ima 5 stupaca: k a I R C, podsjeća na KAIRO.</a:t>
              </a:r>
            </a:p>
            <a:p>
              <a:r>
                <a:rPr lang="hr-HR" sz="1100" b="0" i="0">
                  <a:latin typeface="Cambria Math" panose="02040503050406030204" pitchFamily="18" charset="0"/>
                </a:rPr>
                <a:t>𝑘</a:t>
              </a:r>
              <a:r>
                <a:rPr lang="hr-HR" sz="1100"/>
                <a:t> je redni broj anuiteta, kreće od broja 0</a:t>
              </a:r>
            </a:p>
            <a:p>
              <a:r>
                <a:rPr lang="hr-HR" sz="1100" b="0" i="0">
                  <a:latin typeface="Cambria Math" panose="02040503050406030204" pitchFamily="18" charset="0"/>
                </a:rPr>
                <a:t>𝑎</a:t>
              </a:r>
              <a:r>
                <a:rPr lang="hr-HR" sz="1100"/>
                <a:t> iznos</a:t>
              </a:r>
              <a:r>
                <a:rPr lang="hr-HR" sz="1100" baseline="0"/>
                <a:t> anuiteta (unesite s pozitivnim predznakom)</a:t>
              </a:r>
            </a:p>
            <a:p>
              <a:pPr eaLnBrk="1" fontAlgn="auto" latinLnBrk="0" hangingPunct="1"/>
              <a:r>
                <a:rPr lang="hr-HR" sz="1100" b="0" i="0" baseline="0">
                  <a:solidFill>
                    <a:schemeClr val="dk1"/>
                  </a:solidFill>
                  <a:effectLst/>
                  <a:latin typeface="Cambria Math" panose="02040503050406030204" pitchFamily="18" charset="0"/>
                  <a:ea typeface="+mn-ea"/>
                  <a:cs typeface="+mn-cs"/>
                </a:rPr>
                <a:t>𝐼_𝑘</a:t>
              </a:r>
              <a:r>
                <a:rPr lang="hr-HR" sz="1100" i="0" baseline="0">
                  <a:solidFill>
                    <a:schemeClr val="dk1"/>
                  </a:solidFill>
                  <a:effectLst/>
                  <a:latin typeface="+mn-lt"/>
                  <a:ea typeface="+mn-ea"/>
                  <a:cs typeface="+mn-cs"/>
                </a:rPr>
                <a:t> kamata u k-tom razdoblju otplate</a:t>
              </a:r>
              <a:endParaRPr lang="hr-HR">
                <a:effectLst/>
              </a:endParaRPr>
            </a:p>
            <a:p>
              <a:pPr eaLnBrk="1" fontAlgn="auto" latinLnBrk="0" hangingPunct="1"/>
              <a:r>
                <a:rPr lang="hr-HR" sz="1100" b="0" i="0" baseline="0">
                  <a:solidFill>
                    <a:schemeClr val="dk1"/>
                  </a:solidFill>
                  <a:effectLst/>
                  <a:latin typeface="Cambria Math" panose="02040503050406030204" pitchFamily="18" charset="0"/>
                  <a:ea typeface="+mn-ea"/>
                  <a:cs typeface="+mn-cs"/>
                </a:rPr>
                <a:t>𝑅_𝑘</a:t>
              </a:r>
              <a:r>
                <a:rPr lang="hr-HR" sz="1100" i="0" baseline="0">
                  <a:solidFill>
                    <a:schemeClr val="dk1"/>
                  </a:solidFill>
                  <a:effectLst/>
                  <a:latin typeface="+mn-lt"/>
                  <a:ea typeface="+mn-ea"/>
                  <a:cs typeface="+mn-cs"/>
                </a:rPr>
                <a:t> otplatna kvota (otplata glavnice) u k-tom otplatnom razdoblju</a:t>
              </a:r>
              <a:endParaRPr lang="hr-HR">
                <a:effectLst/>
              </a:endParaRPr>
            </a:p>
            <a:p>
              <a:pPr eaLnBrk="1" fontAlgn="auto" latinLnBrk="0" hangingPunct="1"/>
              <a:r>
                <a:rPr lang="hr-HR" sz="1100" b="0" i="0" baseline="0">
                  <a:solidFill>
                    <a:schemeClr val="dk1"/>
                  </a:solidFill>
                  <a:effectLst/>
                  <a:latin typeface="Cambria Math" panose="02040503050406030204" pitchFamily="18" charset="0"/>
                  <a:ea typeface="+mn-ea"/>
                  <a:cs typeface="+mn-cs"/>
                </a:rPr>
                <a:t>𝐶_𝑘</a:t>
              </a:r>
              <a:r>
                <a:rPr lang="hr-HR" sz="1100" i="0" baseline="0">
                  <a:solidFill>
                    <a:schemeClr val="dk1"/>
                  </a:solidFill>
                  <a:effectLst/>
                  <a:latin typeface="+mn-lt"/>
                  <a:ea typeface="+mn-ea"/>
                  <a:cs typeface="+mn-cs"/>
                </a:rPr>
                <a:t> ostatak duga u k-tom razdoblju otplate</a:t>
              </a:r>
              <a:endParaRPr lang="hr-HR">
                <a:effectLst/>
              </a:endParaRPr>
            </a:p>
            <a:p>
              <a:endParaRPr lang="hr-HR" sz="1100"/>
            </a:p>
            <a:p>
              <a:r>
                <a:rPr lang="hr-HR" sz="1100"/>
                <a:t>U 0-tom razdoblju</a:t>
              </a:r>
              <a:r>
                <a:rPr lang="hr-HR" sz="1100" baseline="0"/>
                <a:t>/retku uzimamo kredit/zajam i upisujemo iznos zajma.</a:t>
              </a:r>
            </a:p>
            <a:p>
              <a:r>
                <a:rPr lang="hr-HR" sz="1100" baseline="0"/>
                <a:t>Popunimo iznos anuiteta </a:t>
              </a:r>
              <a:r>
                <a:rPr lang="hr-HR" sz="1100" b="0" i="0" baseline="0">
                  <a:latin typeface="Cambria Math" panose="02040503050406030204" pitchFamily="18" charset="0"/>
                </a:rPr>
                <a:t>𝑎</a:t>
              </a:r>
              <a:r>
                <a:rPr lang="hr-HR" sz="1100" baseline="0"/>
                <a:t> za sva razdoblja otplate, ali u pozitivnom iznosu.</a:t>
              </a:r>
            </a:p>
            <a:p>
              <a:r>
                <a:rPr lang="hr-HR" sz="1100" baseline="0"/>
                <a:t>Popunjavanje 1. retka:</a:t>
              </a:r>
            </a:p>
            <a:p>
              <a:r>
                <a:rPr lang="hr-HR" sz="1100" baseline="0"/>
                <a:t>Kamata </a:t>
              </a:r>
              <a:r>
                <a:rPr lang="hr-HR" sz="1100" b="0" i="0" baseline="0">
                  <a:solidFill>
                    <a:schemeClr val="dk1"/>
                  </a:solidFill>
                  <a:effectLst/>
                  <a:latin typeface="Cambria Math" panose="02040503050406030204" pitchFamily="18" charset="0"/>
                  <a:ea typeface="+mn-ea"/>
                  <a:cs typeface="+mn-cs"/>
                </a:rPr>
                <a:t>𝐼_1=</a:t>
              </a:r>
              <a:r>
                <a:rPr lang="en-US" sz="1100" b="0" i="0" baseline="0">
                  <a:solidFill>
                    <a:schemeClr val="dk1"/>
                  </a:solidFill>
                  <a:effectLst/>
                  <a:latin typeface="Cambria Math" panose="02040503050406030204" pitchFamily="18" charset="0"/>
                  <a:ea typeface="+mn-ea"/>
                  <a:cs typeface="+mn-cs"/>
                </a:rPr>
                <a:t>𝑅𝑂𝑈𝑁𝐷(</a:t>
              </a:r>
              <a:r>
                <a:rPr lang="hr-HR" sz="1100" b="0" i="0" baseline="0">
                  <a:solidFill>
                    <a:schemeClr val="dk1"/>
                  </a:solidFill>
                  <a:effectLst/>
                  <a:latin typeface="Cambria Math" panose="02040503050406030204" pitchFamily="18" charset="0"/>
                  <a:ea typeface="+mn-ea"/>
                  <a:cs typeface="+mn-cs"/>
                </a:rPr>
                <a:t>𝐶_0</a:t>
              </a:r>
              <a:r>
                <a:rPr lang="hr-HR" sz="1100" b="0" i="0" baseline="0">
                  <a:solidFill>
                    <a:schemeClr val="dk1"/>
                  </a:solidFill>
                  <a:effectLst/>
                  <a:latin typeface="Cambria Math" panose="02040503050406030204" pitchFamily="18" charset="0"/>
                  <a:ea typeface="Cambria Math" panose="02040503050406030204" pitchFamily="18" charset="0"/>
                  <a:cs typeface="+mn-cs"/>
                </a:rPr>
                <a:t>∙𝑝</a:t>
              </a:r>
              <a:r>
                <a:rPr lang="en-US" sz="1100" b="0" i="0" baseline="0">
                  <a:solidFill>
                    <a:schemeClr val="dk1"/>
                  </a:solidFill>
                  <a:effectLst/>
                  <a:latin typeface="Cambria Math" panose="02040503050406030204" pitchFamily="18" charset="0"/>
                  <a:ea typeface="Cambria Math" panose="02040503050406030204" pitchFamily="18" charset="0"/>
                  <a:cs typeface="+mn-cs"/>
                </a:rPr>
                <a:t>;2)</a:t>
              </a:r>
              <a:r>
                <a:rPr lang="hr-HR" sz="1100" i="0" baseline="0">
                  <a:solidFill>
                    <a:schemeClr val="dk1"/>
                  </a:solidFill>
                  <a:effectLst/>
                  <a:latin typeface="+mn-lt"/>
                  <a:ea typeface="+mn-ea"/>
                  <a:cs typeface="+mn-cs"/>
                </a:rPr>
                <a:t>. (jer je </a:t>
              </a:r>
              <a:r>
                <a:rPr lang="hr-HR" sz="1100" b="0" i="0" baseline="0">
                  <a:solidFill>
                    <a:schemeClr val="dk1"/>
                  </a:solidFill>
                  <a:effectLst/>
                  <a:latin typeface="Cambria Math" panose="02040503050406030204" pitchFamily="18" charset="0"/>
                  <a:ea typeface="+mn-ea"/>
                  <a:cs typeface="+mn-cs"/>
                </a:rPr>
                <a:t>𝑝</a:t>
              </a:r>
              <a:r>
                <a:rPr lang="hr-HR" sz="1100" i="0" baseline="0">
                  <a:solidFill>
                    <a:schemeClr val="dk1"/>
                  </a:solidFill>
                  <a:effectLst/>
                  <a:latin typeface="+mn-lt"/>
                  <a:ea typeface="+mn-ea"/>
                  <a:cs typeface="+mn-cs"/>
                </a:rPr>
                <a:t> zapisan kao </a:t>
              </a:r>
              <a:r>
                <a:rPr lang="hr-HR" sz="1100" b="0" i="0" baseline="0">
                  <a:solidFill>
                    <a:schemeClr val="dk1"/>
                  </a:solidFill>
                  <a:effectLst/>
                  <a:latin typeface="Cambria Math" panose="02040503050406030204" pitchFamily="18" charset="0"/>
                  <a:ea typeface="+mn-ea"/>
                  <a:cs typeface="+mn-cs"/>
                </a:rPr>
                <a:t>𝑝=5%</a:t>
              </a:r>
              <a:r>
                <a:rPr lang="hr-HR" sz="1100" i="0" baseline="0">
                  <a:solidFill>
                    <a:schemeClr val="dk1"/>
                  </a:solidFill>
                  <a:effectLst/>
                  <a:latin typeface="+mn-lt"/>
                  <a:ea typeface="+mn-ea"/>
                  <a:cs typeface="+mn-cs"/>
                </a:rPr>
                <a:t> što je jednako </a:t>
              </a:r>
              <a:r>
                <a:rPr lang="hr-HR" sz="1100" b="0" i="0" baseline="0">
                  <a:solidFill>
                    <a:schemeClr val="dk1"/>
                  </a:solidFill>
                  <a:effectLst/>
                  <a:latin typeface="Cambria Math" panose="02040503050406030204" pitchFamily="18" charset="0"/>
                  <a:ea typeface="+mn-ea"/>
                  <a:cs typeface="+mn-cs"/>
                </a:rPr>
                <a:t>𝑝=0,05</a:t>
              </a:r>
              <a:r>
                <a:rPr lang="hr-HR" sz="1100" i="0" baseline="0">
                  <a:solidFill>
                    <a:schemeClr val="dk1"/>
                  </a:solidFill>
                  <a:effectLst/>
                  <a:latin typeface="+mn-lt"/>
                  <a:ea typeface="+mn-ea"/>
                  <a:cs typeface="+mn-cs"/>
                </a:rPr>
                <a:t> pa nema potrebe dijeliti izraz sa 100 i koristiti formulu </a:t>
              </a:r>
              <a:r>
                <a:rPr lang="hr-HR" sz="1100" b="0" i="0" baseline="0">
                  <a:solidFill>
                    <a:schemeClr val="dk1"/>
                  </a:solidFill>
                  <a:effectLst/>
                  <a:latin typeface="Cambria Math" panose="02040503050406030204" pitchFamily="18" charset="0"/>
                  <a:ea typeface="+mn-ea"/>
                  <a:cs typeface="+mn-cs"/>
                </a:rPr>
                <a:t>𝐼_1=(𝐶_0∙𝑝</a:t>
              </a:r>
              <a:r>
                <a:rPr lang="hr-HR" sz="1100" b="0" i="0" baseline="0">
                  <a:solidFill>
                    <a:schemeClr val="dk1"/>
                  </a:solidFill>
                  <a:effectLst/>
                  <a:latin typeface="+mn-lt"/>
                  <a:ea typeface="+mn-ea"/>
                  <a:cs typeface="+mn-cs"/>
                </a:rPr>
                <a:t>"</a:t>
              </a:r>
              <a:r>
                <a:rPr lang="hr-HR" sz="1100" i="0" baseline="0">
                  <a:solidFill>
                    <a:schemeClr val="dk1"/>
                  </a:solidFill>
                  <a:effectLst/>
                  <a:latin typeface="+mn-lt"/>
                  <a:ea typeface="+mn-ea"/>
                  <a:cs typeface="+mn-cs"/>
                </a:rPr>
                <a:t> </a:t>
              </a:r>
              <a:r>
                <a:rPr lang="hr-HR" sz="1100" i="0" baseline="0">
                  <a:solidFill>
                    <a:schemeClr val="dk1"/>
                  </a:solidFill>
                  <a:effectLst/>
                  <a:latin typeface="Cambria Math" panose="02040503050406030204" pitchFamily="18" charset="0"/>
                  <a:ea typeface="+mn-ea"/>
                  <a:cs typeface="+mn-cs"/>
                </a:rPr>
                <a:t>" </a:t>
              </a:r>
              <a:r>
                <a:rPr lang="hr-HR" sz="1100" b="0" i="0" baseline="0">
                  <a:solidFill>
                    <a:schemeClr val="dk1"/>
                  </a:solidFill>
                  <a:effectLst/>
                  <a:latin typeface="Cambria Math" panose="02040503050406030204" pitchFamily="18" charset="0"/>
                  <a:ea typeface="+mn-ea"/>
                  <a:cs typeface="+mn-cs"/>
                </a:rPr>
                <a:t>)/100</a:t>
              </a:r>
              <a:r>
                <a:rPr lang="hr-HR" sz="1100"/>
                <a:t>). Napomena:</a:t>
              </a:r>
              <a:r>
                <a:rPr lang="hr-HR" sz="1100" baseline="0"/>
                <a:t> koristite naredbu </a:t>
              </a:r>
              <a:r>
                <a:rPr lang="hr-HR" sz="1100" b="1" baseline="0"/>
                <a:t>=ROUND(   ;2)</a:t>
              </a:r>
              <a:endParaRPr lang="hr-HR" sz="1100" b="1"/>
            </a:p>
            <a:p>
              <a:r>
                <a:rPr lang="hr-HR" sz="1100"/>
                <a:t>Otplatna kvota je otplata glavnice </a:t>
              </a:r>
              <a:r>
                <a:rPr lang="hr-HR" sz="1100" b="0" i="0" baseline="0">
                  <a:solidFill>
                    <a:schemeClr val="dk1"/>
                  </a:solidFill>
                  <a:effectLst/>
                  <a:latin typeface="Cambria Math" panose="02040503050406030204" pitchFamily="18" charset="0"/>
                  <a:ea typeface="+mn-ea"/>
                  <a:cs typeface="+mn-cs"/>
                </a:rPr>
                <a:t>𝑅_1=</a:t>
              </a:r>
              <a:r>
                <a:rPr lang="hr-HR" sz="1100" i="0" baseline="0">
                  <a:solidFill>
                    <a:schemeClr val="dk1"/>
                  </a:solidFill>
                  <a:effectLst/>
                  <a:latin typeface="Cambria Math" panose="02040503050406030204" pitchFamily="18" charset="0"/>
                  <a:ea typeface="+mn-ea"/>
                  <a:cs typeface="+mn-cs"/>
                </a:rPr>
                <a:t>𝑎</a:t>
              </a:r>
              <a:r>
                <a:rPr lang="hr-HR" sz="1100" b="0" i="0" baseline="0">
                  <a:solidFill>
                    <a:schemeClr val="dk1"/>
                  </a:solidFill>
                  <a:effectLst/>
                  <a:latin typeface="Cambria Math" panose="02040503050406030204" pitchFamily="18" charset="0"/>
                  <a:ea typeface="+mn-ea"/>
                  <a:cs typeface="+mn-cs"/>
                </a:rPr>
                <a:t>−𝐼_1</a:t>
              </a:r>
              <a:r>
                <a:rPr lang="hr-HR" sz="1100"/>
                <a:t>.</a:t>
              </a:r>
            </a:p>
            <a:p>
              <a:r>
                <a:rPr lang="hr-HR" sz="1100"/>
                <a:t>Ostatak duga nakon</a:t>
              </a:r>
              <a:r>
                <a:rPr lang="hr-HR" sz="1100" baseline="0"/>
                <a:t> prvog otplaćenog anuiteta iznosi </a:t>
              </a:r>
              <a:r>
                <a:rPr lang="hr-HR" sz="1100" b="0" i="0" baseline="0">
                  <a:solidFill>
                    <a:schemeClr val="dk1"/>
                  </a:solidFill>
                  <a:effectLst/>
                  <a:latin typeface="Cambria Math" panose="02040503050406030204" pitchFamily="18" charset="0"/>
                  <a:ea typeface="+mn-ea"/>
                  <a:cs typeface="+mn-cs"/>
                </a:rPr>
                <a:t>𝐶_1=𝐶_0−𝑅_1</a:t>
              </a:r>
              <a:r>
                <a:rPr lang="hr-HR" sz="1100"/>
                <a:t>.</a:t>
              </a:r>
            </a:p>
            <a:p>
              <a:endParaRPr lang="hr-HR" sz="1100"/>
            </a:p>
            <a:p>
              <a:r>
                <a:rPr lang="hr-HR" sz="1100"/>
                <a:t>Nakon toga se</a:t>
              </a:r>
              <a:r>
                <a:rPr lang="hr-HR" sz="1100" baseline="0"/>
                <a:t> popunjavaju ostali retci: </a:t>
              </a:r>
            </a:p>
            <a:p>
              <a:pPr/>
              <a:r>
                <a:rPr lang="hr-HR" sz="1100" b="0" i="0" baseline="0">
                  <a:solidFill>
                    <a:schemeClr val="dk1"/>
                  </a:solidFill>
                  <a:effectLst/>
                  <a:latin typeface="Cambria Math" panose="02040503050406030204" pitchFamily="18" charset="0"/>
                  <a:ea typeface="+mn-ea"/>
                  <a:cs typeface="+mn-cs"/>
                </a:rPr>
                <a:t>𝐼_𝑘=</a:t>
              </a:r>
              <a:r>
                <a:rPr lang="en-US" sz="1100" b="0" i="0" baseline="0">
                  <a:solidFill>
                    <a:schemeClr val="dk1"/>
                  </a:solidFill>
                  <a:effectLst/>
                  <a:latin typeface="Cambria Math" panose="02040503050406030204" pitchFamily="18" charset="0"/>
                  <a:ea typeface="+mn-ea"/>
                  <a:cs typeface="+mn-cs"/>
                </a:rPr>
                <a:t>𝑅𝑂𝑈𝑁𝐷(</a:t>
              </a:r>
              <a:r>
                <a:rPr lang="hr-HR" sz="1100" b="0" i="0" baseline="0">
                  <a:solidFill>
                    <a:schemeClr val="dk1"/>
                  </a:solidFill>
                  <a:effectLst/>
                  <a:latin typeface="Cambria Math" panose="02040503050406030204" pitchFamily="18" charset="0"/>
                  <a:ea typeface="+mn-ea"/>
                  <a:cs typeface="+mn-cs"/>
                </a:rPr>
                <a:t>𝐶_(𝑘−1)∙𝑝</a:t>
              </a:r>
              <a:r>
                <a:rPr lang="en-US" sz="1100" b="0" i="0" baseline="0">
                  <a:solidFill>
                    <a:schemeClr val="dk1"/>
                  </a:solidFill>
                  <a:effectLst/>
                  <a:latin typeface="Cambria Math" panose="02040503050406030204" pitchFamily="18" charset="0"/>
                  <a:ea typeface="+mn-ea"/>
                  <a:cs typeface="+mn-cs"/>
                </a:rPr>
                <a:t>;2)</a:t>
              </a:r>
              <a:endParaRPr lang="hr-HR" sz="1100"/>
            </a:p>
            <a:p>
              <a:pPr/>
              <a:r>
                <a:rPr lang="hr-HR" sz="1100" b="0" i="0" baseline="0">
                  <a:solidFill>
                    <a:schemeClr val="dk1"/>
                  </a:solidFill>
                  <a:effectLst/>
                  <a:latin typeface="Cambria Math" panose="02040503050406030204" pitchFamily="18" charset="0"/>
                  <a:ea typeface="+mn-ea"/>
                  <a:cs typeface="+mn-cs"/>
                </a:rPr>
                <a:t>𝑅_𝑘=</a:t>
              </a:r>
              <a:r>
                <a:rPr lang="hr-HR" sz="1100" i="0" baseline="0">
                  <a:solidFill>
                    <a:schemeClr val="dk1"/>
                  </a:solidFill>
                  <a:effectLst/>
                  <a:latin typeface="Cambria Math" panose="02040503050406030204" pitchFamily="18" charset="0"/>
                  <a:ea typeface="+mn-ea"/>
                  <a:cs typeface="+mn-cs"/>
                </a:rPr>
                <a:t>𝑎</a:t>
              </a:r>
              <a:r>
                <a:rPr lang="hr-HR" sz="1100" b="0" i="0" baseline="0">
                  <a:solidFill>
                    <a:schemeClr val="dk1"/>
                  </a:solidFill>
                  <a:effectLst/>
                  <a:latin typeface="Cambria Math" panose="02040503050406030204" pitchFamily="18" charset="0"/>
                  <a:ea typeface="+mn-ea"/>
                  <a:cs typeface="+mn-cs"/>
                </a:rPr>
                <a:t>−𝐼_𝑘</a:t>
              </a:r>
              <a:endParaRPr lang="hr-HR" sz="1100"/>
            </a:p>
            <a:p>
              <a:r>
                <a:rPr lang="hr-HR" sz="1100" b="0" i="0" baseline="0">
                  <a:solidFill>
                    <a:schemeClr val="dk1"/>
                  </a:solidFill>
                  <a:effectLst/>
                  <a:latin typeface="Cambria Math" panose="02040503050406030204" pitchFamily="18" charset="0"/>
                  <a:ea typeface="+mn-ea"/>
                  <a:cs typeface="+mn-cs"/>
                </a:rPr>
                <a:t>𝐶_𝑘=𝐶_(𝑘−1)−𝑅_𝑘</a:t>
              </a:r>
              <a:r>
                <a:rPr lang="hr-HR" sz="1100"/>
                <a:t>.</a:t>
              </a:r>
            </a:p>
            <a:p>
              <a:r>
                <a:rPr lang="hr-HR" sz="1100"/>
                <a:t>U excelu je dovoljno popuniti prvi redak</a:t>
              </a:r>
              <a:r>
                <a:rPr lang="hr-HR" sz="1100" baseline="0"/>
                <a:t> i potom kopirati/razvući u ostale retke. Pazite da usidrite s F4 odgovarajuće podatke (kamatnu stopu).</a:t>
              </a:r>
            </a:p>
            <a:p>
              <a:endParaRPr lang="hr-HR" sz="1100" baseline="0"/>
            </a:p>
            <a:p>
              <a:r>
                <a:rPr lang="hr-HR" sz="1100" baseline="0"/>
                <a:t>PROVJERA TABLICE:</a:t>
              </a:r>
            </a:p>
            <a:p>
              <a:r>
                <a:rPr lang="hr-HR" sz="1100" baseline="0"/>
                <a:t>zadnji ostatak duga </a:t>
              </a:r>
              <a:r>
                <a:rPr lang="hr-HR" sz="1100" b="0" i="0" baseline="0">
                  <a:solidFill>
                    <a:schemeClr val="dk1"/>
                  </a:solidFill>
                  <a:effectLst/>
                  <a:latin typeface="Cambria Math" panose="02040503050406030204" pitchFamily="18" charset="0"/>
                  <a:ea typeface="+mn-ea"/>
                  <a:cs typeface="+mn-cs"/>
                </a:rPr>
                <a:t>𝐶_𝑛</a:t>
              </a:r>
              <a:r>
                <a:rPr lang="hr-HR" sz="1100" baseline="0"/>
                <a:t> treba biti jednak nula</a:t>
              </a:r>
            </a:p>
            <a:p>
              <a:pPr/>
              <a:r>
                <a:rPr lang="hr-HR" sz="1100" i="0" baseline="0">
                  <a:latin typeface="Cambria Math" panose="02040503050406030204" pitchFamily="18" charset="0"/>
                </a:rPr>
                <a:t>∑</a:t>
              </a:r>
              <a:r>
                <a:rPr lang="hr-HR" sz="1100" b="0" i="0" baseline="0">
                  <a:latin typeface="Cambria Math" panose="02040503050406030204" pitchFamily="18" charset="0"/>
                </a:rPr>
                <a:t>▒𝑅_𝑘 =</a:t>
              </a:r>
              <a:r>
                <a:rPr lang="hr-HR" sz="1100" b="0" i="0" baseline="0">
                  <a:solidFill>
                    <a:schemeClr val="dk1"/>
                  </a:solidFill>
                  <a:effectLst/>
                  <a:latin typeface="Cambria Math" panose="02040503050406030204" pitchFamily="18" charset="0"/>
                  <a:ea typeface="+mn-ea"/>
                  <a:cs typeface="+mn-cs"/>
                </a:rPr>
                <a:t>𝐶_0</a:t>
              </a:r>
              <a:endParaRPr lang="hr-HR" sz="1100" baseline="0"/>
            </a:p>
            <a:p>
              <a:pPr/>
              <a:r>
                <a:rPr lang="hr-HR" sz="1100" i="0" baseline="0">
                  <a:solidFill>
                    <a:schemeClr val="dk1"/>
                  </a:solidFill>
                  <a:effectLst/>
                  <a:latin typeface="Cambria Math" panose="02040503050406030204" pitchFamily="18" charset="0"/>
                  <a:ea typeface="+mn-ea"/>
                  <a:cs typeface="+mn-cs"/>
                </a:rPr>
                <a:t>∑▒𝑎</a:t>
              </a:r>
              <a:r>
                <a:rPr lang="hr-HR" sz="1100" b="0" i="0" baseline="0">
                  <a:solidFill>
                    <a:schemeClr val="dk1"/>
                  </a:solidFill>
                  <a:effectLst/>
                  <a:latin typeface="Cambria Math" panose="02040503050406030204" pitchFamily="18" charset="0"/>
                  <a:ea typeface="+mn-ea"/>
                  <a:cs typeface="+mn-cs"/>
                </a:rPr>
                <a:t>=</a:t>
              </a: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▒𝐼_𝑘 +</a:t>
              </a: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▒𝑅_𝑘 </a:t>
              </a:r>
              <a:endParaRPr lang="hr-HR" sz="1100" baseline="0"/>
            </a:p>
            <a:p>
              <a:endParaRPr lang="hr-HR" sz="1100" baseline="0"/>
            </a:p>
            <a:p>
              <a:r>
                <a:rPr lang="hr-HR" sz="1100"/>
                <a:t>Napomena: </a:t>
              </a:r>
              <a:r>
                <a:rPr lang="hr-HR" sz="1100" i="1"/>
                <a:t>k</a:t>
              </a:r>
              <a:r>
                <a:rPr lang="hr-HR" sz="1100"/>
                <a:t> u ovom slučaju predstavlja</a:t>
              </a:r>
              <a:r>
                <a:rPr lang="hr-HR" sz="1100" baseline="0"/>
                <a:t> redni broj otplatnog razdoblja, a ne konformnu metodu!!!</a:t>
              </a:r>
              <a:endParaRPr lang="hr-HR" sz="1100"/>
            </a:p>
            <a:p>
              <a:endParaRPr lang="hr-HR" sz="1100"/>
            </a:p>
          </xdr:txBody>
        </xdr:sp>
      </mc:Fallback>
    </mc:AlternateContent>
    <xdr:clientData/>
  </xdr:twoCellAnchor>
  <xdr:twoCellAnchor>
    <xdr:from>
      <xdr:col>1</xdr:col>
      <xdr:colOff>0</xdr:colOff>
      <xdr:row>166</xdr:row>
      <xdr:rowOff>0</xdr:rowOff>
    </xdr:from>
    <xdr:to>
      <xdr:col>9</xdr:col>
      <xdr:colOff>587201</xdr:colOff>
      <xdr:row>170</xdr:row>
      <xdr:rowOff>0</xdr:rowOff>
    </xdr:to>
    <mc:AlternateContent xmlns:mc="http://schemas.openxmlformats.org/markup-compatibility/2006" xmlns:a14="http://schemas.microsoft.com/office/drawing/2010/main">
      <mc:Choice Requires="a14">
        <xdr:sp macro="" textlink="">
          <xdr:nvSpPr>
            <xdr:cNvPr id="6" name="TekstniOkvir 5">
              <a:extLst>
                <a:ext uri="{FF2B5EF4-FFF2-40B4-BE49-F238E27FC236}">
                  <a16:creationId xmlns:a16="http://schemas.microsoft.com/office/drawing/2014/main" id="{09E6B872-1D19-4051-8A76-67590C7CACCE}"/>
                </a:ext>
              </a:extLst>
            </xdr:cNvPr>
            <xdr:cNvSpPr txBox="1"/>
          </xdr:nvSpPr>
          <xdr:spPr>
            <a:xfrm>
              <a:off x="609600" y="30568900"/>
              <a:ext cx="5464001"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r>
                <a:rPr lang="hr-HR" sz="1100"/>
                <a:t>Ako tijekom otplate dođe do bilo kakve promjene</a:t>
              </a:r>
              <a:r>
                <a:rPr lang="hr-HR" sz="1100" baseline="0"/>
                <a:t> uvjeta kreditiranja tada se ostatak duga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baseline="0"/>
                <a:t> u tom trenutku računa kao novi kredit za preostalo razdoblje.</a:t>
              </a:r>
            </a:p>
            <a:p>
              <a:endParaRPr lang="hr-HR" sz="1100" baseline="0"/>
            </a:p>
            <a:p>
              <a:endParaRPr lang="hr-HR" sz="1100" baseline="0"/>
            </a:p>
          </xdr:txBody>
        </xdr:sp>
      </mc:Choice>
      <mc:Fallback xmlns="">
        <xdr:sp macro="" textlink="">
          <xdr:nvSpPr>
            <xdr:cNvPr id="6" name="TekstniOkvir 5">
              <a:extLst>
                <a:ext uri="{FF2B5EF4-FFF2-40B4-BE49-F238E27FC236}">
                  <a16:creationId xmlns:a16="http://schemas.microsoft.com/office/drawing/2014/main" id="{09E6B872-1D19-4051-8A76-67590C7CACCE}"/>
                </a:ext>
              </a:extLst>
            </xdr:cNvPr>
            <xdr:cNvSpPr txBox="1"/>
          </xdr:nvSpPr>
          <xdr:spPr>
            <a:xfrm>
              <a:off x="609600" y="30568900"/>
              <a:ext cx="5464001" cy="73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r>
                <a:rPr lang="hr-HR" sz="1100"/>
                <a:t>Ako tijekom otplate dođe do bilo kakve promjene</a:t>
              </a:r>
              <a:r>
                <a:rPr lang="hr-HR" sz="1100" baseline="0"/>
                <a:t> uvjeta kreditiranja tada se ostatak duga </a:t>
              </a:r>
              <a:r>
                <a:rPr lang="hr-HR" sz="1100" b="0" i="0" baseline="0">
                  <a:solidFill>
                    <a:schemeClr val="dk1"/>
                  </a:solidFill>
                  <a:effectLst/>
                  <a:latin typeface="Cambria Math" panose="02040503050406030204" pitchFamily="18" charset="0"/>
                  <a:ea typeface="+mn-ea"/>
                  <a:cs typeface="+mn-cs"/>
                </a:rPr>
                <a:t>𝐶_𝑘</a:t>
              </a:r>
              <a:r>
                <a:rPr lang="hr-HR" sz="1100" baseline="0"/>
                <a:t> u tom trenutku računa kao novi kredit za preostalo razdoblje.</a:t>
              </a:r>
            </a:p>
            <a:p>
              <a:endParaRPr lang="hr-HR" sz="1100" baseline="0"/>
            </a:p>
            <a:p>
              <a:endParaRPr lang="hr-HR" sz="1100" baseline="0"/>
            </a:p>
          </xdr:txBody>
        </xdr:sp>
      </mc:Fallback>
    </mc:AlternateContent>
    <xdr:clientData/>
  </xdr:twoCellAnchor>
  <xdr:twoCellAnchor>
    <xdr:from>
      <xdr:col>1</xdr:col>
      <xdr:colOff>0</xdr:colOff>
      <xdr:row>171</xdr:row>
      <xdr:rowOff>0</xdr:rowOff>
    </xdr:from>
    <xdr:to>
      <xdr:col>14</xdr:col>
      <xdr:colOff>76950</xdr:colOff>
      <xdr:row>187</xdr:row>
      <xdr:rowOff>97155</xdr:rowOff>
    </xdr:to>
    <mc:AlternateContent xmlns:mc="http://schemas.openxmlformats.org/markup-compatibility/2006" xmlns:a14="http://schemas.microsoft.com/office/drawing/2010/main">
      <mc:Choice Requires="a14">
        <xdr:sp macro="" textlink="">
          <xdr:nvSpPr>
            <xdr:cNvPr id="7" name="TekstniOkvir 6">
              <a:extLst>
                <a:ext uri="{FF2B5EF4-FFF2-40B4-BE49-F238E27FC236}">
                  <a16:creationId xmlns:a16="http://schemas.microsoft.com/office/drawing/2014/main" id="{1262EAF9-CC6E-4E04-BFA3-7E295035D26F}"/>
                </a:ext>
              </a:extLst>
            </xdr:cNvPr>
            <xdr:cNvSpPr txBox="1"/>
          </xdr:nvSpPr>
          <xdr:spPr>
            <a:xfrm>
              <a:off x="609600" y="31489650"/>
              <a:ext cx="8001750" cy="304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Osim metode jednakih anuiteta postoji </a:t>
              </a:r>
              <a:r>
                <a:rPr lang="hr-HR" sz="1100" b="1" i="0" baseline="0">
                  <a:solidFill>
                    <a:schemeClr val="dk1"/>
                  </a:solidFill>
                  <a:effectLst/>
                  <a:latin typeface="+mn-lt"/>
                  <a:ea typeface="+mn-ea"/>
                  <a:cs typeface="+mn-cs"/>
                </a:rPr>
                <a:t>metoda jednakih otplatnih kvota</a:t>
              </a:r>
              <a:r>
                <a:rPr lang="hr-HR" sz="1100" i="0" baseline="0">
                  <a:solidFill>
                    <a:schemeClr val="dk1"/>
                  </a:solidFill>
                  <a:effectLst/>
                  <a:latin typeface="+mn-lt"/>
                  <a:ea typeface="+mn-ea"/>
                  <a:cs typeface="+mn-cs"/>
                </a:rPr>
                <a:t>. Kod te metode prvo se izračuna otplatna kvota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𝑅</m:t>
                  </m:r>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𝑅𝑂𝑈𝑁𝐷</m:t>
                  </m:r>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m:rPr>
                          <m:nor/>
                        </m:rPr>
                        <a:rPr lang="hr-HR" sz="1100" i="0" baseline="0">
                          <a:solidFill>
                            <a:schemeClr val="dk1"/>
                          </a:solidFill>
                          <a:effectLst/>
                          <a:latin typeface="+mn-lt"/>
                          <a:ea typeface="+mn-ea"/>
                          <a:cs typeface="+mn-cs"/>
                        </a:rPr>
                        <m:t> </m:t>
                      </m:r>
                    </m:num>
                    <m:den>
                      <m:r>
                        <a:rPr lang="hr-HR" sz="1100" b="0" i="1" baseline="0">
                          <a:solidFill>
                            <a:schemeClr val="dk1"/>
                          </a:solidFill>
                          <a:effectLst/>
                          <a:latin typeface="Cambria Math" panose="02040503050406030204" pitchFamily="18" charset="0"/>
                          <a:ea typeface="+mn-ea"/>
                          <a:cs typeface="+mn-cs"/>
                        </a:rPr>
                        <m:t>𝑛</m:t>
                      </m:r>
                    </m:den>
                  </m:f>
                  <m:r>
                    <a:rPr lang="hr-HR" sz="1100" b="0" i="1" baseline="0">
                      <a:solidFill>
                        <a:schemeClr val="dk1"/>
                      </a:solidFill>
                      <a:effectLst/>
                      <a:latin typeface="Cambria Math" panose="02040503050406030204" pitchFamily="18" charset="0"/>
                      <a:ea typeface="+mn-ea"/>
                      <a:cs typeface="+mn-cs"/>
                    </a:rPr>
                    <m:t>;2)</m:t>
                  </m:r>
                </m:oMath>
              </a14:m>
              <a:r>
                <a:rPr lang="hr-HR" sz="1100" i="0" baseline="0">
                  <a:solidFill>
                    <a:schemeClr val="dk1"/>
                  </a:solidFill>
                  <a:effectLst/>
                  <a:latin typeface="+mn-lt"/>
                  <a:ea typeface="+mn-ea"/>
                  <a:cs typeface="+mn-cs"/>
                </a:rPr>
                <a:t>, a potom se za potrebe otplatne tablice računaju anuiteti i kamate u pojedinom razdoblju.</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Važno: kod ove metode anuiteti se smanjuju što se kredit više otplaćuje.</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Oznake su vrlo slične metodi jednakih anuiteta: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a14:m>
              <a:r>
                <a:rPr lang="hr-HR" sz="1100" i="0" baseline="0">
                  <a:solidFill>
                    <a:schemeClr val="dk1"/>
                  </a:solidFill>
                  <a:effectLst/>
                  <a:latin typeface="+mn-lt"/>
                  <a:ea typeface="+mn-ea"/>
                  <a:cs typeface="+mn-cs"/>
                </a:rPr>
                <a:t> iznos zajma/kredita, glavnica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𝑎</m:t>
                      </m:r>
                    </m:e>
                    <m:sub>
                      <m:r>
                        <a:rPr lang="hr-HR" sz="1100" b="0" i="1" baseline="0">
                          <a:solidFill>
                            <a:schemeClr val="dk1"/>
                          </a:solidFill>
                          <a:effectLst/>
                          <a:latin typeface="Cambria Math" panose="02040503050406030204" pitchFamily="18" charset="0"/>
                          <a:ea typeface="+mn-ea"/>
                          <a:cs typeface="+mn-cs"/>
                        </a:rPr>
                        <m:t>𝑘</m:t>
                      </m:r>
                    </m:sub>
                  </m:sSub>
                  <m:r>
                    <m:rPr>
                      <m:nor/>
                    </m:rPr>
                    <a:rPr lang="hr-HR" sz="1100" i="0" baseline="0">
                      <a:solidFill>
                        <a:schemeClr val="dk1"/>
                      </a:solidFill>
                      <a:effectLst/>
                      <a:latin typeface="+mn-lt"/>
                      <a:ea typeface="+mn-ea"/>
                      <a:cs typeface="+mn-cs"/>
                    </a:rPr>
                    <m:t> </m:t>
                  </m:r>
                </m:oMath>
              </a14:m>
              <a:r>
                <a:rPr lang="hr-HR" sz="1100" i="0" baseline="0">
                  <a:solidFill>
                    <a:schemeClr val="dk1"/>
                  </a:solidFill>
                  <a:effectLst/>
                  <a:latin typeface="+mn-lt"/>
                  <a:ea typeface="+mn-ea"/>
                  <a:cs typeface="+mn-cs"/>
                </a:rPr>
                <a:t> iznos anuiteta/obroka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𝑛</m:t>
                  </m:r>
                </m:oMath>
              </a14:m>
              <a:r>
                <a:rPr lang="hr-HR" sz="1100" i="0" baseline="0">
                  <a:solidFill>
                    <a:schemeClr val="dk1"/>
                  </a:solidFill>
                  <a:effectLst/>
                  <a:latin typeface="+mn-lt"/>
                  <a:ea typeface="+mn-ea"/>
                  <a:cs typeface="+mn-cs"/>
                </a:rPr>
                <a:t> razdoblje otplate (broj godina)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godišnja kamatna stopa</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𝑟</m:t>
                  </m:r>
                </m:oMath>
              </a14:m>
              <a:r>
                <a:rPr lang="hr-HR" sz="1100" i="0" baseline="0">
                  <a:solidFill>
                    <a:schemeClr val="dk1"/>
                  </a:solidFill>
                  <a:effectLst/>
                  <a:latin typeface="+mn-lt"/>
                  <a:ea typeface="+mn-ea"/>
                  <a:cs typeface="+mn-cs"/>
                </a:rPr>
                <a:t> godišnji kamatni faktor</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kamata u k-tom razdoblju otplate</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𝑅</m:t>
                  </m:r>
                </m:oMath>
              </a14:m>
              <a:r>
                <a:rPr lang="hr-HR" sz="1100" i="0" baseline="0">
                  <a:solidFill>
                    <a:schemeClr val="dk1"/>
                  </a:solidFill>
                  <a:effectLst/>
                  <a:latin typeface="+mn-lt"/>
                  <a:ea typeface="+mn-ea"/>
                  <a:cs typeface="+mn-cs"/>
                </a:rPr>
                <a:t> otplatna kvota (otplata glavnice) u k-tom otplatnom razdoblju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Napomena: ako se radi o mjesečnim, kvartalnim ili polugodišnjim uplatama anuiteta ne zaboravite odrediti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𝑚</m:t>
                  </m:r>
                </m:oMath>
              </a14:m>
              <a:r>
                <a:rPr lang="hr-HR" sz="1100" baseline="0">
                  <a:solidFill>
                    <a:schemeClr val="dk1"/>
                  </a:solidFill>
                  <a:effectLst/>
                  <a:latin typeface="+mn-lt"/>
                  <a:ea typeface="+mn-ea"/>
                  <a:cs typeface="+mn-cs"/>
                </a:rPr>
                <a:t> i potom odgovarajuće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𝑝</m:t>
                      </m:r>
                    </m:e>
                    <m:sub>
                      <m:r>
                        <a:rPr lang="hr-HR" sz="1100" b="0" i="1" baseline="0">
                          <a:solidFill>
                            <a:schemeClr val="dk1"/>
                          </a:solidFill>
                          <a:effectLst/>
                          <a:latin typeface="Cambria Math" panose="02040503050406030204" pitchFamily="18" charset="0"/>
                          <a:ea typeface="+mn-ea"/>
                          <a:cs typeface="+mn-cs"/>
                        </a:rPr>
                        <m:t>𝑟</m:t>
                      </m:r>
                    </m:sub>
                  </m:sSub>
                </m:oMath>
              </a14:m>
              <a:r>
                <a:rPr lang="hr-HR" sz="1100" baseline="0">
                  <a:solidFill>
                    <a:schemeClr val="dk1"/>
                  </a:solidFill>
                  <a:effectLst/>
                  <a:latin typeface="+mn-lt"/>
                  <a:ea typeface="+mn-ea"/>
                  <a:cs typeface="+mn-cs"/>
                </a:rPr>
                <a:t>,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𝑟</m:t>
                      </m:r>
                    </m:e>
                    <m:sub>
                      <m:r>
                        <a:rPr lang="hr-HR" sz="1100" b="0" i="1" baseline="0">
                          <a:solidFill>
                            <a:schemeClr val="dk1"/>
                          </a:solidFill>
                          <a:effectLst/>
                          <a:latin typeface="Cambria Math" panose="02040503050406030204" pitchFamily="18" charset="0"/>
                          <a:ea typeface="+mn-ea"/>
                          <a:cs typeface="+mn-cs"/>
                        </a:rPr>
                        <m:t>𝑟</m:t>
                      </m:r>
                    </m:sub>
                  </m:sSub>
                </m:oMath>
              </a14:m>
              <a:r>
                <a:rPr lang="hr-HR" sz="1100" baseline="0">
                  <a:solidFill>
                    <a:schemeClr val="dk1"/>
                  </a:solidFill>
                  <a:effectLst/>
                  <a:latin typeface="+mn-lt"/>
                  <a:ea typeface="+mn-ea"/>
                  <a:cs typeface="+mn-cs"/>
                </a:rPr>
                <a:t> i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𝑛</m:t>
                      </m:r>
                    </m:e>
                    <m:sub>
                      <m:r>
                        <a:rPr lang="hr-HR" sz="1100" b="0" i="1" baseline="0">
                          <a:solidFill>
                            <a:schemeClr val="dk1"/>
                          </a:solidFill>
                          <a:effectLst/>
                          <a:latin typeface="Cambria Math" panose="02040503050406030204" pitchFamily="18" charset="0"/>
                          <a:ea typeface="+mn-ea"/>
                          <a:cs typeface="+mn-cs"/>
                        </a:rPr>
                        <m:t>𝑟</m:t>
                      </m:r>
                    </m:sub>
                  </m:sSub>
                </m:oMath>
              </a14:m>
              <a:r>
                <a:rPr lang="hr-HR" sz="1100" baseline="0">
                  <a:solidFill>
                    <a:schemeClr val="dk1"/>
                  </a:solidFill>
                  <a:effectLst/>
                  <a:latin typeface="+mn-lt"/>
                  <a:ea typeface="+mn-ea"/>
                  <a:cs typeface="+mn-cs"/>
                </a:rPr>
                <a:t>.</a:t>
              </a:r>
            </a:p>
          </xdr:txBody>
        </xdr:sp>
      </mc:Choice>
      <mc:Fallback xmlns="">
        <xdr:sp macro="" textlink="">
          <xdr:nvSpPr>
            <xdr:cNvPr id="7" name="TekstniOkvir 6">
              <a:extLst>
                <a:ext uri="{FF2B5EF4-FFF2-40B4-BE49-F238E27FC236}">
                  <a16:creationId xmlns:a16="http://schemas.microsoft.com/office/drawing/2014/main" id="{1262EAF9-CC6E-4E04-BFA3-7E295035D26F}"/>
                </a:ext>
              </a:extLst>
            </xdr:cNvPr>
            <xdr:cNvSpPr txBox="1"/>
          </xdr:nvSpPr>
          <xdr:spPr>
            <a:xfrm>
              <a:off x="609600" y="31489650"/>
              <a:ext cx="8001750" cy="304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Upute:</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Osim metode jednakih anuiteta postoji </a:t>
              </a:r>
              <a:r>
                <a:rPr lang="hr-HR" sz="1100" b="1" i="0" baseline="0">
                  <a:solidFill>
                    <a:schemeClr val="dk1"/>
                  </a:solidFill>
                  <a:effectLst/>
                  <a:latin typeface="+mn-lt"/>
                  <a:ea typeface="+mn-ea"/>
                  <a:cs typeface="+mn-cs"/>
                </a:rPr>
                <a:t>metoda jednakih otplatnih kvota</a:t>
              </a:r>
              <a:r>
                <a:rPr lang="hr-HR" sz="1100" i="0" baseline="0">
                  <a:solidFill>
                    <a:schemeClr val="dk1"/>
                  </a:solidFill>
                  <a:effectLst/>
                  <a:latin typeface="+mn-lt"/>
                  <a:ea typeface="+mn-ea"/>
                  <a:cs typeface="+mn-cs"/>
                </a:rPr>
                <a:t>. Kod te metode prvo se izračuna otplatna kvota </a:t>
              </a:r>
              <a:r>
                <a:rPr lang="hr-HR" sz="1100" i="0" baseline="0">
                  <a:solidFill>
                    <a:schemeClr val="dk1"/>
                  </a:solidFill>
                  <a:effectLst/>
                  <a:latin typeface="Cambria Math" panose="02040503050406030204" pitchFamily="18" charset="0"/>
                  <a:ea typeface="+mn-ea"/>
                  <a:cs typeface="+mn-cs"/>
                </a:rPr>
                <a:t>𝑅</a:t>
              </a:r>
              <a:r>
                <a:rPr lang="hr-HR" sz="1100" b="0" i="0" baseline="0">
                  <a:solidFill>
                    <a:schemeClr val="dk1"/>
                  </a:solidFill>
                  <a:effectLst/>
                  <a:latin typeface="Cambria Math" panose="02040503050406030204" pitchFamily="18" charset="0"/>
                  <a:ea typeface="+mn-ea"/>
                  <a:cs typeface="+mn-cs"/>
                </a:rPr>
                <a:t>=𝑅𝑂𝑈𝑁𝐷((𝐶_0</a:t>
              </a:r>
              <a:r>
                <a:rPr lang="hr-HR" sz="1100" b="0" i="0" baseline="0">
                  <a:solidFill>
                    <a:schemeClr val="dk1"/>
                  </a:solidFill>
                  <a:effectLst/>
                  <a:latin typeface="+mn-lt"/>
                  <a:ea typeface="+mn-ea"/>
                  <a:cs typeface="+mn-cs"/>
                </a:rPr>
                <a:t> "</a:t>
              </a:r>
              <a:r>
                <a:rPr lang="hr-HR" sz="1100" i="0" baseline="0">
                  <a:solidFill>
                    <a:schemeClr val="dk1"/>
                  </a:solidFill>
                  <a:effectLst/>
                  <a:latin typeface="+mn-lt"/>
                  <a:ea typeface="+mn-ea"/>
                  <a:cs typeface="+mn-cs"/>
                </a:rPr>
                <a:t> </a:t>
              </a:r>
              <a:r>
                <a:rPr lang="hr-HR" sz="1100" i="0" baseline="0">
                  <a:solidFill>
                    <a:schemeClr val="dk1"/>
                  </a:solidFill>
                  <a:effectLst/>
                  <a:latin typeface="Cambria Math" panose="02040503050406030204" pitchFamily="18" charset="0"/>
                  <a:ea typeface="+mn-ea"/>
                  <a:cs typeface="+mn-cs"/>
                </a:rPr>
                <a:t>" </a:t>
              </a:r>
              <a:r>
                <a:rPr lang="hr-HR" sz="1100" b="0" i="0" baseline="0">
                  <a:solidFill>
                    <a:schemeClr val="dk1"/>
                  </a:solidFill>
                  <a:effectLst/>
                  <a:latin typeface="Cambria Math" panose="02040503050406030204" pitchFamily="18" charset="0"/>
                  <a:ea typeface="+mn-ea"/>
                  <a:cs typeface="+mn-cs"/>
                </a:rPr>
                <a:t>)/𝑛;2)</a:t>
              </a:r>
              <a:r>
                <a:rPr lang="hr-HR" sz="1100" i="0" baseline="0">
                  <a:solidFill>
                    <a:schemeClr val="dk1"/>
                  </a:solidFill>
                  <a:effectLst/>
                  <a:latin typeface="+mn-lt"/>
                  <a:ea typeface="+mn-ea"/>
                  <a:cs typeface="+mn-cs"/>
                </a:rPr>
                <a:t>, a potom se za potrebe otplatne tablice računaju anuiteti i kamate u pojedinom razdoblju.</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Važno: kod ove metode anuiteti se smanjuju što se kredit više otplaćuje.</a:t>
              </a:r>
            </a:p>
            <a:p>
              <a:pPr marL="0" marR="0" lvl="0" indent="0" defTabSz="914400" eaLnBrk="1" fontAlgn="auto" latinLnBrk="0" hangingPunct="1">
                <a:lnSpc>
                  <a:spcPct val="100000"/>
                </a:lnSpc>
                <a:spcBef>
                  <a:spcPts val="0"/>
                </a:spcBef>
                <a:spcAft>
                  <a:spcPts val="0"/>
                </a:spcAft>
                <a:buClrTx/>
                <a:buSzTx/>
                <a:buFontTx/>
                <a:buNone/>
                <a:tabLst/>
                <a:defRPr/>
              </a:pPr>
              <a:endParaRPr lang="hr-HR"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mn-lt"/>
                  <a:ea typeface="+mn-ea"/>
                  <a:cs typeface="+mn-cs"/>
                </a:rPr>
                <a:t>Oznake su vrlo slične metodi jednakih anuiteta:</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𝐶_0</a:t>
              </a:r>
              <a:r>
                <a:rPr lang="hr-HR" sz="1100" i="0" baseline="0">
                  <a:solidFill>
                    <a:schemeClr val="dk1"/>
                  </a:solidFill>
                  <a:effectLst/>
                  <a:latin typeface="+mn-lt"/>
                  <a:ea typeface="+mn-ea"/>
                  <a:cs typeface="+mn-cs"/>
                </a:rPr>
                <a:t> iznos zajma/kredita, glavnica</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𝑎_𝑘</a:t>
              </a:r>
              <a:r>
                <a:rPr lang="hr-HR" sz="1100" b="0" i="0" baseline="0">
                  <a:solidFill>
                    <a:schemeClr val="dk1"/>
                  </a:solidFill>
                  <a:effectLst/>
                  <a:latin typeface="+mn-lt"/>
                  <a:ea typeface="+mn-ea"/>
                  <a:cs typeface="+mn-cs"/>
                </a:rPr>
                <a:t> </a:t>
              </a:r>
              <a:r>
                <a:rPr lang="hr-HR" sz="1100" b="0" i="0" baseline="0">
                  <a:solidFill>
                    <a:schemeClr val="dk1"/>
                  </a:solidFill>
                  <a:effectLst/>
                  <a:latin typeface="Cambria Math" panose="02040503050406030204" pitchFamily="18" charset="0"/>
                  <a:ea typeface="+mn-ea"/>
                  <a:cs typeface="+mn-cs"/>
                </a:rPr>
                <a:t>"</a:t>
              </a:r>
              <a:r>
                <a:rPr lang="hr-HR" sz="1100" i="0" baseline="0">
                  <a:solidFill>
                    <a:schemeClr val="dk1"/>
                  </a:solidFill>
                  <a:effectLst/>
                  <a:latin typeface="Cambria Math" panose="02040503050406030204" pitchFamily="18" charset="0"/>
                  <a:ea typeface="+mn-ea"/>
                  <a:cs typeface="+mn-cs"/>
                </a:rPr>
                <a:t> </a:t>
              </a:r>
              <a:r>
                <a:rPr lang="en-US" sz="1100" i="0" baseline="0">
                  <a:solidFill>
                    <a:schemeClr val="dk1"/>
                  </a:solidFill>
                  <a:effectLst/>
                  <a:latin typeface="+mn-lt"/>
                  <a:ea typeface="+mn-ea"/>
                  <a:cs typeface="+mn-cs"/>
                </a:rPr>
                <a:t>"</a:t>
              </a:r>
              <a:r>
                <a:rPr lang="hr-HR" sz="1100" i="0" baseline="0">
                  <a:solidFill>
                    <a:schemeClr val="dk1"/>
                  </a:solidFill>
                  <a:effectLst/>
                  <a:latin typeface="+mn-lt"/>
                  <a:ea typeface="+mn-ea"/>
                  <a:cs typeface="+mn-cs"/>
                </a:rPr>
                <a:t> iznos anuiteta/obroka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𝑛</a:t>
              </a:r>
              <a:r>
                <a:rPr lang="hr-HR" sz="1100" i="0" baseline="0">
                  <a:solidFill>
                    <a:schemeClr val="dk1"/>
                  </a:solidFill>
                  <a:effectLst/>
                  <a:latin typeface="+mn-lt"/>
                  <a:ea typeface="+mn-ea"/>
                  <a:cs typeface="+mn-cs"/>
                </a:rPr>
                <a:t> razdoblje otplate (broj godina)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𝑝</a:t>
              </a:r>
              <a:r>
                <a:rPr lang="hr-HR" sz="1100" i="0" baseline="0">
                  <a:solidFill>
                    <a:schemeClr val="dk1"/>
                  </a:solidFill>
                  <a:effectLst/>
                  <a:latin typeface="+mn-lt"/>
                  <a:ea typeface="+mn-ea"/>
                  <a:cs typeface="+mn-cs"/>
                </a:rPr>
                <a:t> godišnja kamatna stopa</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𝑟</a:t>
              </a:r>
              <a:r>
                <a:rPr lang="hr-HR" sz="1100" i="0" baseline="0">
                  <a:solidFill>
                    <a:schemeClr val="dk1"/>
                  </a:solidFill>
                  <a:effectLst/>
                  <a:latin typeface="+mn-lt"/>
                  <a:ea typeface="+mn-ea"/>
                  <a:cs typeface="+mn-cs"/>
                </a:rPr>
                <a:t> godišnji kamatni faktor</a:t>
              </a:r>
            </a:p>
            <a:p>
              <a:pPr marL="0" marR="0" lvl="0" indent="0" defTabSz="914400" eaLnBrk="1" fontAlgn="auto" latinLnBrk="0" hangingPunct="1">
                <a:lnSpc>
                  <a:spcPct val="100000"/>
                </a:lnSpc>
                <a:spcBef>
                  <a:spcPts val="0"/>
                </a:spcBef>
                <a:spcAft>
                  <a:spcPts val="0"/>
                </a:spcAft>
                <a:buClrTx/>
                <a:buSzTx/>
                <a:buFontTx/>
                <a:buNone/>
                <a:tabLst/>
                <a:defRPr/>
              </a:pPr>
              <a:r>
                <a:rPr lang="hr-HR" sz="1100" b="0" i="0" baseline="0">
                  <a:solidFill>
                    <a:schemeClr val="dk1"/>
                  </a:solidFill>
                  <a:effectLst/>
                  <a:latin typeface="Cambria Math" panose="02040503050406030204" pitchFamily="18" charset="0"/>
                  <a:ea typeface="+mn-ea"/>
                  <a:cs typeface="+mn-cs"/>
                </a:rPr>
                <a:t>𝐼_𝑘</a:t>
              </a:r>
              <a:r>
                <a:rPr lang="hr-HR" sz="1100" i="0" baseline="0">
                  <a:solidFill>
                    <a:schemeClr val="dk1"/>
                  </a:solidFill>
                  <a:effectLst/>
                  <a:latin typeface="+mn-lt"/>
                  <a:ea typeface="+mn-ea"/>
                  <a:cs typeface="+mn-cs"/>
                </a:rPr>
                <a:t> kamata u k-tom razdoblju otplate</a:t>
              </a:r>
            </a:p>
            <a:p>
              <a:pPr marL="0" marR="0" lvl="0" indent="0" defTabSz="914400" eaLnBrk="1" fontAlgn="auto" latinLnBrk="0" hangingPunct="1">
                <a:lnSpc>
                  <a:spcPct val="100000"/>
                </a:lnSpc>
                <a:spcBef>
                  <a:spcPts val="0"/>
                </a:spcBef>
                <a:spcAft>
                  <a:spcPts val="0"/>
                </a:spcAft>
                <a:buClrTx/>
                <a:buSzTx/>
                <a:buFontTx/>
                <a:buNone/>
                <a:tabLst/>
                <a:defRPr/>
              </a:pPr>
              <a:r>
                <a:rPr lang="hr-HR" sz="1100" i="0" baseline="0">
                  <a:solidFill>
                    <a:schemeClr val="dk1"/>
                  </a:solidFill>
                  <a:effectLst/>
                  <a:latin typeface="Cambria Math" panose="02040503050406030204" pitchFamily="18" charset="0"/>
                  <a:ea typeface="+mn-ea"/>
                  <a:cs typeface="+mn-cs"/>
                </a:rPr>
                <a:t>𝑅</a:t>
              </a:r>
              <a:r>
                <a:rPr lang="hr-HR" sz="1100" i="0" baseline="0">
                  <a:solidFill>
                    <a:schemeClr val="dk1"/>
                  </a:solidFill>
                  <a:effectLst/>
                  <a:latin typeface="+mn-lt"/>
                  <a:ea typeface="+mn-ea"/>
                  <a:cs typeface="+mn-cs"/>
                </a:rPr>
                <a:t> otplatna kvota (otplata glavnice) u k-tom otplatnom razdoblju</a:t>
              </a:r>
            </a:p>
            <a:p>
              <a:pPr marL="0" marR="0" lvl="0" indent="0" defTabSz="914400" eaLnBrk="1" fontAlgn="auto" latinLnBrk="0" hangingPunct="1">
                <a:lnSpc>
                  <a:spcPct val="100000"/>
                </a:lnSpc>
                <a:spcBef>
                  <a:spcPts val="0"/>
                </a:spcBef>
                <a:spcAft>
                  <a:spcPts val="0"/>
                </a:spcAft>
                <a:buClrTx/>
                <a:buSzTx/>
                <a:buFontTx/>
                <a:buNone/>
                <a:tabLst/>
                <a:defRPr/>
              </a:pPr>
              <a:endParaRPr lang="hr-HR"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baseline="0">
                  <a:solidFill>
                    <a:schemeClr val="dk1"/>
                  </a:solidFill>
                  <a:effectLst/>
                  <a:latin typeface="+mn-lt"/>
                  <a:ea typeface="+mn-ea"/>
                  <a:cs typeface="+mn-cs"/>
                </a:rPr>
                <a:t>Napomena: ako se radi o mjesečnim, kvartalnim ili polugodišnjim uplatama anuiteta ne zaboravite odrediti </a:t>
              </a:r>
              <a:r>
                <a:rPr lang="hr-HR" sz="1100" b="0" i="0" baseline="0">
                  <a:solidFill>
                    <a:schemeClr val="dk1"/>
                  </a:solidFill>
                  <a:effectLst/>
                  <a:latin typeface="Cambria Math" panose="02040503050406030204" pitchFamily="18" charset="0"/>
                  <a:ea typeface="+mn-ea"/>
                  <a:cs typeface="+mn-cs"/>
                </a:rPr>
                <a:t>𝑚</a:t>
              </a:r>
              <a:r>
                <a:rPr lang="hr-HR" sz="1100" baseline="0">
                  <a:solidFill>
                    <a:schemeClr val="dk1"/>
                  </a:solidFill>
                  <a:effectLst/>
                  <a:latin typeface="+mn-lt"/>
                  <a:ea typeface="+mn-ea"/>
                  <a:cs typeface="+mn-cs"/>
                </a:rPr>
                <a:t> i potom odgovarajuće </a:t>
              </a:r>
              <a:r>
                <a:rPr lang="hr-HR" sz="1100" b="0" i="0" baseline="0">
                  <a:solidFill>
                    <a:schemeClr val="dk1"/>
                  </a:solidFill>
                  <a:effectLst/>
                  <a:latin typeface="Cambria Math" panose="02040503050406030204" pitchFamily="18" charset="0"/>
                  <a:ea typeface="+mn-ea"/>
                  <a:cs typeface="+mn-cs"/>
                </a:rPr>
                <a:t>𝑝_𝑟</a:t>
              </a:r>
              <a:r>
                <a:rPr lang="hr-HR" sz="1100" baseline="0">
                  <a:solidFill>
                    <a:schemeClr val="dk1"/>
                  </a:solidFill>
                  <a:effectLst/>
                  <a:latin typeface="+mn-lt"/>
                  <a:ea typeface="+mn-ea"/>
                  <a:cs typeface="+mn-cs"/>
                </a:rPr>
                <a:t>, </a:t>
              </a:r>
              <a:r>
                <a:rPr lang="hr-HR" sz="1100" b="0" i="0" baseline="0">
                  <a:solidFill>
                    <a:schemeClr val="dk1"/>
                  </a:solidFill>
                  <a:effectLst/>
                  <a:latin typeface="Cambria Math" panose="02040503050406030204" pitchFamily="18" charset="0"/>
                  <a:ea typeface="+mn-ea"/>
                  <a:cs typeface="+mn-cs"/>
                </a:rPr>
                <a:t>𝑟_𝑟</a:t>
              </a:r>
              <a:r>
                <a:rPr lang="hr-HR" sz="1100" baseline="0">
                  <a:solidFill>
                    <a:schemeClr val="dk1"/>
                  </a:solidFill>
                  <a:effectLst/>
                  <a:latin typeface="+mn-lt"/>
                  <a:ea typeface="+mn-ea"/>
                  <a:cs typeface="+mn-cs"/>
                </a:rPr>
                <a:t> i </a:t>
              </a:r>
              <a:r>
                <a:rPr lang="hr-HR" sz="1100" b="0" i="0" baseline="0">
                  <a:solidFill>
                    <a:schemeClr val="dk1"/>
                  </a:solidFill>
                  <a:effectLst/>
                  <a:latin typeface="Cambria Math" panose="02040503050406030204" pitchFamily="18" charset="0"/>
                  <a:ea typeface="+mn-ea"/>
                  <a:cs typeface="+mn-cs"/>
                </a:rPr>
                <a:t>𝑛_𝑟</a:t>
              </a:r>
              <a:r>
                <a:rPr lang="hr-HR" sz="1100" baseline="0">
                  <a:solidFill>
                    <a:schemeClr val="dk1"/>
                  </a:solidFill>
                  <a:effectLst/>
                  <a:latin typeface="+mn-lt"/>
                  <a:ea typeface="+mn-ea"/>
                  <a:cs typeface="+mn-cs"/>
                </a:rPr>
                <a:t>.</a:t>
              </a:r>
            </a:p>
          </xdr:txBody>
        </xdr:sp>
      </mc:Fallback>
    </mc:AlternateContent>
    <xdr:clientData/>
  </xdr:twoCellAnchor>
  <xdr:twoCellAnchor>
    <xdr:from>
      <xdr:col>1</xdr:col>
      <xdr:colOff>0</xdr:colOff>
      <xdr:row>189</xdr:row>
      <xdr:rowOff>0</xdr:rowOff>
    </xdr:from>
    <xdr:to>
      <xdr:col>14</xdr:col>
      <xdr:colOff>76950</xdr:colOff>
      <xdr:row>220</xdr:row>
      <xdr:rowOff>144780</xdr:rowOff>
    </xdr:to>
    <mc:AlternateContent xmlns:mc="http://schemas.openxmlformats.org/markup-compatibility/2006" xmlns:a14="http://schemas.microsoft.com/office/drawing/2010/main">
      <mc:Choice Requires="a14">
        <xdr:sp macro="" textlink="">
          <xdr:nvSpPr>
            <xdr:cNvPr id="8" name="TekstniOkvir 7">
              <a:extLst>
                <a:ext uri="{FF2B5EF4-FFF2-40B4-BE49-F238E27FC236}">
                  <a16:creationId xmlns:a16="http://schemas.microsoft.com/office/drawing/2014/main" id="{0E368016-A4D8-40AB-AAF1-295F0FDC094A}"/>
                </a:ext>
              </a:extLst>
            </xdr:cNvPr>
            <xdr:cNvSpPr txBox="1"/>
          </xdr:nvSpPr>
          <xdr:spPr>
            <a:xfrm>
              <a:off x="609600" y="34804350"/>
              <a:ext cx="8001750" cy="5853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IZRADA OTPLATNE TABLICE</a:t>
              </a:r>
            </a:p>
            <a:p>
              <a:endParaRPr lang="hr-HR" sz="1100"/>
            </a:p>
            <a:p>
              <a:r>
                <a:rPr lang="hr-HR" sz="1100"/>
                <a:t>Otplatna</a:t>
              </a:r>
              <a:r>
                <a:rPr lang="hr-HR" sz="1100" baseline="0"/>
                <a:t> tablica ima 5 stupaca: k a I R C, </a:t>
              </a:r>
              <a:r>
                <a:rPr lang="hr-HR" sz="1100" baseline="0">
                  <a:solidFill>
                    <a:schemeClr val="dk1"/>
                  </a:solidFill>
                  <a:effectLst/>
                  <a:latin typeface="+mn-lt"/>
                  <a:ea typeface="+mn-ea"/>
                  <a:cs typeface="+mn-cs"/>
                </a:rPr>
                <a:t>podsjeća</a:t>
              </a:r>
              <a:r>
                <a:rPr lang="hr-HR" sz="1100" baseline="0"/>
                <a:t> na KAIRO.</a:t>
              </a:r>
            </a:p>
            <a:p>
              <a14:m>
                <m:oMath xmlns:m="http://schemas.openxmlformats.org/officeDocument/2006/math">
                  <m:r>
                    <a:rPr lang="hr-HR" sz="1100" b="0" i="1">
                      <a:latin typeface="Cambria Math" panose="02040503050406030204" pitchFamily="18" charset="0"/>
                    </a:rPr>
                    <m:t>𝑘</m:t>
                  </m:r>
                </m:oMath>
              </a14:m>
              <a:r>
                <a:rPr lang="hr-HR" sz="1100"/>
                <a:t> je redni broj anuiteta, kreće od 0</a:t>
              </a:r>
            </a:p>
            <a:p>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𝑎</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a:t> iznos</a:t>
              </a:r>
              <a:r>
                <a:rPr lang="hr-HR" sz="1100" baseline="0"/>
                <a:t> anuiteta u k-tom razdoblju</a:t>
              </a:r>
            </a:p>
            <a:p>
              <a:pPr eaLnBrk="1" fontAlgn="auto" latinLnBrk="0" hangingPunct="1"/>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kamata u k-tom razdoblju otplate</a:t>
              </a:r>
              <a:endParaRPr lang="hr-HR">
                <a:effectLst/>
              </a:endParaRPr>
            </a:p>
            <a:p>
              <a:pPr eaLnBrk="1" fontAlgn="auto" latinLnBrk="0" hangingPunct="1"/>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𝑅</m:t>
                  </m:r>
                </m:oMath>
              </a14:m>
              <a:r>
                <a:rPr lang="hr-HR" sz="1100" i="0" baseline="0">
                  <a:solidFill>
                    <a:schemeClr val="dk1"/>
                  </a:solidFill>
                  <a:effectLst/>
                  <a:latin typeface="+mn-lt"/>
                  <a:ea typeface="+mn-ea"/>
                  <a:cs typeface="+mn-cs"/>
                </a:rPr>
                <a:t> otplatna kvota (otplata glavnice)</a:t>
              </a:r>
              <a:endParaRPr lang="hr-HR">
                <a:effectLst/>
              </a:endParaRPr>
            </a:p>
            <a:p>
              <a:pPr eaLnBrk="1" fontAlgn="auto" latinLnBrk="0" hangingPunct="1"/>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sub>
                  </m:sSub>
                </m:oMath>
              </a14:m>
              <a:r>
                <a:rPr lang="hr-HR" sz="1100" i="0" baseline="0">
                  <a:solidFill>
                    <a:schemeClr val="dk1"/>
                  </a:solidFill>
                  <a:effectLst/>
                  <a:latin typeface="+mn-lt"/>
                  <a:ea typeface="+mn-ea"/>
                  <a:cs typeface="+mn-cs"/>
                </a:rPr>
                <a:t> ostatak duga u k-tom razdoblju otplate</a:t>
              </a:r>
              <a:endParaRPr lang="hr-HR">
                <a:effectLst/>
              </a:endParaRPr>
            </a:p>
            <a:p>
              <a:endParaRPr lang="hr-HR" sz="1100"/>
            </a:p>
            <a:p>
              <a:r>
                <a:rPr lang="hr-HR" sz="1100"/>
                <a:t>U 0-tom razdoblju</a:t>
              </a:r>
              <a:r>
                <a:rPr lang="hr-HR" sz="1100" baseline="0"/>
                <a:t>/retku uzimamo kredit/zajam i upisujemo iznos zajma.</a:t>
              </a:r>
            </a:p>
            <a:p>
              <a:r>
                <a:rPr lang="hr-HR" sz="1100" baseline="0"/>
                <a:t>Popunimo iznos otplatnih kvota </a:t>
              </a:r>
              <a14:m>
                <m:oMath xmlns:m="http://schemas.openxmlformats.org/officeDocument/2006/math">
                  <m:r>
                    <a:rPr lang="hr-HR" sz="1100" b="0" i="1" baseline="0">
                      <a:latin typeface="Cambria Math" panose="02040503050406030204" pitchFamily="18" charset="0"/>
                    </a:rPr>
                    <m:t>𝑅</m:t>
                  </m:r>
                </m:oMath>
              </a14:m>
              <a:r>
                <a:rPr lang="hr-HR" sz="1100" baseline="0"/>
                <a:t> za sva razdoblja otplate.</a:t>
              </a:r>
            </a:p>
            <a:p>
              <a:r>
                <a:rPr lang="hr-HR" sz="1100" baseline="0"/>
                <a:t>Popunjavanje 1. retka:</a:t>
              </a:r>
            </a:p>
            <a:p>
              <a:r>
                <a:rPr lang="hr-HR" sz="1100" baseline="0"/>
                <a:t>Kamata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𝑅𝑂𝑈𝑁𝐷</m:t>
                      </m:r>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Cambria Math" panose="02040503050406030204" pitchFamily="18" charset="0"/>
                      <a:cs typeface="+mn-cs"/>
                    </a:rPr>
                    <m:t>∙</m:t>
                  </m:r>
                  <m:r>
                    <a:rPr lang="en-US" sz="1100" b="0" i="1" baseline="0">
                      <a:solidFill>
                        <a:schemeClr val="dk1"/>
                      </a:solidFill>
                      <a:effectLst/>
                      <a:latin typeface="Cambria Math" panose="02040503050406030204" pitchFamily="18" charset="0"/>
                      <a:ea typeface="Cambria Math" panose="02040503050406030204" pitchFamily="18" charset="0"/>
                      <a:cs typeface="+mn-cs"/>
                    </a:rPr>
                    <m:t>𝑝</m:t>
                  </m:r>
                  <m:r>
                    <a:rPr lang="hr-HR" sz="1100" b="0" i="1" baseline="0">
                      <a:solidFill>
                        <a:schemeClr val="dk1"/>
                      </a:solidFill>
                      <a:effectLst/>
                      <a:latin typeface="Cambria Math" panose="02040503050406030204" pitchFamily="18" charset="0"/>
                      <a:ea typeface="Cambria Math" panose="02040503050406030204" pitchFamily="18" charset="0"/>
                      <a:cs typeface="+mn-cs"/>
                    </a:rPr>
                    <m:t>;2)</m:t>
                  </m:r>
                </m:oMath>
              </a14:m>
              <a:r>
                <a:rPr lang="hr-HR" sz="1100" i="0" baseline="0">
                  <a:solidFill>
                    <a:schemeClr val="dk1"/>
                  </a:solidFill>
                  <a:effectLst/>
                  <a:latin typeface="+mn-lt"/>
                  <a:ea typeface="+mn-ea"/>
                  <a:cs typeface="+mn-cs"/>
                </a:rPr>
                <a:t>. (jer je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oMath>
              </a14:m>
              <a:r>
                <a:rPr lang="hr-HR" sz="1100" i="0" baseline="0">
                  <a:solidFill>
                    <a:schemeClr val="dk1"/>
                  </a:solidFill>
                  <a:effectLst/>
                  <a:latin typeface="+mn-lt"/>
                  <a:ea typeface="+mn-ea"/>
                  <a:cs typeface="+mn-cs"/>
                </a:rPr>
                <a:t> zapisan kao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r>
                    <a:rPr lang="hr-HR" sz="1100" b="0" i="1" baseline="0">
                      <a:solidFill>
                        <a:schemeClr val="dk1"/>
                      </a:solidFill>
                      <a:effectLst/>
                      <a:latin typeface="Cambria Math" panose="02040503050406030204" pitchFamily="18" charset="0"/>
                      <a:ea typeface="+mn-ea"/>
                      <a:cs typeface="+mn-cs"/>
                    </a:rPr>
                    <m:t>=5%</m:t>
                  </m:r>
                </m:oMath>
              </a14:m>
              <a:r>
                <a:rPr lang="hr-HR" sz="1100" i="0" baseline="0">
                  <a:solidFill>
                    <a:schemeClr val="dk1"/>
                  </a:solidFill>
                  <a:effectLst/>
                  <a:latin typeface="+mn-lt"/>
                  <a:ea typeface="+mn-ea"/>
                  <a:cs typeface="+mn-cs"/>
                </a:rPr>
                <a:t> što je jednako </a:t>
              </a:r>
              <a14:m>
                <m:oMath xmlns:m="http://schemas.openxmlformats.org/officeDocument/2006/math">
                  <m:r>
                    <a:rPr lang="hr-HR" sz="1100" b="0" i="1" baseline="0">
                      <a:solidFill>
                        <a:schemeClr val="dk1"/>
                      </a:solidFill>
                      <a:effectLst/>
                      <a:latin typeface="Cambria Math" panose="02040503050406030204" pitchFamily="18" charset="0"/>
                      <a:ea typeface="+mn-ea"/>
                      <a:cs typeface="+mn-cs"/>
                    </a:rPr>
                    <m:t>𝑝</m:t>
                  </m:r>
                  <m:r>
                    <a:rPr lang="hr-HR" sz="1100" b="0" i="1" baseline="0">
                      <a:solidFill>
                        <a:schemeClr val="dk1"/>
                      </a:solidFill>
                      <a:effectLst/>
                      <a:latin typeface="Cambria Math" panose="02040503050406030204" pitchFamily="18" charset="0"/>
                      <a:ea typeface="+mn-ea"/>
                      <a:cs typeface="+mn-cs"/>
                    </a:rPr>
                    <m:t>=0,05</m:t>
                  </m:r>
                </m:oMath>
              </a14:m>
              <a:r>
                <a:rPr lang="hr-HR" sz="1100" i="0" baseline="0">
                  <a:solidFill>
                    <a:schemeClr val="dk1"/>
                  </a:solidFill>
                  <a:effectLst/>
                  <a:latin typeface="+mn-lt"/>
                  <a:ea typeface="+mn-ea"/>
                  <a:cs typeface="+mn-cs"/>
                </a:rPr>
                <a:t> pa nema potrebe dijeliti izraz sa 100 i koristiti formulu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f>
                    <m:fPr>
                      <m:ctrlPr>
                        <a:rPr lang="hr-HR" sz="1100" b="0" i="1" baseline="0">
                          <a:solidFill>
                            <a:schemeClr val="dk1"/>
                          </a:solidFill>
                          <a:effectLst/>
                          <a:latin typeface="Cambria Math" panose="02040503050406030204" pitchFamily="18" charset="0"/>
                          <a:ea typeface="+mn-ea"/>
                          <a:cs typeface="+mn-cs"/>
                        </a:rPr>
                      </m:ctrlPr>
                    </m:fPr>
                    <m:num>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𝑝</m:t>
                      </m:r>
                      <m:r>
                        <m:rPr>
                          <m:nor/>
                        </m:rPr>
                        <a:rPr lang="hr-HR" sz="1100" i="0" baseline="0">
                          <a:solidFill>
                            <a:schemeClr val="dk1"/>
                          </a:solidFill>
                          <a:effectLst/>
                          <a:latin typeface="+mn-lt"/>
                          <a:ea typeface="+mn-ea"/>
                          <a:cs typeface="+mn-cs"/>
                        </a:rPr>
                        <m:t> </m:t>
                      </m:r>
                    </m:num>
                    <m:den>
                      <m:r>
                        <a:rPr lang="hr-HR" sz="1100" b="0" i="1" baseline="0">
                          <a:solidFill>
                            <a:schemeClr val="dk1"/>
                          </a:solidFill>
                          <a:effectLst/>
                          <a:latin typeface="Cambria Math" panose="02040503050406030204" pitchFamily="18" charset="0"/>
                          <a:ea typeface="+mn-ea"/>
                          <a:cs typeface="+mn-cs"/>
                        </a:rPr>
                        <m:t>100</m:t>
                      </m:r>
                    </m:den>
                  </m:f>
                </m:oMath>
              </a14:m>
              <a:r>
                <a:rPr lang="hr-HR" sz="1100"/>
                <a:t>).</a:t>
              </a:r>
            </a:p>
            <a:p>
              <a:r>
                <a:rPr lang="hr-HR" sz="1100"/>
                <a:t>Anuitet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𝑎</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𝑅</m:t>
                  </m:r>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1</m:t>
                      </m:r>
                    </m:sub>
                  </m:sSub>
                </m:oMath>
              </a14:m>
              <a:r>
                <a:rPr lang="hr-HR" sz="1100"/>
                <a:t>.</a:t>
              </a:r>
            </a:p>
            <a:p>
              <a:r>
                <a:rPr lang="hr-HR" sz="1100"/>
                <a:t>Ostatak duga nakon</a:t>
              </a:r>
              <a:r>
                <a:rPr lang="hr-HR" sz="1100" baseline="0"/>
                <a:t> prvog otplaćenog anuiteta iznosi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𝑅</m:t>
                  </m:r>
                </m:oMath>
              </a14:m>
              <a:r>
                <a:rPr lang="hr-HR" sz="1100"/>
                <a:t>.</a:t>
              </a:r>
            </a:p>
            <a:p>
              <a:endParaRPr lang="hr-HR" sz="1100"/>
            </a:p>
            <a:p>
              <a:r>
                <a:rPr lang="hr-HR" sz="1100"/>
                <a:t>Nakon toga se</a:t>
              </a:r>
              <a:r>
                <a:rPr lang="hr-HR" sz="1100" baseline="0"/>
                <a:t> popunjavaju ostali retci: </a:t>
              </a:r>
            </a:p>
            <a:p>
              <a:pPr/>
              <a14:m>
                <m:oMathPara xmlns:m="http://schemas.openxmlformats.org/officeDocument/2006/math">
                  <m:oMathParaPr>
                    <m:jc m:val="left"/>
                  </m:oMathParaPr>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en-US" sz="1100" b="0" i="1" baseline="0">
                        <a:solidFill>
                          <a:schemeClr val="dk1"/>
                        </a:solidFill>
                        <a:effectLst/>
                        <a:latin typeface="Cambria Math" panose="02040503050406030204" pitchFamily="18" charset="0"/>
                        <a:ea typeface="+mn-ea"/>
                        <a:cs typeface="+mn-cs"/>
                      </a:rPr>
                      <m:t>𝑅𝑂𝑈𝑁𝐷</m:t>
                    </m:r>
                    <m:r>
                      <a:rPr lang="en-US" sz="1100" b="0" i="1" baseline="0">
                        <a:solidFill>
                          <a:schemeClr val="dk1"/>
                        </a:solidFill>
                        <a:effectLst/>
                        <a:latin typeface="Cambria Math" panose="02040503050406030204" pitchFamily="18" charset="0"/>
                        <a:ea typeface="+mn-ea"/>
                        <a:cs typeface="+mn-cs"/>
                      </a:rPr>
                      <m:t>(</m:t>
                    </m:r>
                    <m:sSub>
                      <m:sSubPr>
                        <m:ctrlPr>
                          <a:rPr lang="hr-HR" sz="1100" b="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𝑝</m:t>
                    </m:r>
                    <m:r>
                      <a:rPr lang="en-US" sz="1100" b="0" i="1" baseline="0">
                        <a:solidFill>
                          <a:schemeClr val="dk1"/>
                        </a:solidFill>
                        <a:effectLst/>
                        <a:latin typeface="Cambria Math" panose="02040503050406030204" pitchFamily="18" charset="0"/>
                        <a:ea typeface="+mn-ea"/>
                        <a:cs typeface="+mn-cs"/>
                      </a:rPr>
                      <m:t>;2)</m:t>
                    </m:r>
                  </m:oMath>
                </m:oMathPara>
              </a14:m>
              <a:endParaRPr lang="hr-HR" sz="1100"/>
            </a:p>
            <a:p>
              <a:pPr/>
              <a14:m>
                <m:oMathPara xmlns:m="http://schemas.openxmlformats.org/officeDocument/2006/math">
                  <m:oMathParaPr>
                    <m:jc m:val="left"/>
                  </m:oMathParaPr>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𝑎</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𝑅</m:t>
                    </m:r>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oMath>
                </m:oMathPara>
              </a14:m>
              <a:endParaRPr lang="hr-HR" sz="1100"/>
            </a:p>
            <a:p>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sub>
                  </m:sSub>
                  <m:r>
                    <a:rPr lang="hr-HR" sz="1100" b="0" i="1" baseline="0">
                      <a:solidFill>
                        <a:schemeClr val="dk1"/>
                      </a:solidFill>
                      <a:effectLst/>
                      <a:latin typeface="Cambria Math" panose="02040503050406030204" pitchFamily="18" charset="0"/>
                      <a:ea typeface="+mn-ea"/>
                      <a:cs typeface="+mn-cs"/>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𝑘</m:t>
                      </m:r>
                      <m:r>
                        <a:rPr lang="hr-HR" sz="1100" b="0" i="1" baseline="0">
                          <a:solidFill>
                            <a:schemeClr val="dk1"/>
                          </a:solidFill>
                          <a:effectLst/>
                          <a:latin typeface="Cambria Math" panose="02040503050406030204" pitchFamily="18" charset="0"/>
                          <a:ea typeface="+mn-ea"/>
                          <a:cs typeface="+mn-cs"/>
                        </a:rPr>
                        <m:t>−1</m:t>
                      </m:r>
                    </m:sub>
                  </m:sSub>
                  <m:r>
                    <a:rPr lang="hr-HR" sz="1100" b="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𝑅</m:t>
                  </m:r>
                </m:oMath>
              </a14:m>
              <a:r>
                <a:rPr lang="hr-HR" sz="1100"/>
                <a:t>.</a:t>
              </a:r>
            </a:p>
            <a:p>
              <a:r>
                <a:rPr lang="hr-HR" sz="1100"/>
                <a:t>U excelu je dovoljno popuniti prvi redak</a:t>
              </a:r>
              <a:r>
                <a:rPr lang="hr-HR" sz="1100" baseline="0"/>
                <a:t> i potom kopirati/razvući u ostale retke. Pazite da usidrite s F4 odgovarajuće podatke.</a:t>
              </a:r>
            </a:p>
            <a:p>
              <a:endParaRPr lang="hr-HR" sz="1100" baseline="0"/>
            </a:p>
            <a:p>
              <a:r>
                <a:rPr lang="hr-HR" sz="1100" baseline="0"/>
                <a:t>PROVJERA TABLICE:</a:t>
              </a:r>
            </a:p>
            <a:p>
              <a:r>
                <a:rPr lang="hr-HR" sz="1100" baseline="0"/>
                <a:t>zadnji ostatak duga </a:t>
              </a:r>
              <a14:m>
                <m:oMath xmlns:m="http://schemas.openxmlformats.org/officeDocument/2006/math">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𝑛</m:t>
                      </m:r>
                    </m:sub>
                  </m:sSub>
                </m:oMath>
              </a14:m>
              <a:r>
                <a:rPr lang="hr-HR" sz="1100" baseline="0"/>
                <a:t> treba biti jednak nula</a:t>
              </a:r>
            </a:p>
            <a:p>
              <a:pPr/>
              <a14:m>
                <m:oMathPara xmlns:m="http://schemas.openxmlformats.org/officeDocument/2006/math">
                  <m:oMathParaPr>
                    <m:jc m:val="left"/>
                  </m:oMathParaPr>
                  <m:oMath xmlns:m="http://schemas.openxmlformats.org/officeDocument/2006/math">
                    <m:nary>
                      <m:naryPr>
                        <m:chr m:val="∑"/>
                        <m:subHide m:val="on"/>
                        <m:supHide m:val="on"/>
                        <m:ctrlPr>
                          <a:rPr lang="hr-HR" sz="1100" i="1" baseline="0">
                            <a:latin typeface="Cambria Math" panose="02040503050406030204" pitchFamily="18" charset="0"/>
                          </a:rPr>
                        </m:ctrlPr>
                      </m:naryPr>
                      <m:sub/>
                      <m:sup/>
                      <m:e>
                        <m:r>
                          <a:rPr lang="hr-HR" sz="1100" i="1" baseline="0">
                            <a:latin typeface="Cambria Math" panose="02040503050406030204" pitchFamily="18" charset="0"/>
                          </a:rPr>
                          <m:t>𝑅</m:t>
                        </m:r>
                      </m:e>
                    </m:nary>
                    <m:r>
                      <a:rPr lang="hr-HR" sz="1100" b="0" i="1" baseline="0">
                        <a:latin typeface="Cambria Math" panose="02040503050406030204" pitchFamily="18" charset="0"/>
                      </a:rPr>
                      <m:t>=</m:t>
                    </m:r>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𝐶</m:t>
                        </m:r>
                      </m:e>
                      <m:sub>
                        <m:r>
                          <a:rPr lang="hr-HR" sz="1100" b="0" i="1" baseline="0">
                            <a:solidFill>
                              <a:schemeClr val="dk1"/>
                            </a:solidFill>
                            <a:effectLst/>
                            <a:latin typeface="Cambria Math" panose="02040503050406030204" pitchFamily="18" charset="0"/>
                            <a:ea typeface="+mn-ea"/>
                            <a:cs typeface="+mn-cs"/>
                          </a:rPr>
                          <m:t>0</m:t>
                        </m:r>
                      </m:sub>
                    </m:sSub>
                  </m:oMath>
                </m:oMathPara>
              </a14:m>
              <a:endParaRPr lang="hr-HR" sz="1100" baseline="0"/>
            </a:p>
            <a:p>
              <a:pPr/>
              <a14:m>
                <m:oMathPara xmlns:m="http://schemas.openxmlformats.org/officeDocument/2006/math">
                  <m:oMathParaPr>
                    <m:jc m:val="left"/>
                  </m:oMathParaPr>
                  <m:oMath xmlns:m="http://schemas.openxmlformats.org/officeDocument/2006/math">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𝑎</m:t>
                            </m:r>
                          </m:e>
                          <m:sub>
                            <m:r>
                              <a:rPr lang="hr-HR" sz="1100" b="0" i="1" baseline="0">
                                <a:solidFill>
                                  <a:schemeClr val="dk1"/>
                                </a:solidFill>
                                <a:effectLst/>
                                <a:latin typeface="Cambria Math" panose="02040503050406030204" pitchFamily="18" charset="0"/>
                                <a:ea typeface="+mn-ea"/>
                                <a:cs typeface="+mn-cs"/>
                              </a:rPr>
                              <m:t>𝑘</m:t>
                            </m:r>
                          </m:sub>
                        </m:sSub>
                      </m:e>
                    </m:nary>
                    <m:r>
                      <a:rPr lang="hr-HR" sz="1100" b="0" i="1" baseline="0">
                        <a:solidFill>
                          <a:schemeClr val="dk1"/>
                        </a:solidFill>
                        <a:effectLst/>
                        <a:latin typeface="Cambria Math" panose="02040503050406030204" pitchFamily="18" charset="0"/>
                        <a:ea typeface="+mn-ea"/>
                        <a:cs typeface="+mn-cs"/>
                      </a:rPr>
                      <m:t>=</m:t>
                    </m:r>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sSub>
                          <m:sSubPr>
                            <m:ctrlPr>
                              <a:rPr lang="hr-HR" sz="1100" i="1" baseline="0">
                                <a:solidFill>
                                  <a:schemeClr val="dk1"/>
                                </a:solidFill>
                                <a:effectLst/>
                                <a:latin typeface="Cambria Math" panose="02040503050406030204" pitchFamily="18" charset="0"/>
                                <a:ea typeface="+mn-ea"/>
                                <a:cs typeface="+mn-cs"/>
                              </a:rPr>
                            </m:ctrlPr>
                          </m:sSubPr>
                          <m:e>
                            <m:r>
                              <a:rPr lang="hr-HR" sz="1100" b="0" i="1" baseline="0">
                                <a:solidFill>
                                  <a:schemeClr val="dk1"/>
                                </a:solidFill>
                                <a:effectLst/>
                                <a:latin typeface="Cambria Math" panose="02040503050406030204" pitchFamily="18" charset="0"/>
                                <a:ea typeface="+mn-ea"/>
                                <a:cs typeface="+mn-cs"/>
                              </a:rPr>
                              <m:t>𝐼</m:t>
                            </m:r>
                          </m:e>
                          <m:sub>
                            <m:r>
                              <a:rPr lang="hr-HR" sz="1100" b="0" i="1" baseline="0">
                                <a:solidFill>
                                  <a:schemeClr val="dk1"/>
                                </a:solidFill>
                                <a:effectLst/>
                                <a:latin typeface="Cambria Math" panose="02040503050406030204" pitchFamily="18" charset="0"/>
                                <a:ea typeface="+mn-ea"/>
                                <a:cs typeface="+mn-cs"/>
                              </a:rPr>
                              <m:t>𝑘</m:t>
                            </m:r>
                          </m:sub>
                        </m:sSub>
                      </m:e>
                    </m:nary>
                    <m:r>
                      <a:rPr lang="hr-HR" sz="1100" b="0" i="1" baseline="0">
                        <a:solidFill>
                          <a:schemeClr val="dk1"/>
                        </a:solidFill>
                        <a:effectLst/>
                        <a:latin typeface="Cambria Math" panose="02040503050406030204" pitchFamily="18" charset="0"/>
                        <a:ea typeface="+mn-ea"/>
                        <a:cs typeface="+mn-cs"/>
                      </a:rPr>
                      <m:t>+</m:t>
                    </m:r>
                    <m:nary>
                      <m:naryPr>
                        <m:chr m:val="∑"/>
                        <m:subHide m:val="on"/>
                        <m:supHide m:val="on"/>
                        <m:ctrlPr>
                          <a:rPr lang="hr-HR" sz="1100" i="1" baseline="0">
                            <a:solidFill>
                              <a:schemeClr val="dk1"/>
                            </a:solidFill>
                            <a:effectLst/>
                            <a:latin typeface="Cambria Math" panose="02040503050406030204" pitchFamily="18" charset="0"/>
                            <a:ea typeface="+mn-ea"/>
                            <a:cs typeface="+mn-cs"/>
                          </a:rPr>
                        </m:ctrlPr>
                      </m:naryPr>
                      <m:sub/>
                      <m:sup/>
                      <m:e>
                        <m:r>
                          <a:rPr lang="hr-HR" sz="1100" i="1" baseline="0">
                            <a:solidFill>
                              <a:schemeClr val="dk1"/>
                            </a:solidFill>
                            <a:effectLst/>
                            <a:latin typeface="Cambria Math" panose="02040503050406030204" pitchFamily="18" charset="0"/>
                            <a:ea typeface="+mn-ea"/>
                            <a:cs typeface="+mn-cs"/>
                          </a:rPr>
                          <m:t>𝑅</m:t>
                        </m:r>
                      </m:e>
                    </m:nary>
                  </m:oMath>
                </m:oMathPara>
              </a14:m>
              <a:endParaRPr lang="hr-HR" sz="1100" baseline="0"/>
            </a:p>
            <a:p>
              <a:endParaRPr lang="hr-HR" sz="1100" baseline="0"/>
            </a:p>
            <a:p>
              <a:r>
                <a:rPr lang="hr-HR" sz="1100"/>
                <a:t>Napomena: </a:t>
              </a:r>
              <a:r>
                <a:rPr lang="hr-HR" sz="1100" i="1"/>
                <a:t>k</a:t>
              </a:r>
              <a:r>
                <a:rPr lang="hr-HR" sz="1100"/>
                <a:t> u ovom slučaju predstavlja</a:t>
              </a:r>
              <a:r>
                <a:rPr lang="hr-HR" sz="1100" baseline="0"/>
                <a:t> redni broj otplatnog razdoblja, a ne konformnu metodu!!!</a:t>
              </a:r>
              <a:endParaRPr lang="hr-HR" sz="1100"/>
            </a:p>
            <a:p>
              <a:endParaRPr lang="hr-HR" sz="1100"/>
            </a:p>
          </xdr:txBody>
        </xdr:sp>
      </mc:Choice>
      <mc:Fallback xmlns="">
        <xdr:sp macro="" textlink="">
          <xdr:nvSpPr>
            <xdr:cNvPr id="8" name="TekstniOkvir 7">
              <a:extLst>
                <a:ext uri="{FF2B5EF4-FFF2-40B4-BE49-F238E27FC236}">
                  <a16:creationId xmlns:a16="http://schemas.microsoft.com/office/drawing/2014/main" id="{0E368016-A4D8-40AB-AAF1-295F0FDC094A}"/>
                </a:ext>
              </a:extLst>
            </xdr:cNvPr>
            <xdr:cNvSpPr txBox="1"/>
          </xdr:nvSpPr>
          <xdr:spPr>
            <a:xfrm>
              <a:off x="609600" y="34804350"/>
              <a:ext cx="8001750" cy="58534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100"/>
                <a:t>IZRADA OTPLATNE TABLICE</a:t>
              </a:r>
            </a:p>
            <a:p>
              <a:endParaRPr lang="hr-HR" sz="1100"/>
            </a:p>
            <a:p>
              <a:r>
                <a:rPr lang="hr-HR" sz="1100"/>
                <a:t>Otplatna</a:t>
              </a:r>
              <a:r>
                <a:rPr lang="hr-HR" sz="1100" baseline="0"/>
                <a:t> tablica ima 5 stupaca: k a I R C, </a:t>
              </a:r>
              <a:r>
                <a:rPr lang="hr-HR" sz="1100" baseline="0">
                  <a:solidFill>
                    <a:schemeClr val="dk1"/>
                  </a:solidFill>
                  <a:effectLst/>
                  <a:latin typeface="+mn-lt"/>
                  <a:ea typeface="+mn-ea"/>
                  <a:cs typeface="+mn-cs"/>
                </a:rPr>
                <a:t>podsjeća</a:t>
              </a:r>
              <a:r>
                <a:rPr lang="hr-HR" sz="1100" baseline="0"/>
                <a:t> na KAIRO.</a:t>
              </a:r>
            </a:p>
            <a:p>
              <a:r>
                <a:rPr lang="hr-HR" sz="1100" b="0" i="0">
                  <a:latin typeface="Cambria Math" panose="02040503050406030204" pitchFamily="18" charset="0"/>
                </a:rPr>
                <a:t>𝑘</a:t>
              </a:r>
              <a:r>
                <a:rPr lang="hr-HR" sz="1100"/>
                <a:t> je redni broj anuiteta, kreće od 0</a:t>
              </a:r>
            </a:p>
            <a:p>
              <a:r>
                <a:rPr lang="hr-HR" sz="1100" b="0" i="0" baseline="0">
                  <a:solidFill>
                    <a:schemeClr val="dk1"/>
                  </a:solidFill>
                  <a:effectLst/>
                  <a:latin typeface="Cambria Math" panose="02040503050406030204" pitchFamily="18" charset="0"/>
                  <a:ea typeface="+mn-ea"/>
                  <a:cs typeface="+mn-cs"/>
                </a:rPr>
                <a:t>𝑎_𝑘</a:t>
              </a:r>
              <a:r>
                <a:rPr lang="hr-HR" sz="1100"/>
                <a:t> iznos</a:t>
              </a:r>
              <a:r>
                <a:rPr lang="hr-HR" sz="1100" baseline="0"/>
                <a:t> anuiteta u k-tom razdoblju</a:t>
              </a:r>
            </a:p>
            <a:p>
              <a:pPr eaLnBrk="1" fontAlgn="auto" latinLnBrk="0" hangingPunct="1"/>
              <a:r>
                <a:rPr lang="hr-HR" sz="1100" b="0" i="0" baseline="0">
                  <a:solidFill>
                    <a:schemeClr val="dk1"/>
                  </a:solidFill>
                  <a:effectLst/>
                  <a:latin typeface="Cambria Math" panose="02040503050406030204" pitchFamily="18" charset="0"/>
                  <a:ea typeface="+mn-ea"/>
                  <a:cs typeface="+mn-cs"/>
                </a:rPr>
                <a:t>𝐼_𝑘</a:t>
              </a:r>
              <a:r>
                <a:rPr lang="hr-HR" sz="1100" i="0" baseline="0">
                  <a:solidFill>
                    <a:schemeClr val="dk1"/>
                  </a:solidFill>
                  <a:effectLst/>
                  <a:latin typeface="+mn-lt"/>
                  <a:ea typeface="+mn-ea"/>
                  <a:cs typeface="+mn-cs"/>
                </a:rPr>
                <a:t> kamata u k-tom razdoblju otplate</a:t>
              </a:r>
              <a:endParaRPr lang="hr-HR">
                <a:effectLst/>
              </a:endParaRPr>
            </a:p>
            <a:p>
              <a:pPr eaLnBrk="1" fontAlgn="auto" latinLnBrk="0" hangingPunct="1"/>
              <a:r>
                <a:rPr lang="hr-HR" sz="1100" i="0" baseline="0">
                  <a:solidFill>
                    <a:schemeClr val="dk1"/>
                  </a:solidFill>
                  <a:effectLst/>
                  <a:latin typeface="Cambria Math" panose="02040503050406030204" pitchFamily="18" charset="0"/>
                  <a:ea typeface="+mn-ea"/>
                  <a:cs typeface="+mn-cs"/>
                </a:rPr>
                <a:t>𝑅</a:t>
              </a:r>
              <a:r>
                <a:rPr lang="hr-HR" sz="1100" i="0" baseline="0">
                  <a:solidFill>
                    <a:schemeClr val="dk1"/>
                  </a:solidFill>
                  <a:effectLst/>
                  <a:latin typeface="+mn-lt"/>
                  <a:ea typeface="+mn-ea"/>
                  <a:cs typeface="+mn-cs"/>
                </a:rPr>
                <a:t> otplatna kvota (otplata glavnice)</a:t>
              </a:r>
              <a:endParaRPr lang="hr-HR">
                <a:effectLst/>
              </a:endParaRPr>
            </a:p>
            <a:p>
              <a:pPr eaLnBrk="1" fontAlgn="auto" latinLnBrk="0" hangingPunct="1"/>
              <a:r>
                <a:rPr lang="hr-HR" sz="1100" b="0" i="0" baseline="0">
                  <a:solidFill>
                    <a:schemeClr val="dk1"/>
                  </a:solidFill>
                  <a:effectLst/>
                  <a:latin typeface="Cambria Math" panose="02040503050406030204" pitchFamily="18" charset="0"/>
                  <a:ea typeface="+mn-ea"/>
                  <a:cs typeface="+mn-cs"/>
                </a:rPr>
                <a:t>𝐶_𝑘</a:t>
              </a:r>
              <a:r>
                <a:rPr lang="hr-HR" sz="1100" i="0" baseline="0">
                  <a:solidFill>
                    <a:schemeClr val="dk1"/>
                  </a:solidFill>
                  <a:effectLst/>
                  <a:latin typeface="+mn-lt"/>
                  <a:ea typeface="+mn-ea"/>
                  <a:cs typeface="+mn-cs"/>
                </a:rPr>
                <a:t> ostatak duga u k-tom razdoblju otplate</a:t>
              </a:r>
              <a:endParaRPr lang="hr-HR">
                <a:effectLst/>
              </a:endParaRPr>
            </a:p>
            <a:p>
              <a:endParaRPr lang="hr-HR" sz="1100"/>
            </a:p>
            <a:p>
              <a:r>
                <a:rPr lang="hr-HR" sz="1100"/>
                <a:t>U 0-tom razdoblju</a:t>
              </a:r>
              <a:r>
                <a:rPr lang="hr-HR" sz="1100" baseline="0"/>
                <a:t>/retku uzimamo kredit/zajam i upisujemo iznos zajma.</a:t>
              </a:r>
            </a:p>
            <a:p>
              <a:r>
                <a:rPr lang="hr-HR" sz="1100" baseline="0"/>
                <a:t>Popunimo iznos otplatnih kvota </a:t>
              </a:r>
              <a:r>
                <a:rPr lang="hr-HR" sz="1100" b="0" i="0" baseline="0">
                  <a:latin typeface="Cambria Math" panose="02040503050406030204" pitchFamily="18" charset="0"/>
                </a:rPr>
                <a:t>𝑅</a:t>
              </a:r>
              <a:r>
                <a:rPr lang="hr-HR" sz="1100" baseline="0"/>
                <a:t> za sva razdoblja otplate.</a:t>
              </a:r>
            </a:p>
            <a:p>
              <a:r>
                <a:rPr lang="hr-HR" sz="1100" baseline="0"/>
                <a:t>Popunjavanje 1. retka:</a:t>
              </a:r>
            </a:p>
            <a:p>
              <a:r>
                <a:rPr lang="hr-HR" sz="1100" baseline="0"/>
                <a:t>Kamata </a:t>
              </a:r>
              <a:r>
                <a:rPr lang="hr-HR" sz="1100" b="0" i="0" baseline="0">
                  <a:solidFill>
                    <a:schemeClr val="dk1"/>
                  </a:solidFill>
                  <a:effectLst/>
                  <a:latin typeface="Cambria Math" panose="02040503050406030204" pitchFamily="18" charset="0"/>
                  <a:ea typeface="+mn-ea"/>
                  <a:cs typeface="+mn-cs"/>
                </a:rPr>
                <a:t>𝐼_1=〖𝑅𝑂𝑈𝑁𝐷(𝐶〗_0</a:t>
              </a:r>
              <a:r>
                <a:rPr lang="hr-HR" sz="1100" b="0" i="0" baseline="0">
                  <a:solidFill>
                    <a:schemeClr val="dk1"/>
                  </a:solidFill>
                  <a:effectLst/>
                  <a:latin typeface="Cambria Math" panose="02040503050406030204" pitchFamily="18" charset="0"/>
                  <a:ea typeface="Cambria Math" panose="02040503050406030204" pitchFamily="18" charset="0"/>
                  <a:cs typeface="+mn-cs"/>
                </a:rPr>
                <a:t>∙</a:t>
              </a:r>
              <a:r>
                <a:rPr lang="en-US" sz="1100" b="0" i="0" baseline="0">
                  <a:solidFill>
                    <a:schemeClr val="dk1"/>
                  </a:solidFill>
                  <a:effectLst/>
                  <a:latin typeface="Cambria Math" panose="02040503050406030204" pitchFamily="18" charset="0"/>
                  <a:ea typeface="Cambria Math" panose="02040503050406030204" pitchFamily="18" charset="0"/>
                  <a:cs typeface="+mn-cs"/>
                </a:rPr>
                <a:t>𝑝</a:t>
              </a:r>
              <a:r>
                <a:rPr lang="hr-HR" sz="1100" b="0" i="0" baseline="0">
                  <a:solidFill>
                    <a:schemeClr val="dk1"/>
                  </a:solidFill>
                  <a:effectLst/>
                  <a:latin typeface="Cambria Math" panose="02040503050406030204" pitchFamily="18" charset="0"/>
                  <a:ea typeface="Cambria Math" panose="02040503050406030204" pitchFamily="18" charset="0"/>
                  <a:cs typeface="+mn-cs"/>
                </a:rPr>
                <a:t>;2)</a:t>
              </a:r>
              <a:r>
                <a:rPr lang="hr-HR" sz="1100" i="0" baseline="0">
                  <a:solidFill>
                    <a:schemeClr val="dk1"/>
                  </a:solidFill>
                  <a:effectLst/>
                  <a:latin typeface="+mn-lt"/>
                  <a:ea typeface="+mn-ea"/>
                  <a:cs typeface="+mn-cs"/>
                </a:rPr>
                <a:t>. (jer je </a:t>
              </a:r>
              <a:r>
                <a:rPr lang="hr-HR" sz="1100" b="0" i="0" baseline="0">
                  <a:solidFill>
                    <a:schemeClr val="dk1"/>
                  </a:solidFill>
                  <a:effectLst/>
                  <a:latin typeface="Cambria Math" panose="02040503050406030204" pitchFamily="18" charset="0"/>
                  <a:ea typeface="+mn-ea"/>
                  <a:cs typeface="+mn-cs"/>
                </a:rPr>
                <a:t>𝑝</a:t>
              </a:r>
              <a:r>
                <a:rPr lang="hr-HR" sz="1100" i="0" baseline="0">
                  <a:solidFill>
                    <a:schemeClr val="dk1"/>
                  </a:solidFill>
                  <a:effectLst/>
                  <a:latin typeface="+mn-lt"/>
                  <a:ea typeface="+mn-ea"/>
                  <a:cs typeface="+mn-cs"/>
                </a:rPr>
                <a:t> zapisan kao </a:t>
              </a:r>
              <a:r>
                <a:rPr lang="hr-HR" sz="1100" b="0" i="0" baseline="0">
                  <a:solidFill>
                    <a:schemeClr val="dk1"/>
                  </a:solidFill>
                  <a:effectLst/>
                  <a:latin typeface="Cambria Math" panose="02040503050406030204" pitchFamily="18" charset="0"/>
                  <a:ea typeface="+mn-ea"/>
                  <a:cs typeface="+mn-cs"/>
                </a:rPr>
                <a:t>𝑝=5%</a:t>
              </a:r>
              <a:r>
                <a:rPr lang="hr-HR" sz="1100" i="0" baseline="0">
                  <a:solidFill>
                    <a:schemeClr val="dk1"/>
                  </a:solidFill>
                  <a:effectLst/>
                  <a:latin typeface="+mn-lt"/>
                  <a:ea typeface="+mn-ea"/>
                  <a:cs typeface="+mn-cs"/>
                </a:rPr>
                <a:t> što je jednako </a:t>
              </a:r>
              <a:r>
                <a:rPr lang="hr-HR" sz="1100" b="0" i="0" baseline="0">
                  <a:solidFill>
                    <a:schemeClr val="dk1"/>
                  </a:solidFill>
                  <a:effectLst/>
                  <a:latin typeface="Cambria Math" panose="02040503050406030204" pitchFamily="18" charset="0"/>
                  <a:ea typeface="+mn-ea"/>
                  <a:cs typeface="+mn-cs"/>
                </a:rPr>
                <a:t>𝑝=0,05</a:t>
              </a:r>
              <a:r>
                <a:rPr lang="hr-HR" sz="1100" i="0" baseline="0">
                  <a:solidFill>
                    <a:schemeClr val="dk1"/>
                  </a:solidFill>
                  <a:effectLst/>
                  <a:latin typeface="+mn-lt"/>
                  <a:ea typeface="+mn-ea"/>
                  <a:cs typeface="+mn-cs"/>
                </a:rPr>
                <a:t> pa nema potrebe dijeliti izraz sa 100 i koristiti formulu </a:t>
              </a:r>
              <a:r>
                <a:rPr lang="hr-HR" sz="1100" b="0" i="0" baseline="0">
                  <a:solidFill>
                    <a:schemeClr val="dk1"/>
                  </a:solidFill>
                  <a:effectLst/>
                  <a:latin typeface="Cambria Math" panose="02040503050406030204" pitchFamily="18" charset="0"/>
                  <a:ea typeface="+mn-ea"/>
                  <a:cs typeface="+mn-cs"/>
                </a:rPr>
                <a:t>𝐼_1=(𝐶_0∙𝑝</a:t>
              </a:r>
              <a:r>
                <a:rPr lang="hr-HR" sz="1100" b="0" i="0" baseline="0">
                  <a:solidFill>
                    <a:schemeClr val="dk1"/>
                  </a:solidFill>
                  <a:effectLst/>
                  <a:latin typeface="+mn-lt"/>
                  <a:ea typeface="+mn-ea"/>
                  <a:cs typeface="+mn-cs"/>
                </a:rPr>
                <a:t>"</a:t>
              </a:r>
              <a:r>
                <a:rPr lang="hr-HR" sz="1100" i="0" baseline="0">
                  <a:solidFill>
                    <a:schemeClr val="dk1"/>
                  </a:solidFill>
                  <a:effectLst/>
                  <a:latin typeface="+mn-lt"/>
                  <a:ea typeface="+mn-ea"/>
                  <a:cs typeface="+mn-cs"/>
                </a:rPr>
                <a:t> </a:t>
              </a:r>
              <a:r>
                <a:rPr lang="hr-HR" sz="1100" i="0" baseline="0">
                  <a:solidFill>
                    <a:schemeClr val="dk1"/>
                  </a:solidFill>
                  <a:effectLst/>
                  <a:latin typeface="Cambria Math" panose="02040503050406030204" pitchFamily="18" charset="0"/>
                  <a:ea typeface="+mn-ea"/>
                  <a:cs typeface="+mn-cs"/>
                </a:rPr>
                <a:t>" </a:t>
              </a:r>
              <a:r>
                <a:rPr lang="hr-HR" sz="1100" b="0" i="0" baseline="0">
                  <a:solidFill>
                    <a:schemeClr val="dk1"/>
                  </a:solidFill>
                  <a:effectLst/>
                  <a:latin typeface="Cambria Math" panose="02040503050406030204" pitchFamily="18" charset="0"/>
                  <a:ea typeface="+mn-ea"/>
                  <a:cs typeface="+mn-cs"/>
                </a:rPr>
                <a:t>)/100</a:t>
              </a:r>
              <a:r>
                <a:rPr lang="hr-HR" sz="1100"/>
                <a:t>).</a:t>
              </a:r>
            </a:p>
            <a:p>
              <a:r>
                <a:rPr lang="hr-HR" sz="1100"/>
                <a:t>Anuitet </a:t>
              </a:r>
              <a:r>
                <a:rPr lang="hr-HR" sz="1100" b="0" i="0" baseline="0">
                  <a:solidFill>
                    <a:schemeClr val="dk1"/>
                  </a:solidFill>
                  <a:effectLst/>
                  <a:latin typeface="Cambria Math" panose="02040503050406030204" pitchFamily="18" charset="0"/>
                  <a:ea typeface="+mn-ea"/>
                  <a:cs typeface="+mn-cs"/>
                </a:rPr>
                <a:t>𝑎_1=</a:t>
              </a:r>
              <a:r>
                <a:rPr lang="hr-HR" sz="1100" i="0" baseline="0">
                  <a:solidFill>
                    <a:schemeClr val="dk1"/>
                  </a:solidFill>
                  <a:effectLst/>
                  <a:latin typeface="Cambria Math" panose="02040503050406030204" pitchFamily="18" charset="0"/>
                  <a:ea typeface="+mn-ea"/>
                  <a:cs typeface="+mn-cs"/>
                </a:rPr>
                <a:t>𝑅</a:t>
              </a:r>
              <a:r>
                <a:rPr lang="hr-HR" sz="1100" b="0" i="0" baseline="0">
                  <a:solidFill>
                    <a:schemeClr val="dk1"/>
                  </a:solidFill>
                  <a:effectLst/>
                  <a:latin typeface="Cambria Math" panose="02040503050406030204" pitchFamily="18" charset="0"/>
                  <a:ea typeface="+mn-ea"/>
                  <a:cs typeface="+mn-cs"/>
                </a:rPr>
                <a:t>+𝐼_1</a:t>
              </a:r>
              <a:r>
                <a:rPr lang="hr-HR" sz="1100"/>
                <a:t>.</a:t>
              </a:r>
            </a:p>
            <a:p>
              <a:r>
                <a:rPr lang="hr-HR" sz="1100"/>
                <a:t>Ostatak duga nakon</a:t>
              </a:r>
              <a:r>
                <a:rPr lang="hr-HR" sz="1100" baseline="0"/>
                <a:t> prvog otplaćenog anuiteta iznosi </a:t>
              </a:r>
              <a:r>
                <a:rPr lang="hr-HR" sz="1100" b="0" i="0" baseline="0">
                  <a:solidFill>
                    <a:schemeClr val="dk1"/>
                  </a:solidFill>
                  <a:effectLst/>
                  <a:latin typeface="Cambria Math" panose="02040503050406030204" pitchFamily="18" charset="0"/>
                  <a:ea typeface="+mn-ea"/>
                  <a:cs typeface="+mn-cs"/>
                </a:rPr>
                <a:t>𝐶_1=𝐶_0−</a:t>
              </a:r>
              <a:r>
                <a:rPr lang="hr-HR" sz="1100" i="0" baseline="0">
                  <a:solidFill>
                    <a:schemeClr val="dk1"/>
                  </a:solidFill>
                  <a:effectLst/>
                  <a:latin typeface="Cambria Math" panose="02040503050406030204" pitchFamily="18" charset="0"/>
                  <a:ea typeface="+mn-ea"/>
                  <a:cs typeface="+mn-cs"/>
                </a:rPr>
                <a:t>𝑅</a:t>
              </a:r>
              <a:r>
                <a:rPr lang="hr-HR" sz="1100"/>
                <a:t>.</a:t>
              </a:r>
            </a:p>
            <a:p>
              <a:endParaRPr lang="hr-HR" sz="1100"/>
            </a:p>
            <a:p>
              <a:r>
                <a:rPr lang="hr-HR" sz="1100"/>
                <a:t>Nakon toga se</a:t>
              </a:r>
              <a:r>
                <a:rPr lang="hr-HR" sz="1100" baseline="0"/>
                <a:t> popunjavaju ostali retci: </a:t>
              </a:r>
            </a:p>
            <a:p>
              <a:pPr/>
              <a:r>
                <a:rPr lang="hr-HR" sz="1100" b="0" i="0" baseline="0">
                  <a:solidFill>
                    <a:schemeClr val="dk1"/>
                  </a:solidFill>
                  <a:effectLst/>
                  <a:latin typeface="Cambria Math" panose="02040503050406030204" pitchFamily="18" charset="0"/>
                  <a:ea typeface="+mn-ea"/>
                  <a:cs typeface="+mn-cs"/>
                </a:rPr>
                <a:t>𝐼_𝑘=</a:t>
              </a:r>
              <a:r>
                <a:rPr lang="en-US" sz="1100" b="0" i="0" baseline="0">
                  <a:solidFill>
                    <a:schemeClr val="dk1"/>
                  </a:solidFill>
                  <a:effectLst/>
                  <a:latin typeface="Cambria Math" panose="02040503050406030204" pitchFamily="18" charset="0"/>
                  <a:ea typeface="+mn-ea"/>
                  <a:cs typeface="+mn-cs"/>
                </a:rPr>
                <a:t>𝑅𝑂𝑈𝑁𝐷(</a:t>
              </a:r>
              <a:r>
                <a:rPr lang="hr-HR" sz="1100" b="0" i="0" baseline="0">
                  <a:solidFill>
                    <a:schemeClr val="dk1"/>
                  </a:solidFill>
                  <a:effectLst/>
                  <a:latin typeface="Cambria Math" panose="02040503050406030204" pitchFamily="18" charset="0"/>
                  <a:ea typeface="+mn-ea"/>
                  <a:cs typeface="+mn-cs"/>
                </a:rPr>
                <a:t>𝐶_(𝑘−1)∙𝑝</a:t>
              </a:r>
              <a:r>
                <a:rPr lang="en-US" sz="1100" b="0" i="0" baseline="0">
                  <a:solidFill>
                    <a:schemeClr val="dk1"/>
                  </a:solidFill>
                  <a:effectLst/>
                  <a:latin typeface="Cambria Math" panose="02040503050406030204" pitchFamily="18" charset="0"/>
                  <a:ea typeface="+mn-ea"/>
                  <a:cs typeface="+mn-cs"/>
                </a:rPr>
                <a:t>;2)</a:t>
              </a:r>
              <a:endParaRPr lang="hr-HR" sz="1100"/>
            </a:p>
            <a:p>
              <a:pPr/>
              <a:r>
                <a:rPr lang="hr-HR" sz="1100" b="0" i="0" baseline="0">
                  <a:solidFill>
                    <a:schemeClr val="dk1"/>
                  </a:solidFill>
                  <a:effectLst/>
                  <a:latin typeface="Cambria Math" panose="02040503050406030204" pitchFamily="18" charset="0"/>
                  <a:ea typeface="+mn-ea"/>
                  <a:cs typeface="+mn-cs"/>
                </a:rPr>
                <a:t>𝑎_𝑘=</a:t>
              </a:r>
              <a:r>
                <a:rPr lang="hr-HR" sz="1100" i="0" baseline="0">
                  <a:solidFill>
                    <a:schemeClr val="dk1"/>
                  </a:solidFill>
                  <a:effectLst/>
                  <a:latin typeface="Cambria Math" panose="02040503050406030204" pitchFamily="18" charset="0"/>
                  <a:ea typeface="+mn-ea"/>
                  <a:cs typeface="+mn-cs"/>
                </a:rPr>
                <a:t>𝑅</a:t>
              </a:r>
              <a:r>
                <a:rPr lang="hr-HR" sz="1100" b="0" i="0" baseline="0">
                  <a:solidFill>
                    <a:schemeClr val="dk1"/>
                  </a:solidFill>
                  <a:effectLst/>
                  <a:latin typeface="Cambria Math" panose="02040503050406030204" pitchFamily="18" charset="0"/>
                  <a:ea typeface="+mn-ea"/>
                  <a:cs typeface="+mn-cs"/>
                </a:rPr>
                <a:t>+𝐼_𝑘</a:t>
              </a:r>
              <a:endParaRPr lang="hr-HR" sz="1100"/>
            </a:p>
            <a:p>
              <a:r>
                <a:rPr lang="hr-HR" sz="1100" b="0" i="0" baseline="0">
                  <a:solidFill>
                    <a:schemeClr val="dk1"/>
                  </a:solidFill>
                  <a:effectLst/>
                  <a:latin typeface="Cambria Math" panose="02040503050406030204" pitchFamily="18" charset="0"/>
                  <a:ea typeface="+mn-ea"/>
                  <a:cs typeface="+mn-cs"/>
                </a:rPr>
                <a:t>𝐶_𝑘=𝐶_(𝑘−1)−</a:t>
              </a:r>
              <a:r>
                <a:rPr lang="hr-HR" sz="1100" i="0" baseline="0">
                  <a:solidFill>
                    <a:schemeClr val="dk1"/>
                  </a:solidFill>
                  <a:effectLst/>
                  <a:latin typeface="Cambria Math" panose="02040503050406030204" pitchFamily="18" charset="0"/>
                  <a:ea typeface="+mn-ea"/>
                  <a:cs typeface="+mn-cs"/>
                </a:rPr>
                <a:t>𝑅</a:t>
              </a:r>
              <a:r>
                <a:rPr lang="hr-HR" sz="1100"/>
                <a:t>.</a:t>
              </a:r>
            </a:p>
            <a:p>
              <a:r>
                <a:rPr lang="hr-HR" sz="1100"/>
                <a:t>U excelu je dovoljno popuniti prvi redak</a:t>
              </a:r>
              <a:r>
                <a:rPr lang="hr-HR" sz="1100" baseline="0"/>
                <a:t> i potom kopirati/razvući u ostale retke. Pazite da usidrite s F4 odgovarajuće podatke.</a:t>
              </a:r>
            </a:p>
            <a:p>
              <a:endParaRPr lang="hr-HR" sz="1100" baseline="0"/>
            </a:p>
            <a:p>
              <a:r>
                <a:rPr lang="hr-HR" sz="1100" baseline="0"/>
                <a:t>PROVJERA TABLICE:</a:t>
              </a:r>
            </a:p>
            <a:p>
              <a:r>
                <a:rPr lang="hr-HR" sz="1100" baseline="0"/>
                <a:t>zadnji ostatak duga </a:t>
              </a:r>
              <a:r>
                <a:rPr lang="hr-HR" sz="1100" b="0" i="0" baseline="0">
                  <a:solidFill>
                    <a:schemeClr val="dk1"/>
                  </a:solidFill>
                  <a:effectLst/>
                  <a:latin typeface="Cambria Math" panose="02040503050406030204" pitchFamily="18" charset="0"/>
                  <a:ea typeface="+mn-ea"/>
                  <a:cs typeface="+mn-cs"/>
                </a:rPr>
                <a:t>𝐶_𝑛</a:t>
              </a:r>
              <a:r>
                <a:rPr lang="hr-HR" sz="1100" baseline="0"/>
                <a:t> treba biti jednak nula</a:t>
              </a:r>
            </a:p>
            <a:p>
              <a:pPr/>
              <a:r>
                <a:rPr lang="hr-HR" sz="1100" i="0" baseline="0">
                  <a:latin typeface="Cambria Math" panose="02040503050406030204" pitchFamily="18" charset="0"/>
                </a:rPr>
                <a:t>∑▒𝑅</a:t>
              </a:r>
              <a:r>
                <a:rPr lang="hr-HR" sz="1100" b="0" i="0" baseline="0">
                  <a:latin typeface="Cambria Math" panose="02040503050406030204" pitchFamily="18" charset="0"/>
                </a:rPr>
                <a:t>=</a:t>
              </a:r>
              <a:r>
                <a:rPr lang="hr-HR" sz="1100" b="0" i="0" baseline="0">
                  <a:solidFill>
                    <a:schemeClr val="dk1"/>
                  </a:solidFill>
                  <a:effectLst/>
                  <a:latin typeface="Cambria Math" panose="02040503050406030204" pitchFamily="18" charset="0"/>
                  <a:ea typeface="+mn-ea"/>
                  <a:cs typeface="+mn-cs"/>
                </a:rPr>
                <a:t>𝐶_0</a:t>
              </a:r>
              <a:endParaRPr lang="hr-HR" sz="1100" baseline="0"/>
            </a:p>
            <a:p>
              <a:pP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▒𝑎_𝑘 =</a:t>
              </a: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▒𝐼_𝑘 +</a:t>
              </a:r>
              <a:r>
                <a:rPr lang="hr-HR" sz="1100" i="0" baseline="0">
                  <a:solidFill>
                    <a:schemeClr val="dk1"/>
                  </a:solidFill>
                  <a:effectLst/>
                  <a:latin typeface="Cambria Math" panose="02040503050406030204" pitchFamily="18" charset="0"/>
                  <a:ea typeface="+mn-ea"/>
                  <a:cs typeface="+mn-cs"/>
                </a:rPr>
                <a:t>∑▒𝑅</a:t>
              </a:r>
              <a:endParaRPr lang="hr-HR" sz="1100" baseline="0"/>
            </a:p>
            <a:p>
              <a:endParaRPr lang="hr-HR" sz="1100" baseline="0"/>
            </a:p>
            <a:p>
              <a:r>
                <a:rPr lang="hr-HR" sz="1100"/>
                <a:t>Napomena: </a:t>
              </a:r>
              <a:r>
                <a:rPr lang="hr-HR" sz="1100" i="1"/>
                <a:t>k</a:t>
              </a:r>
              <a:r>
                <a:rPr lang="hr-HR" sz="1100"/>
                <a:t> u ovom slučaju predstavlja</a:t>
              </a:r>
              <a:r>
                <a:rPr lang="hr-HR" sz="1100" baseline="0"/>
                <a:t> redni broj otplatnog razdoblja, a ne konformnu metodu!!!</a:t>
              </a:r>
              <a:endParaRPr lang="hr-HR" sz="1100"/>
            </a:p>
            <a:p>
              <a:endParaRPr lang="hr-HR" sz="1100"/>
            </a:p>
          </xdr:txBody>
        </xdr:sp>
      </mc:Fallback>
    </mc:AlternateContent>
    <xdr:clientData/>
  </xdr:twoCellAnchor>
  <xdr:twoCellAnchor>
    <xdr:from>
      <xdr:col>1</xdr:col>
      <xdr:colOff>0</xdr:colOff>
      <xdr:row>222</xdr:row>
      <xdr:rowOff>0</xdr:rowOff>
    </xdr:from>
    <xdr:to>
      <xdr:col>10</xdr:col>
      <xdr:colOff>250074</xdr:colOff>
      <xdr:row>268</xdr:row>
      <xdr:rowOff>1</xdr:rowOff>
    </xdr:to>
    <mc:AlternateContent xmlns:mc="http://schemas.openxmlformats.org/markup-compatibility/2006" xmlns:a14="http://schemas.microsoft.com/office/drawing/2010/main">
      <mc:Choice Requires="a14">
        <xdr:sp macro="" textlink="">
          <xdr:nvSpPr>
            <xdr:cNvPr id="9" name="TekstniOkvir 8">
              <a:extLst>
                <a:ext uri="{FF2B5EF4-FFF2-40B4-BE49-F238E27FC236}">
                  <a16:creationId xmlns:a16="http://schemas.microsoft.com/office/drawing/2014/main" id="{B93180BB-4763-46AE-9A92-FD8C99E9FCAB}"/>
                </a:ext>
              </a:extLst>
            </xdr:cNvPr>
            <xdr:cNvSpPr txBox="1"/>
          </xdr:nvSpPr>
          <xdr:spPr>
            <a:xfrm>
              <a:off x="609600" y="40881300"/>
              <a:ext cx="5736474" cy="8470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600" b="1"/>
                <a:t>Upute uz 4. ishod</a:t>
              </a:r>
            </a:p>
            <a:p>
              <a:endParaRPr lang="hr-HR" sz="1100" b="1"/>
            </a:p>
            <a:p>
              <a:r>
                <a:rPr lang="hr-HR" sz="1100" b="1"/>
                <a:t>Linearna,</a:t>
              </a:r>
              <a:r>
                <a:rPr lang="hr-HR" sz="1100" b="1" baseline="0"/>
                <a:t> kvadratna i eksponencijalna funkcija:</a:t>
              </a:r>
            </a:p>
            <a:p>
              <a:endParaRPr lang="hr-HR" sz="1100" b="1" baseline="0"/>
            </a:p>
            <a:p>
              <a:r>
                <a:rPr lang="hr-HR" sz="1100" b="1">
                  <a:solidFill>
                    <a:schemeClr val="dk1"/>
                  </a:solidFill>
                  <a:effectLst/>
                  <a:latin typeface="+mn-lt"/>
                  <a:ea typeface="+mn-ea"/>
                  <a:cs typeface="+mn-cs"/>
                </a:rPr>
                <a:t>Grafički prikaz podataka:</a:t>
              </a:r>
              <a:endParaRPr lang="hr-HR" b="1">
                <a:effectLst/>
              </a:endParaRPr>
            </a:p>
            <a:p>
              <a:r>
                <a:rPr lang="hr-HR" sz="1100">
                  <a:solidFill>
                    <a:schemeClr val="dk1"/>
                  </a:solidFill>
                  <a:effectLst/>
                  <a:latin typeface="+mn-lt"/>
                  <a:ea typeface="+mn-ea"/>
                  <a:cs typeface="+mn-cs"/>
                </a:rPr>
                <a:t>Označimo podatke iz tablice. U</a:t>
              </a:r>
              <a:r>
                <a:rPr lang="hr-HR" sz="1100" baseline="0">
                  <a:solidFill>
                    <a:schemeClr val="dk1"/>
                  </a:solidFill>
                  <a:effectLst/>
                  <a:latin typeface="+mn-lt"/>
                  <a:ea typeface="+mn-ea"/>
                  <a:cs typeface="+mn-cs"/>
                </a:rPr>
                <a:t> izborniku odaberemo </a:t>
              </a:r>
              <a:r>
                <a:rPr lang="hr-HR" sz="1100" i="1" baseline="0">
                  <a:solidFill>
                    <a:schemeClr val="dk1"/>
                  </a:solidFill>
                  <a:effectLst/>
                  <a:latin typeface="+mn-lt"/>
                  <a:ea typeface="+mn-ea"/>
                  <a:cs typeface="+mn-cs"/>
                </a:rPr>
                <a:t>Umetanje</a:t>
              </a:r>
              <a:r>
                <a:rPr lang="hr-HR" sz="1100" baseline="0">
                  <a:solidFill>
                    <a:schemeClr val="dk1"/>
                  </a:solidFill>
                  <a:effectLst/>
                  <a:latin typeface="+mn-lt"/>
                  <a:ea typeface="+mn-ea"/>
                  <a:cs typeface="+mn-cs"/>
                </a:rPr>
                <a:t>, potom jedan od ponuđenih grafikona: najbolje </a:t>
              </a:r>
              <a:r>
                <a:rPr lang="hr-HR" sz="1100" i="1" baseline="0">
                  <a:solidFill>
                    <a:schemeClr val="dk1"/>
                  </a:solidFill>
                  <a:effectLst/>
                  <a:latin typeface="+mn-lt"/>
                  <a:ea typeface="+mn-ea"/>
                  <a:cs typeface="+mn-cs"/>
                </a:rPr>
                <a:t>raspršeni</a:t>
              </a:r>
              <a:r>
                <a:rPr lang="hr-HR" sz="1100" baseline="0">
                  <a:solidFill>
                    <a:schemeClr val="dk1"/>
                  </a:solidFill>
                  <a:effectLst/>
                  <a:latin typeface="+mn-lt"/>
                  <a:ea typeface="+mn-ea"/>
                  <a:cs typeface="+mn-cs"/>
                </a:rPr>
                <a:t>.</a:t>
              </a:r>
              <a:endParaRPr lang="hr-HR">
                <a:effectLst/>
              </a:endParaRPr>
            </a:p>
            <a:p>
              <a:r>
                <a:rPr lang="hr-HR" sz="1100" b="1" baseline="0">
                  <a:solidFill>
                    <a:schemeClr val="dk1"/>
                  </a:solidFill>
                  <a:effectLst/>
                  <a:latin typeface="+mn-lt"/>
                  <a:ea typeface="+mn-ea"/>
                  <a:cs typeface="+mn-cs"/>
                </a:rPr>
                <a:t>Uređivanje grafa:</a:t>
              </a:r>
              <a:endParaRPr lang="hr-HR" b="1">
                <a:effectLst/>
              </a:endParaRPr>
            </a:p>
            <a:p>
              <a:r>
                <a:rPr lang="hr-HR" sz="1100" baseline="0">
                  <a:solidFill>
                    <a:schemeClr val="dk1"/>
                  </a:solidFill>
                  <a:effectLst/>
                  <a:latin typeface="+mn-lt"/>
                  <a:ea typeface="+mn-ea"/>
                  <a:cs typeface="+mn-cs"/>
                </a:rPr>
                <a:t>Kliknemo na graf. U izborniku odaberemo </a:t>
              </a:r>
              <a:r>
                <a:rPr lang="hr-HR" sz="1100" i="1" baseline="0">
                  <a:solidFill>
                    <a:schemeClr val="dk1"/>
                  </a:solidFill>
                  <a:effectLst/>
                  <a:latin typeface="+mn-lt"/>
                  <a:ea typeface="+mn-ea"/>
                  <a:cs typeface="+mn-cs"/>
                </a:rPr>
                <a:t>Dizajn</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Brzi raspored</a:t>
              </a:r>
              <a:r>
                <a:rPr lang="hr-HR" sz="1100" baseline="0">
                  <a:solidFill>
                    <a:schemeClr val="dk1"/>
                  </a:solidFill>
                  <a:effectLst/>
                  <a:latin typeface="+mn-lt"/>
                  <a:ea typeface="+mn-ea"/>
                  <a:cs typeface="+mn-cs"/>
                </a:rPr>
                <a:t> i odaberemo onaj koji ima naslov i oznake za os x i os y. Upišemo ih.</a:t>
              </a:r>
              <a:endParaRPr lang="hr-HR">
                <a:effectLst/>
              </a:endParaRPr>
            </a:p>
            <a:p>
              <a:r>
                <a:rPr lang="hr-HR" sz="1100" baseline="0">
                  <a:solidFill>
                    <a:schemeClr val="dk1"/>
                  </a:solidFill>
                  <a:effectLst/>
                  <a:latin typeface="+mn-lt"/>
                  <a:ea typeface="+mn-ea"/>
                  <a:cs typeface="+mn-cs"/>
                </a:rPr>
                <a:t>Dobivanje jednadžbe: (postoji više različitih mogućnosti)</a:t>
              </a:r>
              <a:endParaRPr lang="hr-HR">
                <a:effectLst/>
              </a:endParaRPr>
            </a:p>
            <a:p>
              <a:r>
                <a:rPr lang="hr-HR" sz="1100" baseline="0">
                  <a:solidFill>
                    <a:schemeClr val="dk1"/>
                  </a:solidFill>
                  <a:effectLst/>
                  <a:latin typeface="+mn-lt"/>
                  <a:ea typeface="+mn-ea"/>
                  <a:cs typeface="+mn-cs"/>
                </a:rPr>
                <a:t>Kliknemo na graf. U izborniku odaberemo </a:t>
              </a:r>
              <a:r>
                <a:rPr lang="hr-HR" sz="1100" i="1" baseline="0">
                  <a:solidFill>
                    <a:schemeClr val="dk1"/>
                  </a:solidFill>
                  <a:effectLst/>
                  <a:latin typeface="+mn-lt"/>
                  <a:ea typeface="+mn-ea"/>
                  <a:cs typeface="+mn-cs"/>
                </a:rPr>
                <a:t>Dizajn</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Dodaj element grafikona,</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Crta trenda</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Više mogućnosti crte trenda</a:t>
              </a:r>
              <a:r>
                <a:rPr lang="hr-HR" sz="1100" baseline="0">
                  <a:solidFill>
                    <a:schemeClr val="dk1"/>
                  </a:solidFill>
                  <a:effectLst/>
                  <a:latin typeface="+mn-lt"/>
                  <a:ea typeface="+mn-ea"/>
                  <a:cs typeface="+mn-cs"/>
                </a:rPr>
                <a:t>, odaberemo odgovarajući model (linearni, eksponencijalni ili polinomski 2. stupnja).</a:t>
              </a:r>
              <a:endParaRPr lang="hr-HR">
                <a:effectLst/>
              </a:endParaRPr>
            </a:p>
            <a:p>
              <a:r>
                <a:rPr lang="hr-HR" sz="1100" baseline="0">
                  <a:solidFill>
                    <a:schemeClr val="dk1"/>
                  </a:solidFill>
                  <a:effectLst/>
                  <a:latin typeface="+mn-lt"/>
                  <a:ea typeface="+mn-ea"/>
                  <a:cs typeface="+mn-cs"/>
                </a:rPr>
                <a:t>Na dnu odaberemo: </a:t>
              </a:r>
              <a:r>
                <a:rPr lang="hr-HR" sz="1100" i="1" baseline="0">
                  <a:solidFill>
                    <a:schemeClr val="dk1"/>
                  </a:solidFill>
                  <a:effectLst/>
                  <a:latin typeface="+mn-lt"/>
                  <a:ea typeface="+mn-ea"/>
                  <a:cs typeface="+mn-cs"/>
                </a:rPr>
                <a:t>Prikaži jednadžbu na grafikonu</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Prikaži R-kvadratnu vrijednost na grafikonu</a:t>
              </a:r>
              <a:r>
                <a:rPr lang="hr-HR" sz="1100" baseline="0">
                  <a:solidFill>
                    <a:schemeClr val="dk1"/>
                  </a:solidFill>
                  <a:effectLst/>
                  <a:latin typeface="+mn-lt"/>
                  <a:ea typeface="+mn-ea"/>
                  <a:cs typeface="+mn-cs"/>
                </a:rPr>
                <a:t>.</a:t>
              </a:r>
              <a:endParaRPr lang="hr-HR">
                <a:effectLst/>
              </a:endParaRPr>
            </a:p>
            <a:p>
              <a:endParaRPr lang="hr-HR" sz="1100"/>
            </a:p>
            <a:p>
              <a:r>
                <a:rPr lang="hr-HR" sz="1100" b="1"/>
                <a:t>Linearna</a:t>
              </a:r>
              <a:r>
                <a:rPr lang="hr-HR" sz="1100" b="1" baseline="0"/>
                <a:t> funkcija</a:t>
              </a:r>
              <a:endParaRPr lang="hr-HR" sz="1100" b="1"/>
            </a:p>
            <a:p>
              <a:pPr/>
              <a14:m>
                <m:oMathPara xmlns:m="http://schemas.openxmlformats.org/officeDocument/2006/math">
                  <m:oMathParaPr>
                    <m:jc m:val="left"/>
                  </m:oMathParaPr>
                  <m:oMath xmlns:m="http://schemas.openxmlformats.org/officeDocument/2006/math">
                    <m:r>
                      <a:rPr lang="hr-HR" sz="1100" i="1">
                        <a:latin typeface="Cambria Math" panose="02040503050406030204" pitchFamily="18" charset="0"/>
                      </a:rPr>
                      <m:t>𝑓</m:t>
                    </m:r>
                    <m:r>
                      <a:rPr lang="hr-HR" sz="1100" i="1">
                        <a:latin typeface="Cambria Math" panose="02040503050406030204" pitchFamily="18" charset="0"/>
                      </a:rPr>
                      <m:t>(</m:t>
                    </m:r>
                    <m:r>
                      <a:rPr lang="hr-HR" sz="1100" i="1">
                        <a:latin typeface="Cambria Math" panose="02040503050406030204" pitchFamily="18" charset="0"/>
                      </a:rPr>
                      <m:t>𝑥</m:t>
                    </m:r>
                    <m:r>
                      <a:rPr lang="hr-HR" sz="1100" i="1">
                        <a:latin typeface="Cambria Math" panose="02040503050406030204" pitchFamily="18" charset="0"/>
                      </a:rPr>
                      <m:t>)=</m:t>
                    </m:r>
                    <m:r>
                      <a:rPr lang="en-US" sz="1100" b="0" i="1">
                        <a:latin typeface="Cambria Math" panose="02040503050406030204" pitchFamily="18" charset="0"/>
                      </a:rPr>
                      <m:t>𝑎</m:t>
                    </m:r>
                    <m:r>
                      <a:rPr lang="hr-HR" sz="1100" i="1">
                        <a:latin typeface="Cambria Math" panose="02040503050406030204" pitchFamily="18" charset="0"/>
                      </a:rPr>
                      <m:t>𝑥</m:t>
                    </m:r>
                    <m:r>
                      <a:rPr lang="hr-HR" sz="1100" i="1">
                        <a:latin typeface="Cambria Math" panose="02040503050406030204" pitchFamily="18" charset="0"/>
                      </a:rPr>
                      <m:t>+</m:t>
                    </m:r>
                    <m:r>
                      <a:rPr lang="en-US" sz="1100" b="0" i="1">
                        <a:latin typeface="Cambria Math" panose="02040503050406030204" pitchFamily="18" charset="0"/>
                      </a:rPr>
                      <m:t>𝑏</m:t>
                    </m:r>
                  </m:oMath>
                </m:oMathPara>
              </a14:m>
              <a:endParaRPr lang="hr-HR" sz="1100"/>
            </a:p>
            <a:p>
              <a:r>
                <a:rPr lang="en-US" sz="1100"/>
                <a:t>a</a:t>
              </a:r>
              <a:r>
                <a:rPr lang="hr-HR" sz="1100"/>
                <a:t> = koeficijent smjera (prosječno povećanje/smanjenje</a:t>
              </a:r>
              <a:r>
                <a:rPr lang="hr-HR" sz="1100" baseline="0"/>
                <a:t> varijable y za promjenu varijable x za jednu jedinicu)</a:t>
              </a:r>
              <a:endParaRPr lang="hr-HR" sz="1100"/>
            </a:p>
            <a:p>
              <a:r>
                <a:rPr lang="hr-HR" sz="1100" baseline="0"/>
                <a:t>interpretacija parametra </a:t>
              </a:r>
              <a:r>
                <a:rPr lang="en-US" sz="1100" i="1" baseline="0"/>
                <a:t>a</a:t>
              </a:r>
              <a:r>
                <a:rPr lang="hr-HR" sz="1100" baseline="0"/>
                <a:t>: s povećanjem x za 1 jedinicu </a:t>
              </a:r>
              <a:r>
                <a:rPr lang="hr-HR" sz="1100" i="1" baseline="0"/>
                <a:t>y </a:t>
              </a:r>
              <a:r>
                <a:rPr lang="hr-HR" sz="1100" i="0" baseline="0"/>
                <a:t>se u</a:t>
              </a:r>
              <a:r>
                <a:rPr lang="hr-HR" sz="1100" baseline="0"/>
                <a:t> prosjeku povećava/smanjuje za </a:t>
              </a:r>
              <a:r>
                <a:rPr lang="en-US" sz="1100" i="1" baseline="0"/>
                <a:t>a</a:t>
              </a:r>
              <a:r>
                <a:rPr lang="hr-HR" sz="1100" i="1" baseline="0"/>
                <a:t> </a:t>
              </a:r>
              <a:r>
                <a:rPr lang="hr-HR" sz="1100" baseline="0"/>
                <a:t> jedinica.</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b</a:t>
              </a:r>
              <a:r>
                <a:rPr lang="hr-HR" sz="1100">
                  <a:solidFill>
                    <a:schemeClr val="dk1"/>
                  </a:solidFill>
                  <a:effectLst/>
                  <a:latin typeface="+mn-lt"/>
                  <a:ea typeface="+mn-ea"/>
                  <a:cs typeface="+mn-cs"/>
                </a:rPr>
                <a:t> =odsječak</a:t>
              </a:r>
              <a:r>
                <a:rPr lang="hr-HR" sz="1100" baseline="0">
                  <a:solidFill>
                    <a:schemeClr val="dk1"/>
                  </a:solidFill>
                  <a:effectLst/>
                  <a:latin typeface="+mn-lt"/>
                  <a:ea typeface="+mn-ea"/>
                  <a:cs typeface="+mn-cs"/>
                </a:rPr>
                <a:t> na osi y</a:t>
              </a:r>
              <a:endParaRPr lang="hr-HR">
                <a:effectLst/>
              </a:endParaRPr>
            </a:p>
            <a:p>
              <a:r>
                <a:rPr lang="hr-HR" sz="1100" b="0" baseline="0"/>
                <a:t>interpretacija parametra </a:t>
              </a:r>
              <a:r>
                <a:rPr lang="en-US" sz="1100" b="0" i="1" baseline="0"/>
                <a:t>b</a:t>
              </a:r>
              <a:r>
                <a:rPr lang="hr-HR" sz="1100" b="0" i="0" baseline="0"/>
                <a:t>: za vrijednost varijable x nula, vrijednost y </a:t>
              </a:r>
              <a:r>
                <a:rPr lang="hr-HR" sz="1100" b="0" i="0" baseline="0">
                  <a:solidFill>
                    <a:schemeClr val="dk1"/>
                  </a:solidFill>
                  <a:effectLst/>
                  <a:latin typeface="+mn-lt"/>
                  <a:ea typeface="+mn-ea"/>
                  <a:cs typeface="+mn-cs"/>
                </a:rPr>
                <a:t>u prosjeku  i</a:t>
              </a:r>
              <a:r>
                <a:rPr lang="hr-HR" sz="1100" b="0" i="0" baseline="0"/>
                <a:t>znosi </a:t>
              </a:r>
              <a:r>
                <a:rPr lang="en-US" sz="1100" b="0" i="1" baseline="0"/>
                <a:t>b</a:t>
              </a:r>
              <a:r>
                <a:rPr lang="hr-HR" sz="1100" b="0" i="0" baseline="0"/>
                <a:t> jedinica.</a:t>
              </a:r>
              <a:endParaRPr lang="hr-HR" sz="1100" b="0" baseline="0"/>
            </a:p>
            <a:p>
              <a:endParaRPr lang="hr-HR" sz="1100" b="1" baseline="0"/>
            </a:p>
            <a:p>
              <a:r>
                <a:rPr lang="hr-HR" sz="1100" b="1" baseline="0"/>
                <a:t>Kvadratna funkcija</a:t>
              </a: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hr-HR" sz="1100" i="1">
                        <a:solidFill>
                          <a:schemeClr val="dk1"/>
                        </a:solidFill>
                        <a:effectLst/>
                        <a:latin typeface="Cambria Math" panose="02040503050406030204" pitchFamily="18" charset="0"/>
                        <a:ea typeface="+mn-ea"/>
                        <a:cs typeface="+mn-cs"/>
                      </a:rPr>
                      <m:t>𝑓</m:t>
                    </m:r>
                    <m:d>
                      <m:dPr>
                        <m:ctrlPr>
                          <a:rPr lang="hr-HR" sz="1100" i="1">
                            <a:solidFill>
                              <a:schemeClr val="dk1"/>
                            </a:solidFill>
                            <a:effectLst/>
                            <a:latin typeface="Cambria Math" panose="02040503050406030204" pitchFamily="18" charset="0"/>
                            <a:ea typeface="+mn-ea"/>
                            <a:cs typeface="+mn-cs"/>
                          </a:rPr>
                        </m:ctrlPr>
                      </m:dPr>
                      <m:e>
                        <m:r>
                          <a:rPr lang="hr-HR" sz="1100" i="1">
                            <a:solidFill>
                              <a:schemeClr val="dk1"/>
                            </a:solidFill>
                            <a:effectLst/>
                            <a:latin typeface="Cambria Math" panose="02040503050406030204" pitchFamily="18" charset="0"/>
                            <a:ea typeface="+mn-ea"/>
                            <a:cs typeface="+mn-cs"/>
                          </a:rPr>
                          <m:t>𝑥</m:t>
                        </m:r>
                      </m:e>
                    </m:d>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𝑎</m:t>
                    </m:r>
                    <m:sSup>
                      <m:sSupPr>
                        <m:ctrlPr>
                          <a:rPr lang="hr-HR" sz="1100" i="1">
                            <a:solidFill>
                              <a:schemeClr val="dk1"/>
                            </a:solidFill>
                            <a:effectLst/>
                            <a:latin typeface="Cambria Math" panose="02040503050406030204" pitchFamily="18" charset="0"/>
                            <a:ea typeface="+mn-ea"/>
                            <a:cs typeface="+mn-cs"/>
                          </a:rPr>
                        </m:ctrlPr>
                      </m:sSupPr>
                      <m:e>
                        <m:r>
                          <a:rPr lang="hr-HR" sz="1100" i="1">
                            <a:solidFill>
                              <a:schemeClr val="dk1"/>
                            </a:solidFill>
                            <a:effectLst/>
                            <a:latin typeface="Cambria Math" panose="02040503050406030204" pitchFamily="18" charset="0"/>
                            <a:ea typeface="+mn-ea"/>
                            <a:cs typeface="+mn-cs"/>
                          </a:rPr>
                          <m:t>𝑥</m:t>
                        </m:r>
                      </m:e>
                      <m:sup>
                        <m:r>
                          <a:rPr lang="hr-HR" sz="1100" i="1">
                            <a:solidFill>
                              <a:schemeClr val="dk1"/>
                            </a:solidFill>
                            <a:effectLst/>
                            <a:latin typeface="Cambria Math" panose="02040503050406030204" pitchFamily="18" charset="0"/>
                            <a:ea typeface="+mn-ea"/>
                            <a:cs typeface="+mn-cs"/>
                          </a:rPr>
                          <m:t>2</m:t>
                        </m:r>
                      </m:sup>
                    </m:sSup>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𝑏𝑥</m:t>
                    </m:r>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𝑐</m:t>
                    </m:r>
                  </m:oMath>
                </m:oMathPara>
              </a14:m>
              <a:endParaRPr lang="hr-HR">
                <a:effectLst/>
              </a:endParaRPr>
            </a:p>
            <a:p>
              <a:r>
                <a:rPr lang="hr-HR" sz="1100" baseline="0"/>
                <a:t>a= koeficijent smjera</a:t>
              </a:r>
            </a:p>
            <a:p>
              <a14:m>
                <m:oMath xmlns:m="http://schemas.openxmlformats.org/officeDocument/2006/math">
                  <m:r>
                    <a:rPr lang="hr-HR" sz="1100" i="1" baseline="0">
                      <a:latin typeface="Cambria Math" panose="02040503050406030204" pitchFamily="18" charset="0"/>
                    </a:rPr>
                    <m:t>𝑎</m:t>
                  </m:r>
                  <m:r>
                    <a:rPr lang="hr-HR" sz="1100" i="1" baseline="0">
                      <a:latin typeface="Cambria Math" panose="02040503050406030204" pitchFamily="18" charset="0"/>
                    </a:rPr>
                    <m:t>&gt;0</m:t>
                  </m:r>
                </m:oMath>
              </a14:m>
              <a:r>
                <a:rPr lang="hr-HR" sz="1100" baseline="0"/>
                <a:t> nasmiješena</a:t>
              </a:r>
            </a:p>
            <a:p>
              <a14:m>
                <m:oMath xmlns:m="http://schemas.openxmlformats.org/officeDocument/2006/math">
                  <m:r>
                    <a:rPr lang="hr-HR" sz="1100" i="1" baseline="0">
                      <a:latin typeface="Cambria Math" panose="02040503050406030204" pitchFamily="18" charset="0"/>
                    </a:rPr>
                    <m:t>𝑎</m:t>
                  </m:r>
                  <m:r>
                    <a:rPr lang="hr-HR" sz="1100" i="1" baseline="0">
                      <a:latin typeface="Cambria Math" panose="02040503050406030204" pitchFamily="18" charset="0"/>
                    </a:rPr>
                    <m:t>&lt;0</m:t>
                  </m:r>
                </m:oMath>
              </a14:m>
              <a:r>
                <a:rPr lang="hr-HR" sz="1100" baseline="0"/>
                <a:t> namrgođena</a:t>
              </a:r>
            </a:p>
            <a:p>
              <a:pPr/>
              <a14:m>
                <m:oMathPara xmlns:m="http://schemas.openxmlformats.org/officeDocument/2006/math">
                  <m:oMathParaPr>
                    <m:jc m:val="left"/>
                  </m:oMathParaPr>
                  <m:oMath xmlns:m="http://schemas.openxmlformats.org/officeDocument/2006/math">
                    <m:r>
                      <a:rPr lang="hr-HR" sz="1100" i="1" baseline="0">
                        <a:latin typeface="Cambria Math" panose="02040503050406030204" pitchFamily="18" charset="0"/>
                      </a:rPr>
                      <m:t>𝐷</m:t>
                    </m:r>
                    <m:r>
                      <a:rPr lang="hr-HR" sz="1100" i="1" baseline="0">
                        <a:latin typeface="Cambria Math" panose="02040503050406030204" pitchFamily="18" charset="0"/>
                      </a:rPr>
                      <m:t>=</m:t>
                    </m:r>
                    <m:sSup>
                      <m:sSupPr>
                        <m:ctrlPr>
                          <a:rPr lang="hr-HR" sz="1100" i="1" baseline="0">
                            <a:latin typeface="Cambria Math" panose="02040503050406030204" pitchFamily="18" charset="0"/>
                          </a:rPr>
                        </m:ctrlPr>
                      </m:sSupPr>
                      <m:e>
                        <m:r>
                          <a:rPr lang="hr-HR" sz="1100" b="0" i="1" baseline="0">
                            <a:latin typeface="Cambria Math" panose="02040503050406030204" pitchFamily="18" charset="0"/>
                          </a:rPr>
                          <m:t>𝑏</m:t>
                        </m:r>
                      </m:e>
                      <m:sup>
                        <m:r>
                          <a:rPr lang="hr-HR" sz="1100" b="0" i="1" baseline="0">
                            <a:latin typeface="Cambria Math" panose="02040503050406030204" pitchFamily="18" charset="0"/>
                          </a:rPr>
                          <m:t>2</m:t>
                        </m:r>
                      </m:sup>
                    </m:sSup>
                    <m:r>
                      <a:rPr lang="hr-HR" sz="1100" i="1" baseline="0">
                        <a:latin typeface="Cambria Math" panose="02040503050406030204" pitchFamily="18" charset="0"/>
                      </a:rPr>
                      <m:t>−4</m:t>
                    </m:r>
                    <m:r>
                      <a:rPr lang="hr-HR" sz="1100" i="1" baseline="0">
                        <a:latin typeface="Cambria Math" panose="02040503050406030204" pitchFamily="18" charset="0"/>
                      </a:rPr>
                      <m:t>𝑎𝑐</m:t>
                    </m:r>
                  </m:oMath>
                </m:oMathPara>
              </a14:m>
              <a:endParaRPr lang="hr-HR" sz="1100" baseline="0"/>
            </a:p>
            <a:p>
              <a:r>
                <a:rPr lang="hr-HR" sz="1100" baseline="0"/>
                <a:t>Nultočke </a:t>
              </a:r>
              <a14:m>
                <m:oMath xmlns:m="http://schemas.openxmlformats.org/officeDocument/2006/math">
                  <m:sSub>
                    <m:sSubPr>
                      <m:ctrlPr>
                        <a:rPr lang="hr-HR" sz="110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𝑥</m:t>
                      </m:r>
                    </m:e>
                    <m:sub>
                      <m:r>
                        <a:rPr lang="hr-HR" sz="1100" b="0" i="1">
                          <a:solidFill>
                            <a:schemeClr val="dk1"/>
                          </a:solidFill>
                          <a:effectLst/>
                          <a:latin typeface="Cambria Math" panose="02040503050406030204" pitchFamily="18" charset="0"/>
                          <a:ea typeface="+mn-ea"/>
                          <a:cs typeface="+mn-cs"/>
                        </a:rPr>
                        <m:t>1,2</m:t>
                      </m:r>
                    </m:sub>
                  </m:sSub>
                  <m:r>
                    <a:rPr lang="hr-HR" sz="1100" b="0" i="1">
                      <a:solidFill>
                        <a:schemeClr val="dk1"/>
                      </a:solidFill>
                      <a:effectLst/>
                      <a:latin typeface="Cambria Math" panose="02040503050406030204" pitchFamily="18" charset="0"/>
                      <a:ea typeface="+mn-ea"/>
                      <a:cs typeface="+mn-cs"/>
                    </a:rPr>
                    <m:t>=</m:t>
                  </m:r>
                  <m:f>
                    <m:fPr>
                      <m:ctrlPr>
                        <a:rPr lang="hr-HR" sz="1100" b="0" i="1">
                          <a:solidFill>
                            <a:schemeClr val="dk1"/>
                          </a:solidFill>
                          <a:effectLst/>
                          <a:latin typeface="Cambria Math" panose="02040503050406030204" pitchFamily="18" charset="0"/>
                          <a:ea typeface="+mn-ea"/>
                          <a:cs typeface="+mn-cs"/>
                        </a:rPr>
                      </m:ctrlPr>
                    </m:fPr>
                    <m:num>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𝑏</m:t>
                      </m:r>
                      <m:r>
                        <a:rPr lang="hr-HR" sz="1100" b="0" i="1">
                          <a:solidFill>
                            <a:schemeClr val="dk1"/>
                          </a:solidFill>
                          <a:effectLst/>
                          <a:latin typeface="Cambria Math" panose="02040503050406030204" pitchFamily="18" charset="0"/>
                          <a:ea typeface="+mn-ea"/>
                          <a:cs typeface="+mn-cs"/>
                        </a:rPr>
                        <m:t>±</m:t>
                      </m:r>
                      <m:rad>
                        <m:radPr>
                          <m:degHide m:val="on"/>
                          <m:ctrlPr>
                            <a:rPr lang="hr-HR" sz="1100" b="0" i="1">
                              <a:solidFill>
                                <a:schemeClr val="dk1"/>
                              </a:solidFill>
                              <a:effectLst/>
                              <a:latin typeface="Cambria Math" panose="02040503050406030204" pitchFamily="18" charset="0"/>
                              <a:ea typeface="+mn-ea"/>
                              <a:cs typeface="+mn-cs"/>
                            </a:rPr>
                          </m:ctrlPr>
                        </m:radPr>
                        <m:deg/>
                        <m:e>
                          <m:sSup>
                            <m:sSupPr>
                              <m:ctrlPr>
                                <a:rPr lang="hr-HR" sz="1100" b="0" i="1">
                                  <a:solidFill>
                                    <a:schemeClr val="dk1"/>
                                  </a:solidFill>
                                  <a:effectLst/>
                                  <a:latin typeface="Cambria Math" panose="02040503050406030204" pitchFamily="18" charset="0"/>
                                  <a:ea typeface="+mn-ea"/>
                                  <a:cs typeface="+mn-cs"/>
                                </a:rPr>
                              </m:ctrlPr>
                            </m:sSupPr>
                            <m:e>
                              <m:r>
                                <a:rPr lang="hr-HR" sz="1100" b="0" i="1">
                                  <a:solidFill>
                                    <a:schemeClr val="dk1"/>
                                  </a:solidFill>
                                  <a:effectLst/>
                                  <a:latin typeface="Cambria Math" panose="02040503050406030204" pitchFamily="18" charset="0"/>
                                  <a:ea typeface="+mn-ea"/>
                                  <a:cs typeface="+mn-cs"/>
                                </a:rPr>
                                <m:t>𝑏</m:t>
                              </m:r>
                            </m:e>
                            <m:sup>
                              <m:r>
                                <a:rPr lang="hr-HR" sz="1100" b="0" i="1">
                                  <a:solidFill>
                                    <a:schemeClr val="dk1"/>
                                  </a:solidFill>
                                  <a:effectLst/>
                                  <a:latin typeface="Cambria Math" panose="02040503050406030204" pitchFamily="18" charset="0"/>
                                  <a:ea typeface="+mn-ea"/>
                                  <a:cs typeface="+mn-cs"/>
                                </a:rPr>
                                <m:t>2</m:t>
                              </m:r>
                            </m:sup>
                          </m:sSup>
                          <m:r>
                            <a:rPr lang="hr-HR" sz="1100" b="0" i="1">
                              <a:solidFill>
                                <a:schemeClr val="dk1"/>
                              </a:solidFill>
                              <a:effectLst/>
                              <a:latin typeface="Cambria Math" panose="02040503050406030204" pitchFamily="18" charset="0"/>
                              <a:ea typeface="+mn-ea"/>
                              <a:cs typeface="+mn-cs"/>
                            </a:rPr>
                            <m:t>−4</m:t>
                          </m:r>
                          <m:r>
                            <a:rPr lang="hr-HR" sz="1100" b="0" i="1">
                              <a:solidFill>
                                <a:schemeClr val="dk1"/>
                              </a:solidFill>
                              <a:effectLst/>
                              <a:latin typeface="Cambria Math" panose="02040503050406030204" pitchFamily="18" charset="0"/>
                              <a:ea typeface="+mn-ea"/>
                              <a:cs typeface="+mn-cs"/>
                            </a:rPr>
                            <m:t>𝑎𝑐</m:t>
                          </m:r>
                        </m:e>
                      </m:rad>
                    </m:num>
                    <m:den>
                      <m:r>
                        <a:rPr lang="hr-HR" sz="1100" b="0" i="1">
                          <a:solidFill>
                            <a:schemeClr val="dk1"/>
                          </a:solidFill>
                          <a:effectLst/>
                          <a:latin typeface="Cambria Math" panose="02040503050406030204" pitchFamily="18" charset="0"/>
                          <a:ea typeface="+mn-ea"/>
                          <a:cs typeface="+mn-cs"/>
                        </a:rPr>
                        <m:t>2</m:t>
                      </m:r>
                      <m:r>
                        <a:rPr lang="hr-HR" sz="1100" b="0" i="1">
                          <a:solidFill>
                            <a:schemeClr val="dk1"/>
                          </a:solidFill>
                          <a:effectLst/>
                          <a:latin typeface="Cambria Math" panose="02040503050406030204" pitchFamily="18" charset="0"/>
                          <a:ea typeface="+mn-ea"/>
                          <a:cs typeface="+mn-cs"/>
                        </a:rPr>
                        <m:t>𝑎</m:t>
                      </m:r>
                    </m:den>
                  </m:f>
                </m:oMath>
              </a14:m>
              <a:r>
                <a:rPr lang="hr-HR" sz="1100" baseline="0"/>
                <a:t> ili </a:t>
              </a:r>
              <a14:m>
                <m:oMath xmlns:m="http://schemas.openxmlformats.org/officeDocument/2006/math">
                  <m:sSub>
                    <m:sSubPr>
                      <m:ctrlPr>
                        <a:rPr lang="hr-HR" sz="1100" i="1">
                          <a:solidFill>
                            <a:schemeClr val="dk1"/>
                          </a:solidFill>
                          <a:effectLst/>
                          <a:latin typeface="Cambria Math" panose="02040503050406030204" pitchFamily="18" charset="0"/>
                          <a:ea typeface="+mn-ea"/>
                          <a:cs typeface="+mn-cs"/>
                        </a:rPr>
                      </m:ctrlPr>
                    </m:sSubPr>
                    <m:e>
                      <m:r>
                        <a:rPr lang="hr-HR" sz="1100" b="0" i="1">
                          <a:solidFill>
                            <a:schemeClr val="dk1"/>
                          </a:solidFill>
                          <a:effectLst/>
                          <a:latin typeface="Cambria Math" panose="02040503050406030204" pitchFamily="18" charset="0"/>
                          <a:ea typeface="+mn-ea"/>
                          <a:cs typeface="+mn-cs"/>
                        </a:rPr>
                        <m:t>𝑥</m:t>
                      </m:r>
                    </m:e>
                    <m:sub>
                      <m:r>
                        <a:rPr lang="hr-HR" sz="1100" b="0" i="1">
                          <a:solidFill>
                            <a:schemeClr val="dk1"/>
                          </a:solidFill>
                          <a:effectLst/>
                          <a:latin typeface="Cambria Math" panose="02040503050406030204" pitchFamily="18" charset="0"/>
                          <a:ea typeface="+mn-ea"/>
                          <a:cs typeface="+mn-cs"/>
                        </a:rPr>
                        <m:t>1,2</m:t>
                      </m:r>
                    </m:sub>
                  </m:sSub>
                  <m:r>
                    <a:rPr lang="hr-HR" sz="1100" b="0" i="1">
                      <a:solidFill>
                        <a:schemeClr val="dk1"/>
                      </a:solidFill>
                      <a:effectLst/>
                      <a:latin typeface="Cambria Math" panose="02040503050406030204" pitchFamily="18" charset="0"/>
                      <a:ea typeface="+mn-ea"/>
                      <a:cs typeface="+mn-cs"/>
                    </a:rPr>
                    <m:t>=</m:t>
                  </m:r>
                  <m:f>
                    <m:fPr>
                      <m:ctrlPr>
                        <a:rPr lang="hr-HR" sz="1100" b="0" i="1">
                          <a:solidFill>
                            <a:schemeClr val="dk1"/>
                          </a:solidFill>
                          <a:effectLst/>
                          <a:latin typeface="Cambria Math" panose="02040503050406030204" pitchFamily="18" charset="0"/>
                          <a:ea typeface="+mn-ea"/>
                          <a:cs typeface="+mn-cs"/>
                        </a:rPr>
                      </m:ctrlPr>
                    </m:fPr>
                    <m:num>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𝑏</m:t>
                      </m:r>
                      <m:r>
                        <a:rPr lang="hr-HR" sz="1100" b="0" i="1">
                          <a:solidFill>
                            <a:schemeClr val="dk1"/>
                          </a:solidFill>
                          <a:effectLst/>
                          <a:latin typeface="Cambria Math" panose="02040503050406030204" pitchFamily="18" charset="0"/>
                          <a:ea typeface="+mn-ea"/>
                          <a:cs typeface="+mn-cs"/>
                        </a:rPr>
                        <m:t>±</m:t>
                      </m:r>
                      <m:rad>
                        <m:radPr>
                          <m:degHide m:val="on"/>
                          <m:ctrlPr>
                            <a:rPr lang="hr-HR" sz="1100" b="0" i="1">
                              <a:solidFill>
                                <a:schemeClr val="dk1"/>
                              </a:solidFill>
                              <a:effectLst/>
                              <a:latin typeface="Cambria Math" panose="02040503050406030204" pitchFamily="18" charset="0"/>
                              <a:ea typeface="+mn-ea"/>
                              <a:cs typeface="+mn-cs"/>
                            </a:rPr>
                          </m:ctrlPr>
                        </m:radPr>
                        <m:deg/>
                        <m:e>
                          <m:r>
                            <a:rPr lang="hr-HR" sz="1100" b="0" i="1">
                              <a:solidFill>
                                <a:schemeClr val="dk1"/>
                              </a:solidFill>
                              <a:effectLst/>
                              <a:latin typeface="Cambria Math" panose="02040503050406030204" pitchFamily="18" charset="0"/>
                              <a:ea typeface="+mn-ea"/>
                              <a:cs typeface="+mn-cs"/>
                            </a:rPr>
                            <m:t>𝐷</m:t>
                          </m:r>
                        </m:e>
                      </m:rad>
                    </m:num>
                    <m:den>
                      <m:r>
                        <a:rPr lang="hr-HR" sz="1100" b="0" i="1">
                          <a:solidFill>
                            <a:schemeClr val="dk1"/>
                          </a:solidFill>
                          <a:effectLst/>
                          <a:latin typeface="Cambria Math" panose="02040503050406030204" pitchFamily="18" charset="0"/>
                          <a:ea typeface="+mn-ea"/>
                          <a:cs typeface="+mn-cs"/>
                        </a:rPr>
                        <m:t>2</m:t>
                      </m:r>
                      <m:r>
                        <a:rPr lang="hr-HR" sz="1100" b="0" i="1">
                          <a:solidFill>
                            <a:schemeClr val="dk1"/>
                          </a:solidFill>
                          <a:effectLst/>
                          <a:latin typeface="Cambria Math" panose="02040503050406030204" pitchFamily="18" charset="0"/>
                          <a:ea typeface="+mn-ea"/>
                          <a:cs typeface="+mn-cs"/>
                        </a:rPr>
                        <m:t>𝑎</m:t>
                      </m:r>
                    </m:den>
                  </m:f>
                </m:oMath>
              </a14:m>
              <a:r>
                <a:rPr lang="hr-HR" sz="1100" baseline="0">
                  <a:solidFill>
                    <a:schemeClr val="dk1"/>
                  </a:solidFill>
                  <a:effectLst/>
                  <a:latin typeface="+mn-lt"/>
                  <a:ea typeface="+mn-ea"/>
                  <a:cs typeface="+mn-cs"/>
                </a:rPr>
                <a:t> </a:t>
              </a:r>
              <a:endParaRPr lang="hr-HR" sz="1100" baseline="0"/>
            </a:p>
            <a:p>
              <a:r>
                <a:rPr lang="hr-HR" sz="1100" baseline="0"/>
                <a:t>Tjeme </a:t>
              </a:r>
              <a14:m>
                <m:oMath xmlns:m="http://schemas.openxmlformats.org/officeDocument/2006/math">
                  <m:d>
                    <m:dPr>
                      <m:ctrlPr>
                        <a:rPr lang="hr-HR" sz="1100" b="0" i="1">
                          <a:solidFill>
                            <a:schemeClr val="dk1"/>
                          </a:solidFill>
                          <a:effectLst/>
                          <a:latin typeface="Cambria Math" panose="02040503050406030204" pitchFamily="18" charset="0"/>
                          <a:ea typeface="+mn-ea"/>
                          <a:cs typeface="+mn-cs"/>
                        </a:rPr>
                      </m:ctrlPr>
                    </m:dPr>
                    <m:e>
                      <m:f>
                        <m:fPr>
                          <m:ctrlPr>
                            <a:rPr lang="hr-HR" sz="1100" b="0" i="1">
                              <a:solidFill>
                                <a:schemeClr val="dk1"/>
                              </a:solidFill>
                              <a:effectLst/>
                              <a:latin typeface="Cambria Math" panose="02040503050406030204" pitchFamily="18" charset="0"/>
                              <a:ea typeface="+mn-ea"/>
                              <a:cs typeface="+mn-cs"/>
                            </a:rPr>
                          </m:ctrlPr>
                        </m:fPr>
                        <m:num>
                          <m:r>
                            <a:rPr lang="hr-HR" sz="1100" b="0" i="1">
                              <a:solidFill>
                                <a:schemeClr val="dk1"/>
                              </a:solidFill>
                              <a:effectLst/>
                              <a:latin typeface="Cambria Math" panose="02040503050406030204" pitchFamily="18" charset="0"/>
                              <a:ea typeface="+mn-ea"/>
                              <a:cs typeface="+mn-cs"/>
                            </a:rPr>
                            <m:t>−</m:t>
                          </m:r>
                          <m:r>
                            <a:rPr lang="hr-HR" sz="1100" b="0" i="1">
                              <a:solidFill>
                                <a:schemeClr val="dk1"/>
                              </a:solidFill>
                              <a:effectLst/>
                              <a:latin typeface="Cambria Math" panose="02040503050406030204" pitchFamily="18" charset="0"/>
                              <a:ea typeface="+mn-ea"/>
                              <a:cs typeface="+mn-cs"/>
                            </a:rPr>
                            <m:t>𝑏</m:t>
                          </m:r>
                        </m:num>
                        <m:den>
                          <m:r>
                            <a:rPr lang="hr-HR" sz="1100" b="0" i="1">
                              <a:solidFill>
                                <a:schemeClr val="dk1"/>
                              </a:solidFill>
                              <a:effectLst/>
                              <a:latin typeface="Cambria Math" panose="02040503050406030204" pitchFamily="18" charset="0"/>
                              <a:ea typeface="+mn-ea"/>
                              <a:cs typeface="+mn-cs"/>
                            </a:rPr>
                            <m:t>2</m:t>
                          </m:r>
                          <m:r>
                            <a:rPr lang="hr-HR" sz="1100" b="0" i="1">
                              <a:solidFill>
                                <a:schemeClr val="dk1"/>
                              </a:solidFill>
                              <a:effectLst/>
                              <a:latin typeface="Cambria Math" panose="02040503050406030204" pitchFamily="18" charset="0"/>
                              <a:ea typeface="+mn-ea"/>
                              <a:cs typeface="+mn-cs"/>
                            </a:rPr>
                            <m:t>𝑎</m:t>
                          </m:r>
                        </m:den>
                      </m:f>
                      <m:r>
                        <a:rPr lang="hr-HR" sz="1100" b="0" i="1">
                          <a:solidFill>
                            <a:schemeClr val="dk1"/>
                          </a:solidFill>
                          <a:effectLst/>
                          <a:latin typeface="Cambria Math" panose="02040503050406030204" pitchFamily="18" charset="0"/>
                          <a:ea typeface="+mn-ea"/>
                          <a:cs typeface="+mn-cs"/>
                        </a:rPr>
                        <m:t>,</m:t>
                      </m:r>
                      <m:f>
                        <m:fPr>
                          <m:ctrlPr>
                            <a:rPr lang="hr-HR" sz="1100" b="0" i="1">
                              <a:solidFill>
                                <a:schemeClr val="dk1"/>
                              </a:solidFill>
                              <a:effectLst/>
                              <a:latin typeface="Cambria Math" panose="02040503050406030204" pitchFamily="18" charset="0"/>
                              <a:ea typeface="+mn-ea"/>
                              <a:cs typeface="+mn-cs"/>
                            </a:rPr>
                          </m:ctrlPr>
                        </m:fPr>
                        <m:num>
                          <m:r>
                            <a:rPr lang="hr-HR" sz="1100" b="0" i="1">
                              <a:solidFill>
                                <a:schemeClr val="dk1"/>
                              </a:solidFill>
                              <a:effectLst/>
                              <a:latin typeface="Cambria Math" panose="02040503050406030204" pitchFamily="18" charset="0"/>
                              <a:ea typeface="+mn-ea"/>
                              <a:cs typeface="+mn-cs"/>
                            </a:rPr>
                            <m:t>4</m:t>
                          </m:r>
                          <m:r>
                            <a:rPr lang="hr-HR" sz="1100" b="0" i="1">
                              <a:solidFill>
                                <a:schemeClr val="dk1"/>
                              </a:solidFill>
                              <a:effectLst/>
                              <a:latin typeface="Cambria Math" panose="02040503050406030204" pitchFamily="18" charset="0"/>
                              <a:ea typeface="+mn-ea"/>
                              <a:cs typeface="+mn-cs"/>
                            </a:rPr>
                            <m:t>𝑎𝑐</m:t>
                          </m:r>
                          <m:r>
                            <a:rPr lang="hr-HR" sz="1100" b="0" i="1">
                              <a:solidFill>
                                <a:schemeClr val="dk1"/>
                              </a:solidFill>
                              <a:effectLst/>
                              <a:latin typeface="Cambria Math" panose="02040503050406030204" pitchFamily="18" charset="0"/>
                              <a:ea typeface="+mn-ea"/>
                              <a:cs typeface="+mn-cs"/>
                            </a:rPr>
                            <m:t>−</m:t>
                          </m:r>
                          <m:sSup>
                            <m:sSupPr>
                              <m:ctrlPr>
                                <a:rPr lang="hr-HR" sz="1100" b="0" i="1">
                                  <a:solidFill>
                                    <a:schemeClr val="dk1"/>
                                  </a:solidFill>
                                  <a:effectLst/>
                                  <a:latin typeface="Cambria Math" panose="02040503050406030204" pitchFamily="18" charset="0"/>
                                  <a:ea typeface="+mn-ea"/>
                                  <a:cs typeface="+mn-cs"/>
                                </a:rPr>
                              </m:ctrlPr>
                            </m:sSupPr>
                            <m:e>
                              <m:r>
                                <a:rPr lang="hr-HR" sz="1100" b="0" i="1">
                                  <a:solidFill>
                                    <a:schemeClr val="dk1"/>
                                  </a:solidFill>
                                  <a:effectLst/>
                                  <a:latin typeface="Cambria Math" panose="02040503050406030204" pitchFamily="18" charset="0"/>
                                  <a:ea typeface="+mn-ea"/>
                                  <a:cs typeface="+mn-cs"/>
                                </a:rPr>
                                <m:t>𝑏</m:t>
                              </m:r>
                            </m:e>
                            <m:sup>
                              <m:r>
                                <a:rPr lang="hr-HR" sz="1100" b="0" i="1">
                                  <a:solidFill>
                                    <a:schemeClr val="dk1"/>
                                  </a:solidFill>
                                  <a:effectLst/>
                                  <a:latin typeface="Cambria Math" panose="02040503050406030204" pitchFamily="18" charset="0"/>
                                  <a:ea typeface="+mn-ea"/>
                                  <a:cs typeface="+mn-cs"/>
                                </a:rPr>
                                <m:t>2</m:t>
                              </m:r>
                            </m:sup>
                          </m:sSup>
                        </m:num>
                        <m:den>
                          <m:r>
                            <a:rPr lang="hr-HR" sz="1100" b="0" i="1">
                              <a:solidFill>
                                <a:schemeClr val="dk1"/>
                              </a:solidFill>
                              <a:effectLst/>
                              <a:latin typeface="Cambria Math" panose="02040503050406030204" pitchFamily="18" charset="0"/>
                              <a:ea typeface="+mn-ea"/>
                              <a:cs typeface="+mn-cs"/>
                            </a:rPr>
                            <m:t>4</m:t>
                          </m:r>
                          <m:r>
                            <a:rPr lang="hr-HR" sz="1100" b="0" i="1">
                              <a:solidFill>
                                <a:schemeClr val="dk1"/>
                              </a:solidFill>
                              <a:effectLst/>
                              <a:latin typeface="Cambria Math" panose="02040503050406030204" pitchFamily="18" charset="0"/>
                              <a:ea typeface="+mn-ea"/>
                              <a:cs typeface="+mn-cs"/>
                            </a:rPr>
                            <m:t>𝑎</m:t>
                          </m:r>
                        </m:den>
                      </m:f>
                    </m:e>
                  </m:d>
                </m:oMath>
              </a14:m>
              <a:endParaRPr lang="hr-HR" sz="1100" baseline="0"/>
            </a:p>
            <a:p>
              <a:endParaRPr lang="hr-HR" sz="1100" baseline="0"/>
            </a:p>
            <a:p>
              <a:endParaRPr lang="hr-HR" sz="1100" baseline="0"/>
            </a:p>
            <a:p>
              <a:r>
                <a:rPr lang="hr-HR" sz="1100" b="1" baseline="0"/>
                <a:t>Eksponencijalna funkcija</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izrađujemo model u Excelu pomoću grafa, dobije se u obliku </a:t>
              </a:r>
              <a14:m>
                <m:oMath xmlns:m="http://schemas.openxmlformats.org/officeDocument/2006/math">
                  <m:r>
                    <a:rPr lang="hr-HR" sz="1100" i="1">
                      <a:solidFill>
                        <a:schemeClr val="dk1"/>
                      </a:solidFill>
                      <a:effectLst/>
                      <a:latin typeface="Cambria Math" panose="02040503050406030204" pitchFamily="18" charset="0"/>
                      <a:ea typeface="+mn-ea"/>
                      <a:cs typeface="+mn-cs"/>
                    </a:rPr>
                    <m:t>𝑓</m:t>
                  </m:r>
                  <m:d>
                    <m:dPr>
                      <m:ctrlPr>
                        <a:rPr lang="hr-HR" sz="1100" i="1">
                          <a:solidFill>
                            <a:schemeClr val="dk1"/>
                          </a:solidFill>
                          <a:effectLst/>
                          <a:latin typeface="Cambria Math" panose="02040503050406030204" pitchFamily="18" charset="0"/>
                          <a:ea typeface="+mn-ea"/>
                          <a:cs typeface="+mn-cs"/>
                        </a:rPr>
                      </m:ctrlPr>
                    </m:dPr>
                    <m:e>
                      <m:r>
                        <a:rPr lang="hr-HR" sz="1100" i="1">
                          <a:solidFill>
                            <a:schemeClr val="dk1"/>
                          </a:solidFill>
                          <a:effectLst/>
                          <a:latin typeface="Cambria Math" panose="02040503050406030204" pitchFamily="18" charset="0"/>
                          <a:ea typeface="+mn-ea"/>
                          <a:cs typeface="+mn-cs"/>
                        </a:rPr>
                        <m:t>𝑥</m:t>
                      </m:r>
                    </m:e>
                  </m:d>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𝑎</m:t>
                  </m:r>
                  <m:r>
                    <a:rPr lang="hr-HR" sz="1100" i="1">
                      <a:solidFill>
                        <a:schemeClr val="dk1"/>
                      </a:solidFill>
                      <a:effectLst/>
                      <a:latin typeface="Cambria Math" panose="02040503050406030204" pitchFamily="18" charset="0"/>
                      <a:ea typeface="+mn-ea"/>
                      <a:cs typeface="+mn-cs"/>
                    </a:rPr>
                    <m:t>∙</m:t>
                  </m:r>
                  <m:sSup>
                    <m:sSupPr>
                      <m:ctrlPr>
                        <a:rPr lang="hr-HR" sz="1100" i="1">
                          <a:solidFill>
                            <a:schemeClr val="dk1"/>
                          </a:solidFill>
                          <a:effectLst/>
                          <a:latin typeface="Cambria Math" panose="02040503050406030204" pitchFamily="18" charset="0"/>
                          <a:ea typeface="+mn-ea"/>
                          <a:cs typeface="+mn-cs"/>
                        </a:rPr>
                      </m:ctrlPr>
                    </m:sSupPr>
                    <m:e>
                      <m:r>
                        <a:rPr lang="hr-HR" sz="1100" b="0" i="1">
                          <a:solidFill>
                            <a:schemeClr val="dk1"/>
                          </a:solidFill>
                          <a:effectLst/>
                          <a:latin typeface="Cambria Math" panose="02040503050406030204" pitchFamily="18" charset="0"/>
                          <a:ea typeface="+mn-ea"/>
                          <a:cs typeface="+mn-cs"/>
                        </a:rPr>
                        <m:t>𝑒</m:t>
                      </m:r>
                    </m:e>
                    <m:sup>
                      <m:r>
                        <a:rPr lang="hr-HR" sz="1100" b="0" i="1">
                          <a:solidFill>
                            <a:schemeClr val="dk1"/>
                          </a:solidFill>
                          <a:effectLst/>
                          <a:latin typeface="Cambria Math" panose="02040503050406030204" pitchFamily="18" charset="0"/>
                          <a:ea typeface="+mn-ea"/>
                          <a:cs typeface="+mn-cs"/>
                        </a:rPr>
                        <m:t>𝑐𝑥</m:t>
                      </m:r>
                    </m:sup>
                  </m:sSup>
                </m:oMath>
              </a14:m>
              <a:r>
                <a:rPr lang="hr-HR" sz="1100">
                  <a:solidFill>
                    <a:schemeClr val="dk1"/>
                  </a:solidFill>
                  <a:effectLst/>
                  <a:latin typeface="+mn-lt"/>
                  <a:ea typeface="+mn-ea"/>
                  <a:cs typeface="+mn-cs"/>
                </a:rPr>
                <a:t>.</a:t>
              </a:r>
            </a:p>
            <a:p>
              <a:r>
                <a:rPr lang="hr-HR" sz="1100" baseline="0">
                  <a:solidFill>
                    <a:schemeClr val="dk1"/>
                  </a:solidFill>
                  <a:effectLst/>
                  <a:latin typeface="+mn-lt"/>
                  <a:ea typeface="+mn-ea"/>
                  <a:cs typeface="+mn-cs"/>
                </a:rPr>
                <a:t>interpretacija parametra </a:t>
              </a:r>
              <a:r>
                <a:rPr lang="hr-HR" sz="1100" i="1" baseline="0">
                  <a:solidFill>
                    <a:schemeClr val="dk1"/>
                  </a:solidFill>
                  <a:effectLst/>
                  <a:latin typeface="+mn-lt"/>
                  <a:ea typeface="+mn-ea"/>
                  <a:cs typeface="+mn-cs"/>
                </a:rPr>
                <a:t>c</a:t>
              </a:r>
              <a:r>
                <a:rPr lang="hr-HR" sz="1100" baseline="0">
                  <a:solidFill>
                    <a:schemeClr val="dk1"/>
                  </a:solidFill>
                  <a:effectLst/>
                  <a:latin typeface="+mn-lt"/>
                  <a:ea typeface="+mn-ea"/>
                  <a:cs typeface="+mn-cs"/>
                </a:rPr>
                <a:t>: s povećanjem x za 1 jedinicu </a:t>
              </a:r>
              <a:r>
                <a:rPr lang="hr-HR" sz="1100" i="1" baseline="0">
                  <a:solidFill>
                    <a:schemeClr val="dk1"/>
                  </a:solidFill>
                  <a:effectLst/>
                  <a:latin typeface="+mn-lt"/>
                  <a:ea typeface="+mn-ea"/>
                  <a:cs typeface="+mn-cs"/>
                </a:rPr>
                <a:t>y </a:t>
              </a:r>
              <a:r>
                <a:rPr lang="hr-HR" sz="1100" i="0" baseline="0">
                  <a:solidFill>
                    <a:schemeClr val="dk1"/>
                  </a:solidFill>
                  <a:effectLst/>
                  <a:latin typeface="+mn-lt"/>
                  <a:ea typeface="+mn-ea"/>
                  <a:cs typeface="+mn-cs"/>
                </a:rPr>
                <a:t>se u</a:t>
              </a:r>
              <a:r>
                <a:rPr lang="hr-HR" sz="1100" baseline="0">
                  <a:solidFill>
                    <a:schemeClr val="dk1"/>
                  </a:solidFill>
                  <a:effectLst/>
                  <a:latin typeface="+mn-lt"/>
                  <a:ea typeface="+mn-ea"/>
                  <a:cs typeface="+mn-cs"/>
                </a:rPr>
                <a:t> prosjeku povećava/smanjuje za </a:t>
              </a:r>
              <a:r>
                <a:rPr lang="hr-HR" sz="1100" i="1" baseline="0">
                  <a:solidFill>
                    <a:schemeClr val="dk1"/>
                  </a:solidFill>
                  <a:effectLst/>
                  <a:latin typeface="+mn-lt"/>
                  <a:ea typeface="+mn-ea"/>
                  <a:cs typeface="+mn-cs"/>
                </a:rPr>
                <a:t>c*100%</a:t>
              </a:r>
              <a:r>
                <a:rPr lang="hr-HR" sz="1100" baseline="0">
                  <a:solidFill>
                    <a:schemeClr val="dk1"/>
                  </a:solidFill>
                  <a:effectLst/>
                  <a:latin typeface="+mn-lt"/>
                  <a:ea typeface="+mn-ea"/>
                  <a:cs typeface="+mn-cs"/>
                </a:rPr>
                <a:t>.</a:t>
              </a:r>
              <a:endParaRPr lang="hr-HR">
                <a:effectLst/>
              </a:endParaRPr>
            </a:p>
            <a:p>
              <a:r>
                <a:rPr lang="hr-HR" sz="1100" b="0" baseline="0">
                  <a:solidFill>
                    <a:schemeClr val="dk1"/>
                  </a:solidFill>
                  <a:effectLst/>
                  <a:latin typeface="+mn-lt"/>
                  <a:ea typeface="+mn-ea"/>
                  <a:cs typeface="+mn-cs"/>
                </a:rPr>
                <a:t>interpretacija parametra </a:t>
              </a:r>
              <a:r>
                <a:rPr lang="hr-HR" sz="1100" b="0" i="1" baseline="0">
                  <a:solidFill>
                    <a:schemeClr val="dk1"/>
                  </a:solidFill>
                  <a:effectLst/>
                  <a:latin typeface="+mn-lt"/>
                  <a:ea typeface="+mn-ea"/>
                  <a:cs typeface="+mn-cs"/>
                </a:rPr>
                <a:t>a</a:t>
              </a:r>
              <a:r>
                <a:rPr lang="hr-HR" sz="1100" b="0" i="0" baseline="0">
                  <a:solidFill>
                    <a:schemeClr val="dk1"/>
                  </a:solidFill>
                  <a:effectLst/>
                  <a:latin typeface="+mn-lt"/>
                  <a:ea typeface="+mn-ea"/>
                  <a:cs typeface="+mn-cs"/>
                </a:rPr>
                <a:t>: za vrijednost varijable x nula, vrijednost y u prosjeku  iznosi </a:t>
              </a:r>
              <a:r>
                <a:rPr lang="hr-HR" sz="1100" b="0" i="1" baseline="0">
                  <a:solidFill>
                    <a:schemeClr val="dk1"/>
                  </a:solidFill>
                  <a:effectLst/>
                  <a:latin typeface="+mn-lt"/>
                  <a:ea typeface="+mn-ea"/>
                  <a:cs typeface="+mn-cs"/>
                </a:rPr>
                <a:t>a</a:t>
              </a:r>
              <a:r>
                <a:rPr lang="hr-HR" sz="1100" b="0" i="0" baseline="0">
                  <a:solidFill>
                    <a:schemeClr val="dk1"/>
                  </a:solidFill>
                  <a:effectLst/>
                  <a:latin typeface="+mn-lt"/>
                  <a:ea typeface="+mn-ea"/>
                  <a:cs typeface="+mn-cs"/>
                </a:rPr>
                <a:t> jedinica.</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a:effectLst/>
                </a:rPr>
                <a:t>Ako je c &gt; 0,05 tada se računa parametar </a:t>
              </a:r>
              <a:r>
                <a:rPr lang="hr-HR" i="1">
                  <a:effectLst/>
                </a:rPr>
                <a:t>b</a:t>
              </a:r>
              <a:r>
                <a:rPr lang="hr-HR" i="0">
                  <a:effectLst/>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Parametar</a:t>
              </a:r>
              <a:r>
                <a:rPr lang="hr-HR" sz="1100" baseline="0">
                  <a:solidFill>
                    <a:schemeClr val="dk1"/>
                  </a:solidFill>
                  <a:effectLst/>
                  <a:latin typeface="+mn-lt"/>
                  <a:ea typeface="+mn-ea"/>
                  <a:cs typeface="+mn-cs"/>
                </a:rPr>
                <a:t>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𝑏</m:t>
                  </m:r>
                </m:oMath>
              </a14:m>
              <a:r>
                <a:rPr lang="hr-HR" sz="1100" baseline="0">
                  <a:solidFill>
                    <a:schemeClr val="dk1"/>
                  </a:solidFill>
                  <a:effectLst/>
                  <a:latin typeface="+mn-lt"/>
                  <a:ea typeface="+mn-ea"/>
                  <a:cs typeface="+mn-cs"/>
                </a:rPr>
                <a:t> se određuje: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𝑏</m:t>
                  </m:r>
                  <m:r>
                    <a:rPr lang="hr-HR" sz="110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𝐸𝑋𝑃</m:t>
                  </m:r>
                  <m:r>
                    <a:rPr lang="hr-HR" sz="1100" i="1" baseline="0">
                      <a:solidFill>
                        <a:schemeClr val="dk1"/>
                      </a:solidFill>
                      <a:effectLst/>
                      <a:latin typeface="Cambria Math" panose="02040503050406030204" pitchFamily="18" charset="0"/>
                      <a:ea typeface="+mn-ea"/>
                      <a:cs typeface="+mn-cs"/>
                    </a:rPr>
                    <m:t>(</m:t>
                  </m:r>
                  <m:r>
                    <a:rPr lang="hr-HR" sz="1100" i="1" baseline="0">
                      <a:solidFill>
                        <a:schemeClr val="dk1"/>
                      </a:solidFill>
                      <a:effectLst/>
                      <a:latin typeface="Cambria Math" panose="02040503050406030204" pitchFamily="18" charset="0"/>
                      <a:ea typeface="+mn-ea"/>
                      <a:cs typeface="+mn-cs"/>
                    </a:rPr>
                    <m:t>𝑐</m:t>
                  </m:r>
                  <m:r>
                    <a:rPr lang="hr-HR" sz="1100" i="1" baseline="0">
                      <a:solidFill>
                        <a:schemeClr val="dk1"/>
                      </a:solidFill>
                      <a:effectLst/>
                      <a:latin typeface="Cambria Math" panose="02040503050406030204" pitchFamily="18" charset="0"/>
                      <a:ea typeface="+mn-ea"/>
                      <a:cs typeface="+mn-cs"/>
                    </a:rPr>
                    <m:t>)</m:t>
                  </m:r>
                </m:oMath>
              </a14:m>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left"/>
                  </m:oMathParaPr>
                  <m:oMath xmlns:m="http://schemas.openxmlformats.org/officeDocument/2006/math">
                    <m:r>
                      <a:rPr lang="hr-HR" sz="1100" i="1">
                        <a:solidFill>
                          <a:schemeClr val="dk1"/>
                        </a:solidFill>
                        <a:effectLst/>
                        <a:latin typeface="Cambria Math" panose="02040503050406030204" pitchFamily="18" charset="0"/>
                        <a:ea typeface="+mn-ea"/>
                        <a:cs typeface="+mn-cs"/>
                      </a:rPr>
                      <m:t>𝑓</m:t>
                    </m:r>
                    <m:d>
                      <m:dPr>
                        <m:ctrlPr>
                          <a:rPr lang="hr-HR" sz="1100" i="1">
                            <a:solidFill>
                              <a:schemeClr val="dk1"/>
                            </a:solidFill>
                            <a:effectLst/>
                            <a:latin typeface="Cambria Math" panose="02040503050406030204" pitchFamily="18" charset="0"/>
                            <a:ea typeface="+mn-ea"/>
                            <a:cs typeface="+mn-cs"/>
                          </a:rPr>
                        </m:ctrlPr>
                      </m:dPr>
                      <m:e>
                        <m:r>
                          <a:rPr lang="hr-HR" sz="1100" i="1">
                            <a:solidFill>
                              <a:schemeClr val="dk1"/>
                            </a:solidFill>
                            <a:effectLst/>
                            <a:latin typeface="Cambria Math" panose="02040503050406030204" pitchFamily="18" charset="0"/>
                            <a:ea typeface="+mn-ea"/>
                            <a:cs typeface="+mn-cs"/>
                          </a:rPr>
                          <m:t>𝑥</m:t>
                        </m:r>
                      </m:e>
                    </m:d>
                    <m:r>
                      <a:rPr lang="hr-HR" sz="1100" i="1">
                        <a:solidFill>
                          <a:schemeClr val="dk1"/>
                        </a:solidFill>
                        <a:effectLst/>
                        <a:latin typeface="Cambria Math" panose="02040503050406030204" pitchFamily="18" charset="0"/>
                        <a:ea typeface="+mn-ea"/>
                        <a:cs typeface="+mn-cs"/>
                      </a:rPr>
                      <m:t>=</m:t>
                    </m:r>
                    <m:r>
                      <a:rPr lang="hr-HR" sz="1100" i="1">
                        <a:solidFill>
                          <a:schemeClr val="dk1"/>
                        </a:solidFill>
                        <a:effectLst/>
                        <a:latin typeface="Cambria Math" panose="02040503050406030204" pitchFamily="18" charset="0"/>
                        <a:ea typeface="+mn-ea"/>
                        <a:cs typeface="+mn-cs"/>
                      </a:rPr>
                      <m:t>𝑎</m:t>
                    </m:r>
                    <m:r>
                      <a:rPr lang="hr-HR" sz="1100" i="1">
                        <a:solidFill>
                          <a:schemeClr val="dk1"/>
                        </a:solidFill>
                        <a:effectLst/>
                        <a:latin typeface="Cambria Math" panose="02040503050406030204" pitchFamily="18" charset="0"/>
                        <a:ea typeface="Cambria Math" panose="02040503050406030204" pitchFamily="18" charset="0"/>
                        <a:cs typeface="+mn-cs"/>
                      </a:rPr>
                      <m:t>∙</m:t>
                    </m:r>
                    <m:sSup>
                      <m:sSupPr>
                        <m:ctrlPr>
                          <a:rPr lang="hr-HR" sz="1100" i="1">
                            <a:solidFill>
                              <a:schemeClr val="dk1"/>
                            </a:solidFill>
                            <a:effectLst/>
                            <a:latin typeface="Cambria Math" panose="02040503050406030204" pitchFamily="18" charset="0"/>
                            <a:ea typeface="+mn-ea"/>
                            <a:cs typeface="+mn-cs"/>
                          </a:rPr>
                        </m:ctrlPr>
                      </m:sSupPr>
                      <m:e>
                        <m:r>
                          <a:rPr lang="hr-HR" sz="1100" b="0" i="1">
                            <a:solidFill>
                              <a:schemeClr val="dk1"/>
                            </a:solidFill>
                            <a:effectLst/>
                            <a:latin typeface="Cambria Math" panose="02040503050406030204" pitchFamily="18" charset="0"/>
                            <a:ea typeface="+mn-ea"/>
                            <a:cs typeface="+mn-cs"/>
                          </a:rPr>
                          <m:t>𝑏</m:t>
                        </m:r>
                      </m:e>
                      <m:sup>
                        <m:r>
                          <a:rPr lang="hr-HR" sz="1100" b="0" i="1">
                            <a:solidFill>
                              <a:schemeClr val="dk1"/>
                            </a:solidFill>
                            <a:effectLst/>
                            <a:latin typeface="Cambria Math" panose="02040503050406030204" pitchFamily="18" charset="0"/>
                            <a:ea typeface="+mn-ea"/>
                            <a:cs typeface="+mn-cs"/>
                          </a:rPr>
                          <m:t>𝑥</m:t>
                        </m:r>
                      </m:sup>
                    </m:sSup>
                  </m:oMath>
                </m:oMathPara>
              </a14:m>
              <a:endParaRPr lang="hr-H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je npr.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𝑏</m:t>
                  </m:r>
                  <m:r>
                    <a:rPr lang="hr-HR" sz="1100" i="1" baseline="0">
                      <a:solidFill>
                        <a:schemeClr val="dk1"/>
                      </a:solidFill>
                      <a:effectLst/>
                      <a:latin typeface="Cambria Math" panose="02040503050406030204" pitchFamily="18" charset="0"/>
                      <a:ea typeface="+mn-ea"/>
                      <a:cs typeface="+mn-cs"/>
                    </a:rPr>
                    <m:t>=1,03 </m:t>
                  </m:r>
                </m:oMath>
              </a14:m>
              <a:r>
                <a:rPr lang="hr-HR" sz="1100" baseline="0">
                  <a:solidFill>
                    <a:schemeClr val="dk1"/>
                  </a:solidFill>
                  <a:effectLst/>
                  <a:latin typeface="+mn-lt"/>
                  <a:ea typeface="+mn-ea"/>
                  <a:cs typeface="+mn-cs"/>
                </a:rPr>
                <a:t>prosječna postotna promjena iznosi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m:t>
                  </m:r>
                  <m:r>
                    <a:rPr lang="hr-HR" sz="1100" b="0" i="1" baseline="0">
                      <a:solidFill>
                        <a:schemeClr val="dk1"/>
                      </a:solidFill>
                      <a:effectLst/>
                      <a:latin typeface="Cambria Math" panose="02040503050406030204" pitchFamily="18" charset="0"/>
                      <a:ea typeface="+mn-ea"/>
                      <a:cs typeface="+mn-cs"/>
                    </a:rPr>
                    <m:t>𝑏</m:t>
                  </m:r>
                  <m:r>
                    <a:rPr lang="hr-HR" sz="1100" i="1" baseline="0">
                      <a:solidFill>
                        <a:schemeClr val="dk1"/>
                      </a:solidFill>
                      <a:effectLst/>
                      <a:latin typeface="Cambria Math" panose="02040503050406030204" pitchFamily="18" charset="0"/>
                      <a:ea typeface="+mn-ea"/>
                      <a:cs typeface="+mn-cs"/>
                    </a:rPr>
                    <m:t>−1)=(1,03−1)=0,03=3%</m:t>
                  </m:r>
                </m:oMath>
              </a14:m>
              <a:r>
                <a:rPr lang="hr-HR"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je postotni rast 7,2 % tada je </a:t>
              </a:r>
              <a14:m>
                <m:oMath xmlns:m="http://schemas.openxmlformats.org/officeDocument/2006/math">
                  <m:r>
                    <a:rPr lang="hr-HR" sz="1100" i="1" baseline="0">
                      <a:solidFill>
                        <a:schemeClr val="dk1"/>
                      </a:solidFill>
                      <a:effectLst/>
                      <a:latin typeface="Cambria Math" panose="02040503050406030204" pitchFamily="18" charset="0"/>
                      <a:ea typeface="+mn-ea"/>
                      <a:cs typeface="+mn-cs"/>
                    </a:rPr>
                    <m:t>𝑏</m:t>
                  </m:r>
                  <m:r>
                    <a:rPr lang="hr-HR" sz="1100" i="1" baseline="0">
                      <a:solidFill>
                        <a:schemeClr val="dk1"/>
                      </a:solidFill>
                      <a:effectLst/>
                      <a:latin typeface="Cambria Math" panose="02040503050406030204" pitchFamily="18" charset="0"/>
                      <a:ea typeface="+mn-ea"/>
                      <a:cs typeface="+mn-cs"/>
                    </a:rPr>
                    <m:t>=1,072</m:t>
                  </m:r>
                </m:oMath>
              </a14:m>
              <a:r>
                <a:rPr lang="hr-HR" sz="1100" baseline="0">
                  <a:solidFill>
                    <a:schemeClr val="dk1"/>
                  </a:solidFill>
                  <a:effectLst/>
                  <a:latin typeface="+mn-lt"/>
                  <a:ea typeface="+mn-ea"/>
                  <a:cs typeface="+mn-cs"/>
                </a:rPr>
                <a:t>.</a:t>
              </a:r>
              <a:endParaRPr lang="hr-HR" sz="1100">
                <a:solidFill>
                  <a:schemeClr val="dk1"/>
                </a:solidFill>
                <a:effectLst/>
                <a:latin typeface="+mn-lt"/>
                <a:ea typeface="+mn-ea"/>
                <a:cs typeface="+mn-cs"/>
              </a:endParaRPr>
            </a:p>
            <a:p>
              <a:endParaRPr lang="hr-HR" sz="1100" baseline="0"/>
            </a:p>
            <a:p>
              <a:endParaRPr lang="hr-HR" b="0">
                <a:effectLst/>
                <a:ea typeface="Cambria Math" panose="02040503050406030204" pitchFamily="18" charset="0"/>
              </a:endParaRPr>
            </a:p>
          </xdr:txBody>
        </xdr:sp>
      </mc:Choice>
      <mc:Fallback xmlns="">
        <xdr:sp macro="" textlink="">
          <xdr:nvSpPr>
            <xdr:cNvPr id="9" name="TekstniOkvir 8">
              <a:extLst>
                <a:ext uri="{FF2B5EF4-FFF2-40B4-BE49-F238E27FC236}">
                  <a16:creationId xmlns:a16="http://schemas.microsoft.com/office/drawing/2014/main" id="{B93180BB-4763-46AE-9A92-FD8C99E9FCAB}"/>
                </a:ext>
              </a:extLst>
            </xdr:cNvPr>
            <xdr:cNvSpPr txBox="1"/>
          </xdr:nvSpPr>
          <xdr:spPr>
            <a:xfrm>
              <a:off x="609600" y="40881300"/>
              <a:ext cx="5736474" cy="84709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600" b="1"/>
                <a:t>Upute uz 4. ishod</a:t>
              </a:r>
            </a:p>
            <a:p>
              <a:endParaRPr lang="hr-HR" sz="1100" b="1"/>
            </a:p>
            <a:p>
              <a:r>
                <a:rPr lang="hr-HR" sz="1100" b="1"/>
                <a:t>Linearna,</a:t>
              </a:r>
              <a:r>
                <a:rPr lang="hr-HR" sz="1100" b="1" baseline="0"/>
                <a:t> kvadratna i eksponencijalna funkcija:</a:t>
              </a:r>
            </a:p>
            <a:p>
              <a:endParaRPr lang="hr-HR" sz="1100" b="1" baseline="0"/>
            </a:p>
            <a:p>
              <a:r>
                <a:rPr lang="hr-HR" sz="1100" b="1">
                  <a:solidFill>
                    <a:schemeClr val="dk1"/>
                  </a:solidFill>
                  <a:effectLst/>
                  <a:latin typeface="+mn-lt"/>
                  <a:ea typeface="+mn-ea"/>
                  <a:cs typeface="+mn-cs"/>
                </a:rPr>
                <a:t>Grafički prikaz podataka:</a:t>
              </a:r>
              <a:endParaRPr lang="hr-HR" b="1">
                <a:effectLst/>
              </a:endParaRPr>
            </a:p>
            <a:p>
              <a:r>
                <a:rPr lang="hr-HR" sz="1100">
                  <a:solidFill>
                    <a:schemeClr val="dk1"/>
                  </a:solidFill>
                  <a:effectLst/>
                  <a:latin typeface="+mn-lt"/>
                  <a:ea typeface="+mn-ea"/>
                  <a:cs typeface="+mn-cs"/>
                </a:rPr>
                <a:t>Označimo podatke iz tablice. U</a:t>
              </a:r>
              <a:r>
                <a:rPr lang="hr-HR" sz="1100" baseline="0">
                  <a:solidFill>
                    <a:schemeClr val="dk1"/>
                  </a:solidFill>
                  <a:effectLst/>
                  <a:latin typeface="+mn-lt"/>
                  <a:ea typeface="+mn-ea"/>
                  <a:cs typeface="+mn-cs"/>
                </a:rPr>
                <a:t> izborniku odaberemo </a:t>
              </a:r>
              <a:r>
                <a:rPr lang="hr-HR" sz="1100" i="1" baseline="0">
                  <a:solidFill>
                    <a:schemeClr val="dk1"/>
                  </a:solidFill>
                  <a:effectLst/>
                  <a:latin typeface="+mn-lt"/>
                  <a:ea typeface="+mn-ea"/>
                  <a:cs typeface="+mn-cs"/>
                </a:rPr>
                <a:t>Umetanje</a:t>
              </a:r>
              <a:r>
                <a:rPr lang="hr-HR" sz="1100" baseline="0">
                  <a:solidFill>
                    <a:schemeClr val="dk1"/>
                  </a:solidFill>
                  <a:effectLst/>
                  <a:latin typeface="+mn-lt"/>
                  <a:ea typeface="+mn-ea"/>
                  <a:cs typeface="+mn-cs"/>
                </a:rPr>
                <a:t>, potom jedan od ponuđenih grafikona: najbolje </a:t>
              </a:r>
              <a:r>
                <a:rPr lang="hr-HR" sz="1100" i="1" baseline="0">
                  <a:solidFill>
                    <a:schemeClr val="dk1"/>
                  </a:solidFill>
                  <a:effectLst/>
                  <a:latin typeface="+mn-lt"/>
                  <a:ea typeface="+mn-ea"/>
                  <a:cs typeface="+mn-cs"/>
                </a:rPr>
                <a:t>raspršeni</a:t>
              </a:r>
              <a:r>
                <a:rPr lang="hr-HR" sz="1100" baseline="0">
                  <a:solidFill>
                    <a:schemeClr val="dk1"/>
                  </a:solidFill>
                  <a:effectLst/>
                  <a:latin typeface="+mn-lt"/>
                  <a:ea typeface="+mn-ea"/>
                  <a:cs typeface="+mn-cs"/>
                </a:rPr>
                <a:t>.</a:t>
              </a:r>
              <a:endParaRPr lang="hr-HR">
                <a:effectLst/>
              </a:endParaRPr>
            </a:p>
            <a:p>
              <a:r>
                <a:rPr lang="hr-HR" sz="1100" b="1" baseline="0">
                  <a:solidFill>
                    <a:schemeClr val="dk1"/>
                  </a:solidFill>
                  <a:effectLst/>
                  <a:latin typeface="+mn-lt"/>
                  <a:ea typeface="+mn-ea"/>
                  <a:cs typeface="+mn-cs"/>
                </a:rPr>
                <a:t>Uređivanje grafa:</a:t>
              </a:r>
              <a:endParaRPr lang="hr-HR" b="1">
                <a:effectLst/>
              </a:endParaRPr>
            </a:p>
            <a:p>
              <a:r>
                <a:rPr lang="hr-HR" sz="1100" baseline="0">
                  <a:solidFill>
                    <a:schemeClr val="dk1"/>
                  </a:solidFill>
                  <a:effectLst/>
                  <a:latin typeface="+mn-lt"/>
                  <a:ea typeface="+mn-ea"/>
                  <a:cs typeface="+mn-cs"/>
                </a:rPr>
                <a:t>Kliknemo na graf. U izborniku odaberemo </a:t>
              </a:r>
              <a:r>
                <a:rPr lang="hr-HR" sz="1100" i="1" baseline="0">
                  <a:solidFill>
                    <a:schemeClr val="dk1"/>
                  </a:solidFill>
                  <a:effectLst/>
                  <a:latin typeface="+mn-lt"/>
                  <a:ea typeface="+mn-ea"/>
                  <a:cs typeface="+mn-cs"/>
                </a:rPr>
                <a:t>Dizajn</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Brzi raspored</a:t>
              </a:r>
              <a:r>
                <a:rPr lang="hr-HR" sz="1100" baseline="0">
                  <a:solidFill>
                    <a:schemeClr val="dk1"/>
                  </a:solidFill>
                  <a:effectLst/>
                  <a:latin typeface="+mn-lt"/>
                  <a:ea typeface="+mn-ea"/>
                  <a:cs typeface="+mn-cs"/>
                </a:rPr>
                <a:t> i odaberemo onaj koji ima naslov i oznake za os x i os y. Upišemo ih.</a:t>
              </a:r>
              <a:endParaRPr lang="hr-HR">
                <a:effectLst/>
              </a:endParaRPr>
            </a:p>
            <a:p>
              <a:r>
                <a:rPr lang="hr-HR" sz="1100" baseline="0">
                  <a:solidFill>
                    <a:schemeClr val="dk1"/>
                  </a:solidFill>
                  <a:effectLst/>
                  <a:latin typeface="+mn-lt"/>
                  <a:ea typeface="+mn-ea"/>
                  <a:cs typeface="+mn-cs"/>
                </a:rPr>
                <a:t>Dobivanje jednadžbe: (postoji više različitih mogućnosti)</a:t>
              </a:r>
              <a:endParaRPr lang="hr-HR">
                <a:effectLst/>
              </a:endParaRPr>
            </a:p>
            <a:p>
              <a:r>
                <a:rPr lang="hr-HR" sz="1100" baseline="0">
                  <a:solidFill>
                    <a:schemeClr val="dk1"/>
                  </a:solidFill>
                  <a:effectLst/>
                  <a:latin typeface="+mn-lt"/>
                  <a:ea typeface="+mn-ea"/>
                  <a:cs typeface="+mn-cs"/>
                </a:rPr>
                <a:t>Kliknemo na graf. U izborniku odaberemo </a:t>
              </a:r>
              <a:r>
                <a:rPr lang="hr-HR" sz="1100" i="1" baseline="0">
                  <a:solidFill>
                    <a:schemeClr val="dk1"/>
                  </a:solidFill>
                  <a:effectLst/>
                  <a:latin typeface="+mn-lt"/>
                  <a:ea typeface="+mn-ea"/>
                  <a:cs typeface="+mn-cs"/>
                </a:rPr>
                <a:t>Dizajn</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Dodaj element grafikona,</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Crta trenda</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Više mogućnosti crte trenda</a:t>
              </a:r>
              <a:r>
                <a:rPr lang="hr-HR" sz="1100" baseline="0">
                  <a:solidFill>
                    <a:schemeClr val="dk1"/>
                  </a:solidFill>
                  <a:effectLst/>
                  <a:latin typeface="+mn-lt"/>
                  <a:ea typeface="+mn-ea"/>
                  <a:cs typeface="+mn-cs"/>
                </a:rPr>
                <a:t>, odaberemo odgovarajući model (linearni, eksponencijalni ili polinomski 2. stupnja).</a:t>
              </a:r>
              <a:endParaRPr lang="hr-HR">
                <a:effectLst/>
              </a:endParaRPr>
            </a:p>
            <a:p>
              <a:r>
                <a:rPr lang="hr-HR" sz="1100" baseline="0">
                  <a:solidFill>
                    <a:schemeClr val="dk1"/>
                  </a:solidFill>
                  <a:effectLst/>
                  <a:latin typeface="+mn-lt"/>
                  <a:ea typeface="+mn-ea"/>
                  <a:cs typeface="+mn-cs"/>
                </a:rPr>
                <a:t>Na dnu odaberemo: </a:t>
              </a:r>
              <a:r>
                <a:rPr lang="hr-HR" sz="1100" i="1" baseline="0">
                  <a:solidFill>
                    <a:schemeClr val="dk1"/>
                  </a:solidFill>
                  <a:effectLst/>
                  <a:latin typeface="+mn-lt"/>
                  <a:ea typeface="+mn-ea"/>
                  <a:cs typeface="+mn-cs"/>
                </a:rPr>
                <a:t>Prikaži jednadžbu na grafikonu</a:t>
              </a:r>
              <a:r>
                <a:rPr lang="hr-HR" sz="1100" baseline="0">
                  <a:solidFill>
                    <a:schemeClr val="dk1"/>
                  </a:solidFill>
                  <a:effectLst/>
                  <a:latin typeface="+mn-lt"/>
                  <a:ea typeface="+mn-ea"/>
                  <a:cs typeface="+mn-cs"/>
                </a:rPr>
                <a:t>, </a:t>
              </a:r>
              <a:r>
                <a:rPr lang="hr-HR" sz="1100" i="1" baseline="0">
                  <a:solidFill>
                    <a:schemeClr val="dk1"/>
                  </a:solidFill>
                  <a:effectLst/>
                  <a:latin typeface="+mn-lt"/>
                  <a:ea typeface="+mn-ea"/>
                  <a:cs typeface="+mn-cs"/>
                </a:rPr>
                <a:t>Prikaži R-kvadratnu vrijednost na grafikonu</a:t>
              </a:r>
              <a:r>
                <a:rPr lang="hr-HR" sz="1100" baseline="0">
                  <a:solidFill>
                    <a:schemeClr val="dk1"/>
                  </a:solidFill>
                  <a:effectLst/>
                  <a:latin typeface="+mn-lt"/>
                  <a:ea typeface="+mn-ea"/>
                  <a:cs typeface="+mn-cs"/>
                </a:rPr>
                <a:t>.</a:t>
              </a:r>
              <a:endParaRPr lang="hr-HR">
                <a:effectLst/>
              </a:endParaRPr>
            </a:p>
            <a:p>
              <a:endParaRPr lang="hr-HR" sz="1100"/>
            </a:p>
            <a:p>
              <a:r>
                <a:rPr lang="hr-HR" sz="1100" b="1"/>
                <a:t>Linearna</a:t>
              </a:r>
              <a:r>
                <a:rPr lang="hr-HR" sz="1100" b="1" baseline="0"/>
                <a:t> funkcija</a:t>
              </a:r>
              <a:endParaRPr lang="hr-HR" sz="1100" b="1"/>
            </a:p>
            <a:p>
              <a:pPr/>
              <a:r>
                <a:rPr lang="hr-HR" sz="1100" i="0">
                  <a:latin typeface="Cambria Math" panose="02040503050406030204" pitchFamily="18" charset="0"/>
                </a:rPr>
                <a:t>𝑓(𝑥)=</a:t>
              </a:r>
              <a:r>
                <a:rPr lang="en-US" sz="1100" b="0" i="0">
                  <a:latin typeface="Cambria Math" panose="02040503050406030204" pitchFamily="18" charset="0"/>
                </a:rPr>
                <a:t>𝑎</a:t>
              </a:r>
              <a:r>
                <a:rPr lang="hr-HR" sz="1100" i="0">
                  <a:latin typeface="Cambria Math" panose="02040503050406030204" pitchFamily="18" charset="0"/>
                </a:rPr>
                <a:t>𝑥+</a:t>
              </a:r>
              <a:r>
                <a:rPr lang="en-US" sz="1100" b="0" i="0">
                  <a:latin typeface="Cambria Math" panose="02040503050406030204" pitchFamily="18" charset="0"/>
                </a:rPr>
                <a:t>𝑏</a:t>
              </a:r>
              <a:endParaRPr lang="hr-HR" sz="1100"/>
            </a:p>
            <a:p>
              <a:r>
                <a:rPr lang="en-US" sz="1100"/>
                <a:t>a</a:t>
              </a:r>
              <a:r>
                <a:rPr lang="hr-HR" sz="1100"/>
                <a:t> = koeficijent smjera (prosječno povećanje/smanjenje</a:t>
              </a:r>
              <a:r>
                <a:rPr lang="hr-HR" sz="1100" baseline="0"/>
                <a:t> varijable y za promjenu varijable x za jednu jedinicu)</a:t>
              </a:r>
              <a:endParaRPr lang="hr-HR" sz="1100"/>
            </a:p>
            <a:p>
              <a:r>
                <a:rPr lang="hr-HR" sz="1100" baseline="0"/>
                <a:t>interpretacija parametra </a:t>
              </a:r>
              <a:r>
                <a:rPr lang="en-US" sz="1100" i="1" baseline="0"/>
                <a:t>a</a:t>
              </a:r>
              <a:r>
                <a:rPr lang="hr-HR" sz="1100" baseline="0"/>
                <a:t>: s povećanjem x za 1 jedinicu </a:t>
              </a:r>
              <a:r>
                <a:rPr lang="hr-HR" sz="1100" i="1" baseline="0"/>
                <a:t>y </a:t>
              </a:r>
              <a:r>
                <a:rPr lang="hr-HR" sz="1100" i="0" baseline="0"/>
                <a:t>se u</a:t>
              </a:r>
              <a:r>
                <a:rPr lang="hr-HR" sz="1100" baseline="0"/>
                <a:t> prosjeku povećava/smanjuje za </a:t>
              </a:r>
              <a:r>
                <a:rPr lang="en-US" sz="1100" i="1" baseline="0"/>
                <a:t>a</a:t>
              </a:r>
              <a:r>
                <a:rPr lang="hr-HR" sz="1100" i="1" baseline="0"/>
                <a:t> </a:t>
              </a:r>
              <a:r>
                <a:rPr lang="hr-HR" sz="1100" baseline="0"/>
                <a:t> jedinica.</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b</a:t>
              </a:r>
              <a:r>
                <a:rPr lang="hr-HR" sz="1100">
                  <a:solidFill>
                    <a:schemeClr val="dk1"/>
                  </a:solidFill>
                  <a:effectLst/>
                  <a:latin typeface="+mn-lt"/>
                  <a:ea typeface="+mn-ea"/>
                  <a:cs typeface="+mn-cs"/>
                </a:rPr>
                <a:t> =odsječak</a:t>
              </a:r>
              <a:r>
                <a:rPr lang="hr-HR" sz="1100" baseline="0">
                  <a:solidFill>
                    <a:schemeClr val="dk1"/>
                  </a:solidFill>
                  <a:effectLst/>
                  <a:latin typeface="+mn-lt"/>
                  <a:ea typeface="+mn-ea"/>
                  <a:cs typeface="+mn-cs"/>
                </a:rPr>
                <a:t> na osi y</a:t>
              </a:r>
              <a:endParaRPr lang="hr-HR">
                <a:effectLst/>
              </a:endParaRPr>
            </a:p>
            <a:p>
              <a:r>
                <a:rPr lang="hr-HR" sz="1100" b="0" baseline="0"/>
                <a:t>interpretacija parametra </a:t>
              </a:r>
              <a:r>
                <a:rPr lang="en-US" sz="1100" b="0" i="1" baseline="0"/>
                <a:t>b</a:t>
              </a:r>
              <a:r>
                <a:rPr lang="hr-HR" sz="1100" b="0" i="0" baseline="0"/>
                <a:t>: za vrijednost varijable x nula, vrijednost y </a:t>
              </a:r>
              <a:r>
                <a:rPr lang="hr-HR" sz="1100" b="0" i="0" baseline="0">
                  <a:solidFill>
                    <a:schemeClr val="dk1"/>
                  </a:solidFill>
                  <a:effectLst/>
                  <a:latin typeface="+mn-lt"/>
                  <a:ea typeface="+mn-ea"/>
                  <a:cs typeface="+mn-cs"/>
                </a:rPr>
                <a:t>u prosjeku  i</a:t>
              </a:r>
              <a:r>
                <a:rPr lang="hr-HR" sz="1100" b="0" i="0" baseline="0"/>
                <a:t>znosi </a:t>
              </a:r>
              <a:r>
                <a:rPr lang="en-US" sz="1100" b="0" i="1" baseline="0"/>
                <a:t>b</a:t>
              </a:r>
              <a:r>
                <a:rPr lang="hr-HR" sz="1100" b="0" i="0" baseline="0"/>
                <a:t> jedinica.</a:t>
              </a:r>
              <a:endParaRPr lang="hr-HR" sz="1100" b="0" baseline="0"/>
            </a:p>
            <a:p>
              <a:endParaRPr lang="hr-HR" sz="1100" b="1" baseline="0"/>
            </a:p>
            <a:p>
              <a:r>
                <a:rPr lang="hr-HR" sz="1100" b="1" baseline="0"/>
                <a:t>Kvadratna funkcija</a:t>
              </a:r>
            </a:p>
            <a:p>
              <a:pPr marL="0" marR="0" lvl="0" indent="0" defTabSz="914400" eaLnBrk="1" fontAlgn="auto" latinLnBrk="0" hangingPunct="1">
                <a:lnSpc>
                  <a:spcPct val="100000"/>
                </a:lnSpc>
                <a:spcBef>
                  <a:spcPts val="0"/>
                </a:spcBef>
                <a:spcAft>
                  <a:spcPts val="0"/>
                </a:spcAft>
                <a:buClrTx/>
                <a:buSzTx/>
                <a:buFontTx/>
                <a:buNone/>
                <a:tabLst/>
                <a:defRPr/>
              </a:pPr>
              <a:r>
                <a:rPr lang="hr-HR" sz="1100" i="0">
                  <a:solidFill>
                    <a:schemeClr val="dk1"/>
                  </a:solidFill>
                  <a:effectLst/>
                  <a:latin typeface="Cambria Math" panose="02040503050406030204" pitchFamily="18" charset="0"/>
                  <a:ea typeface="+mn-ea"/>
                  <a:cs typeface="+mn-cs"/>
                </a:rPr>
                <a:t>𝑓(𝑥)=𝑎𝑥^2+𝑏𝑥</a:t>
              </a:r>
              <a:r>
                <a:rPr lang="hr-HR" sz="1100" b="0" i="0">
                  <a:solidFill>
                    <a:schemeClr val="dk1"/>
                  </a:solidFill>
                  <a:effectLst/>
                  <a:latin typeface="Cambria Math" panose="02040503050406030204" pitchFamily="18" charset="0"/>
                  <a:ea typeface="+mn-ea"/>
                  <a:cs typeface="+mn-cs"/>
                </a:rPr>
                <a:t>+𝑐</a:t>
              </a:r>
              <a:endParaRPr lang="hr-HR">
                <a:effectLst/>
              </a:endParaRPr>
            </a:p>
            <a:p>
              <a:r>
                <a:rPr lang="hr-HR" sz="1100" baseline="0"/>
                <a:t>a= koeficijent smjera</a:t>
              </a:r>
            </a:p>
            <a:p>
              <a:r>
                <a:rPr lang="hr-HR" sz="1100" i="0" baseline="0">
                  <a:latin typeface="Cambria Math" panose="02040503050406030204" pitchFamily="18" charset="0"/>
                </a:rPr>
                <a:t>𝑎&gt;0</a:t>
              </a:r>
              <a:r>
                <a:rPr lang="hr-HR" sz="1100" baseline="0"/>
                <a:t> nasmiješena</a:t>
              </a:r>
            </a:p>
            <a:p>
              <a:r>
                <a:rPr lang="hr-HR" sz="1100" i="0" baseline="0">
                  <a:latin typeface="Cambria Math" panose="02040503050406030204" pitchFamily="18" charset="0"/>
                </a:rPr>
                <a:t>𝑎&lt;0</a:t>
              </a:r>
              <a:r>
                <a:rPr lang="hr-HR" sz="1100" baseline="0"/>
                <a:t> namrgođena</a:t>
              </a:r>
            </a:p>
            <a:p>
              <a:pPr/>
              <a:r>
                <a:rPr lang="hr-HR" sz="1100" i="0" baseline="0">
                  <a:latin typeface="Cambria Math" panose="02040503050406030204" pitchFamily="18" charset="0"/>
                </a:rPr>
                <a:t>𝐷=</a:t>
              </a:r>
              <a:r>
                <a:rPr lang="hr-HR" sz="1100" b="0" i="0" baseline="0">
                  <a:latin typeface="Cambria Math" panose="02040503050406030204" pitchFamily="18" charset="0"/>
                </a:rPr>
                <a:t>𝑏^2</a:t>
              </a:r>
              <a:r>
                <a:rPr lang="hr-HR" sz="1100" i="0" baseline="0">
                  <a:latin typeface="Cambria Math" panose="02040503050406030204" pitchFamily="18" charset="0"/>
                </a:rPr>
                <a:t>−4𝑎𝑐</a:t>
              </a:r>
              <a:endParaRPr lang="hr-HR" sz="1100" baseline="0"/>
            </a:p>
            <a:p>
              <a:r>
                <a:rPr lang="hr-HR" sz="1100" baseline="0"/>
                <a:t>Nultočke </a:t>
              </a:r>
              <a:r>
                <a:rPr lang="hr-HR" sz="1100" b="0" i="0">
                  <a:solidFill>
                    <a:schemeClr val="dk1"/>
                  </a:solidFill>
                  <a:effectLst/>
                  <a:latin typeface="Cambria Math" panose="02040503050406030204" pitchFamily="18" charset="0"/>
                  <a:ea typeface="+mn-ea"/>
                  <a:cs typeface="+mn-cs"/>
                </a:rPr>
                <a:t>𝑥_1,2=(−𝑏±√(𝑏^2−4𝑎𝑐))/2𝑎</a:t>
              </a:r>
              <a:r>
                <a:rPr lang="hr-HR" sz="1100" baseline="0"/>
                <a:t> ili </a:t>
              </a:r>
              <a:r>
                <a:rPr lang="hr-HR" sz="1100" b="0" i="0">
                  <a:solidFill>
                    <a:schemeClr val="dk1"/>
                  </a:solidFill>
                  <a:effectLst/>
                  <a:latin typeface="Cambria Math" panose="02040503050406030204" pitchFamily="18" charset="0"/>
                  <a:ea typeface="+mn-ea"/>
                  <a:cs typeface="+mn-cs"/>
                </a:rPr>
                <a:t>𝑥_1,2=(−𝑏±√𝐷)/2𝑎</a:t>
              </a:r>
              <a:r>
                <a:rPr lang="hr-HR" sz="1100" baseline="0">
                  <a:solidFill>
                    <a:schemeClr val="dk1"/>
                  </a:solidFill>
                  <a:effectLst/>
                  <a:latin typeface="+mn-lt"/>
                  <a:ea typeface="+mn-ea"/>
                  <a:cs typeface="+mn-cs"/>
                </a:rPr>
                <a:t> </a:t>
              </a:r>
              <a:endParaRPr lang="hr-HR" sz="1100" baseline="0"/>
            </a:p>
            <a:p>
              <a:r>
                <a:rPr lang="hr-HR" sz="1100" baseline="0"/>
                <a:t>Tjeme </a:t>
              </a:r>
              <a:r>
                <a:rPr lang="hr-HR" sz="1100" b="0" i="0">
                  <a:solidFill>
                    <a:schemeClr val="dk1"/>
                  </a:solidFill>
                  <a:effectLst/>
                  <a:latin typeface="Cambria Math" panose="02040503050406030204" pitchFamily="18" charset="0"/>
                  <a:ea typeface="+mn-ea"/>
                  <a:cs typeface="+mn-cs"/>
                </a:rPr>
                <a:t>((−𝑏)/2𝑎,(4𝑎𝑐−𝑏^2)/4𝑎)</a:t>
              </a:r>
              <a:endParaRPr lang="hr-HR" sz="1100" baseline="0"/>
            </a:p>
            <a:p>
              <a:endParaRPr lang="hr-HR" sz="1100" baseline="0"/>
            </a:p>
            <a:p>
              <a:endParaRPr lang="hr-HR" sz="1100" baseline="0"/>
            </a:p>
            <a:p>
              <a:r>
                <a:rPr lang="hr-HR" sz="1100" b="1" baseline="0"/>
                <a:t>Eksponencijalna funkcija</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izrađujemo model u Excelu pomoću grafa, dobije se u obliku </a:t>
              </a:r>
              <a:r>
                <a:rPr lang="hr-HR" sz="1100" i="0">
                  <a:solidFill>
                    <a:schemeClr val="dk1"/>
                  </a:solidFill>
                  <a:effectLst/>
                  <a:latin typeface="Cambria Math" panose="02040503050406030204" pitchFamily="18" charset="0"/>
                  <a:ea typeface="+mn-ea"/>
                  <a:cs typeface="+mn-cs"/>
                </a:rPr>
                <a:t>𝑓(𝑥)=𝑎∙</a:t>
              </a:r>
              <a:r>
                <a:rPr lang="hr-HR" sz="1100" b="0" i="0">
                  <a:solidFill>
                    <a:schemeClr val="dk1"/>
                  </a:solidFill>
                  <a:effectLst/>
                  <a:latin typeface="Cambria Math" panose="02040503050406030204" pitchFamily="18" charset="0"/>
                  <a:ea typeface="+mn-ea"/>
                  <a:cs typeface="+mn-cs"/>
                </a:rPr>
                <a:t>𝑒^𝑐𝑥</a:t>
              </a:r>
              <a:r>
                <a:rPr lang="hr-HR" sz="1100">
                  <a:solidFill>
                    <a:schemeClr val="dk1"/>
                  </a:solidFill>
                  <a:effectLst/>
                  <a:latin typeface="+mn-lt"/>
                  <a:ea typeface="+mn-ea"/>
                  <a:cs typeface="+mn-cs"/>
                </a:rPr>
                <a:t>.</a:t>
              </a:r>
            </a:p>
            <a:p>
              <a:r>
                <a:rPr lang="hr-HR" sz="1100" baseline="0">
                  <a:solidFill>
                    <a:schemeClr val="dk1"/>
                  </a:solidFill>
                  <a:effectLst/>
                  <a:latin typeface="+mn-lt"/>
                  <a:ea typeface="+mn-ea"/>
                  <a:cs typeface="+mn-cs"/>
                </a:rPr>
                <a:t>interpretacija parametra </a:t>
              </a:r>
              <a:r>
                <a:rPr lang="hr-HR" sz="1100" i="1" baseline="0">
                  <a:solidFill>
                    <a:schemeClr val="dk1"/>
                  </a:solidFill>
                  <a:effectLst/>
                  <a:latin typeface="+mn-lt"/>
                  <a:ea typeface="+mn-ea"/>
                  <a:cs typeface="+mn-cs"/>
                </a:rPr>
                <a:t>c</a:t>
              </a:r>
              <a:r>
                <a:rPr lang="hr-HR" sz="1100" baseline="0">
                  <a:solidFill>
                    <a:schemeClr val="dk1"/>
                  </a:solidFill>
                  <a:effectLst/>
                  <a:latin typeface="+mn-lt"/>
                  <a:ea typeface="+mn-ea"/>
                  <a:cs typeface="+mn-cs"/>
                </a:rPr>
                <a:t>: s povećanjem x za 1 jedinicu </a:t>
              </a:r>
              <a:r>
                <a:rPr lang="hr-HR" sz="1100" i="1" baseline="0">
                  <a:solidFill>
                    <a:schemeClr val="dk1"/>
                  </a:solidFill>
                  <a:effectLst/>
                  <a:latin typeface="+mn-lt"/>
                  <a:ea typeface="+mn-ea"/>
                  <a:cs typeface="+mn-cs"/>
                </a:rPr>
                <a:t>y </a:t>
              </a:r>
              <a:r>
                <a:rPr lang="hr-HR" sz="1100" i="0" baseline="0">
                  <a:solidFill>
                    <a:schemeClr val="dk1"/>
                  </a:solidFill>
                  <a:effectLst/>
                  <a:latin typeface="+mn-lt"/>
                  <a:ea typeface="+mn-ea"/>
                  <a:cs typeface="+mn-cs"/>
                </a:rPr>
                <a:t>se u</a:t>
              </a:r>
              <a:r>
                <a:rPr lang="hr-HR" sz="1100" baseline="0">
                  <a:solidFill>
                    <a:schemeClr val="dk1"/>
                  </a:solidFill>
                  <a:effectLst/>
                  <a:latin typeface="+mn-lt"/>
                  <a:ea typeface="+mn-ea"/>
                  <a:cs typeface="+mn-cs"/>
                </a:rPr>
                <a:t> prosjeku povećava/smanjuje za </a:t>
              </a:r>
              <a:r>
                <a:rPr lang="hr-HR" sz="1100" i="1" baseline="0">
                  <a:solidFill>
                    <a:schemeClr val="dk1"/>
                  </a:solidFill>
                  <a:effectLst/>
                  <a:latin typeface="+mn-lt"/>
                  <a:ea typeface="+mn-ea"/>
                  <a:cs typeface="+mn-cs"/>
                </a:rPr>
                <a:t>c*100%</a:t>
              </a:r>
              <a:r>
                <a:rPr lang="hr-HR" sz="1100" baseline="0">
                  <a:solidFill>
                    <a:schemeClr val="dk1"/>
                  </a:solidFill>
                  <a:effectLst/>
                  <a:latin typeface="+mn-lt"/>
                  <a:ea typeface="+mn-ea"/>
                  <a:cs typeface="+mn-cs"/>
                </a:rPr>
                <a:t>.</a:t>
              </a:r>
              <a:endParaRPr lang="hr-HR">
                <a:effectLst/>
              </a:endParaRPr>
            </a:p>
            <a:p>
              <a:r>
                <a:rPr lang="hr-HR" sz="1100" b="0" baseline="0">
                  <a:solidFill>
                    <a:schemeClr val="dk1"/>
                  </a:solidFill>
                  <a:effectLst/>
                  <a:latin typeface="+mn-lt"/>
                  <a:ea typeface="+mn-ea"/>
                  <a:cs typeface="+mn-cs"/>
                </a:rPr>
                <a:t>interpretacija parametra </a:t>
              </a:r>
              <a:r>
                <a:rPr lang="hr-HR" sz="1100" b="0" i="1" baseline="0">
                  <a:solidFill>
                    <a:schemeClr val="dk1"/>
                  </a:solidFill>
                  <a:effectLst/>
                  <a:latin typeface="+mn-lt"/>
                  <a:ea typeface="+mn-ea"/>
                  <a:cs typeface="+mn-cs"/>
                </a:rPr>
                <a:t>a</a:t>
              </a:r>
              <a:r>
                <a:rPr lang="hr-HR" sz="1100" b="0" i="0" baseline="0">
                  <a:solidFill>
                    <a:schemeClr val="dk1"/>
                  </a:solidFill>
                  <a:effectLst/>
                  <a:latin typeface="+mn-lt"/>
                  <a:ea typeface="+mn-ea"/>
                  <a:cs typeface="+mn-cs"/>
                </a:rPr>
                <a:t>: za vrijednost varijable x nula, vrijednost y u prosjeku  iznosi </a:t>
              </a:r>
              <a:r>
                <a:rPr lang="hr-HR" sz="1100" b="0" i="1" baseline="0">
                  <a:solidFill>
                    <a:schemeClr val="dk1"/>
                  </a:solidFill>
                  <a:effectLst/>
                  <a:latin typeface="+mn-lt"/>
                  <a:ea typeface="+mn-ea"/>
                  <a:cs typeface="+mn-cs"/>
                </a:rPr>
                <a:t>a</a:t>
              </a:r>
              <a:r>
                <a:rPr lang="hr-HR" sz="1100" b="0" i="0" baseline="0">
                  <a:solidFill>
                    <a:schemeClr val="dk1"/>
                  </a:solidFill>
                  <a:effectLst/>
                  <a:latin typeface="+mn-lt"/>
                  <a:ea typeface="+mn-ea"/>
                  <a:cs typeface="+mn-cs"/>
                </a:rPr>
                <a:t> jedinica.</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a:effectLst/>
                </a:rPr>
                <a:t>Ako je c &gt; 0,05 tada se računa parametar </a:t>
              </a:r>
              <a:r>
                <a:rPr lang="hr-HR" i="1">
                  <a:effectLst/>
                </a:rPr>
                <a:t>b</a:t>
              </a:r>
              <a:r>
                <a:rPr lang="hr-HR" i="0">
                  <a:effectLst/>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Parametar</a:t>
              </a:r>
              <a:r>
                <a:rPr lang="hr-HR" sz="1100" baseline="0">
                  <a:solidFill>
                    <a:schemeClr val="dk1"/>
                  </a:solidFill>
                  <a:effectLst/>
                  <a:latin typeface="+mn-lt"/>
                  <a:ea typeface="+mn-ea"/>
                  <a:cs typeface="+mn-cs"/>
                </a:rPr>
                <a:t> </a:t>
              </a:r>
              <a:r>
                <a:rPr lang="hr-HR" sz="1100" i="0" baseline="0">
                  <a:solidFill>
                    <a:schemeClr val="dk1"/>
                  </a:solidFill>
                  <a:effectLst/>
                  <a:latin typeface="Cambria Math" panose="02040503050406030204" pitchFamily="18" charset="0"/>
                  <a:ea typeface="+mn-ea"/>
                  <a:cs typeface="+mn-cs"/>
                </a:rPr>
                <a:t>𝑏</a:t>
              </a:r>
              <a:r>
                <a:rPr lang="hr-HR" sz="1100" baseline="0">
                  <a:solidFill>
                    <a:schemeClr val="dk1"/>
                  </a:solidFill>
                  <a:effectLst/>
                  <a:latin typeface="+mn-lt"/>
                  <a:ea typeface="+mn-ea"/>
                  <a:cs typeface="+mn-cs"/>
                </a:rPr>
                <a:t> se određuje: </a:t>
              </a:r>
              <a:r>
                <a:rPr lang="hr-HR" sz="1100" i="0" baseline="0">
                  <a:solidFill>
                    <a:schemeClr val="dk1"/>
                  </a:solidFill>
                  <a:effectLst/>
                  <a:latin typeface="Cambria Math" panose="02040503050406030204" pitchFamily="18" charset="0"/>
                  <a:ea typeface="+mn-ea"/>
                  <a:cs typeface="+mn-cs"/>
                </a:rPr>
                <a:t>𝑏=𝐸𝑋𝑃(𝑐)</a:t>
              </a:r>
              <a:r>
                <a:rPr lang="hr-HR" sz="1100">
                  <a:solidFill>
                    <a:schemeClr val="dk1"/>
                  </a:solidFill>
                  <a:effectLst/>
                  <a:latin typeface="+mn-lt"/>
                  <a:ea typeface="+mn-ea"/>
                  <a:cs typeface="+mn-cs"/>
                </a:rPr>
                <a:t>.</a:t>
              </a:r>
              <a:endParaRPr lang="hr-HR">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i="0">
                  <a:solidFill>
                    <a:schemeClr val="dk1"/>
                  </a:solidFill>
                  <a:effectLst/>
                  <a:latin typeface="Cambria Math" panose="02040503050406030204" pitchFamily="18" charset="0"/>
                  <a:ea typeface="+mn-ea"/>
                  <a:cs typeface="+mn-cs"/>
                </a:rPr>
                <a:t>𝑓(𝑥)=𝑎</a:t>
              </a:r>
              <a:r>
                <a:rPr lang="hr-HR" sz="1100" i="0">
                  <a:solidFill>
                    <a:schemeClr val="dk1"/>
                  </a:solidFill>
                  <a:effectLst/>
                  <a:latin typeface="Cambria Math" panose="02040503050406030204" pitchFamily="18" charset="0"/>
                  <a:ea typeface="Cambria Math" panose="02040503050406030204" pitchFamily="18" charset="0"/>
                  <a:cs typeface="+mn-cs"/>
                </a:rPr>
                <a:t>∙</a:t>
              </a:r>
              <a:r>
                <a:rPr lang="hr-HR" sz="1100" b="0" i="0">
                  <a:solidFill>
                    <a:schemeClr val="dk1"/>
                  </a:solidFill>
                  <a:effectLst/>
                  <a:latin typeface="Cambria Math" panose="02040503050406030204" pitchFamily="18" charset="0"/>
                  <a:ea typeface="+mn-ea"/>
                  <a:cs typeface="+mn-cs"/>
                </a:rPr>
                <a:t>𝑏^𝑥</a:t>
              </a:r>
              <a:endParaRPr lang="hr-H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je npr. </a:t>
              </a:r>
              <a:r>
                <a:rPr lang="hr-HR" sz="1100" i="0" baseline="0">
                  <a:solidFill>
                    <a:schemeClr val="dk1"/>
                  </a:solidFill>
                  <a:effectLst/>
                  <a:latin typeface="Cambria Math" panose="02040503050406030204" pitchFamily="18" charset="0"/>
                  <a:ea typeface="+mn-ea"/>
                  <a:cs typeface="+mn-cs"/>
                </a:rPr>
                <a:t>𝑏=1,03 </a:t>
              </a:r>
              <a:r>
                <a:rPr lang="hr-HR" sz="1100" baseline="0">
                  <a:solidFill>
                    <a:schemeClr val="dk1"/>
                  </a:solidFill>
                  <a:effectLst/>
                  <a:latin typeface="+mn-lt"/>
                  <a:ea typeface="+mn-ea"/>
                  <a:cs typeface="+mn-cs"/>
                </a:rPr>
                <a:t>prosječna postotna promjena iznosi </a:t>
              </a:r>
              <a:r>
                <a:rPr lang="hr-HR" sz="1100" i="0" baseline="0">
                  <a:solidFill>
                    <a:schemeClr val="dk1"/>
                  </a:solidFill>
                  <a:effectLst/>
                  <a:latin typeface="Cambria Math" panose="02040503050406030204" pitchFamily="18" charset="0"/>
                  <a:ea typeface="+mn-ea"/>
                  <a:cs typeface="+mn-cs"/>
                </a:rPr>
                <a:t>(</a:t>
              </a:r>
              <a:r>
                <a:rPr lang="hr-HR" sz="1100" b="0" i="0" baseline="0">
                  <a:solidFill>
                    <a:schemeClr val="dk1"/>
                  </a:solidFill>
                  <a:effectLst/>
                  <a:latin typeface="Cambria Math" panose="02040503050406030204" pitchFamily="18" charset="0"/>
                  <a:ea typeface="+mn-ea"/>
                  <a:cs typeface="+mn-cs"/>
                </a:rPr>
                <a:t>𝑏</a:t>
              </a:r>
              <a:r>
                <a:rPr lang="hr-HR" sz="1100" i="0" baseline="0">
                  <a:solidFill>
                    <a:schemeClr val="dk1"/>
                  </a:solidFill>
                  <a:effectLst/>
                  <a:latin typeface="Cambria Math" panose="02040503050406030204" pitchFamily="18" charset="0"/>
                  <a:ea typeface="+mn-ea"/>
                  <a:cs typeface="+mn-cs"/>
                </a:rPr>
                <a:t>−1)=(1,03−1)=0,03=3%</a:t>
              </a:r>
              <a:r>
                <a:rPr lang="hr-HR"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hr-HR" sz="1100">
                  <a:solidFill>
                    <a:schemeClr val="dk1"/>
                  </a:solidFill>
                  <a:effectLst/>
                  <a:latin typeface="+mn-lt"/>
                  <a:ea typeface="+mn-ea"/>
                  <a:cs typeface="+mn-cs"/>
                </a:rPr>
                <a:t>Ako</a:t>
              </a:r>
              <a:r>
                <a:rPr lang="hr-HR" sz="1100" baseline="0">
                  <a:solidFill>
                    <a:schemeClr val="dk1"/>
                  </a:solidFill>
                  <a:effectLst/>
                  <a:latin typeface="+mn-lt"/>
                  <a:ea typeface="+mn-ea"/>
                  <a:cs typeface="+mn-cs"/>
                </a:rPr>
                <a:t> je postotni rast 7,2 % tada je </a:t>
              </a:r>
              <a:r>
                <a:rPr lang="hr-HR" sz="1100" i="0" baseline="0">
                  <a:solidFill>
                    <a:schemeClr val="dk1"/>
                  </a:solidFill>
                  <a:effectLst/>
                  <a:latin typeface="Cambria Math" panose="02040503050406030204" pitchFamily="18" charset="0"/>
                  <a:ea typeface="+mn-ea"/>
                  <a:cs typeface="+mn-cs"/>
                </a:rPr>
                <a:t>𝑏=1,072</a:t>
              </a:r>
              <a:r>
                <a:rPr lang="hr-HR" sz="1100" baseline="0">
                  <a:solidFill>
                    <a:schemeClr val="dk1"/>
                  </a:solidFill>
                  <a:effectLst/>
                  <a:latin typeface="+mn-lt"/>
                  <a:ea typeface="+mn-ea"/>
                  <a:cs typeface="+mn-cs"/>
                </a:rPr>
                <a:t>.</a:t>
              </a:r>
              <a:endParaRPr lang="hr-HR" sz="1100">
                <a:solidFill>
                  <a:schemeClr val="dk1"/>
                </a:solidFill>
                <a:effectLst/>
                <a:latin typeface="+mn-lt"/>
                <a:ea typeface="+mn-ea"/>
                <a:cs typeface="+mn-cs"/>
              </a:endParaRPr>
            </a:p>
            <a:p>
              <a:endParaRPr lang="hr-HR" sz="1100" baseline="0"/>
            </a:p>
            <a:p>
              <a:endParaRPr lang="hr-HR" b="0">
                <a:effectLst/>
                <a:ea typeface="Cambria Math" panose="02040503050406030204" pitchFamily="18" charset="0"/>
              </a:endParaRP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3</xdr:col>
      <xdr:colOff>579120</xdr:colOff>
      <xdr:row>14</xdr:row>
      <xdr:rowOff>144780</xdr:rowOff>
    </xdr:from>
    <xdr:to>
      <xdr:col>11</xdr:col>
      <xdr:colOff>396240</xdr:colOff>
      <xdr:row>30</xdr:row>
      <xdr:rowOff>83820</xdr:rowOff>
    </xdr:to>
    <xdr:graphicFrame macro="">
      <xdr:nvGraphicFramePr>
        <xdr:cNvPr id="2" name="Grafikon 1">
          <a:extLst>
            <a:ext uri="{FF2B5EF4-FFF2-40B4-BE49-F238E27FC236}">
              <a16:creationId xmlns:a16="http://schemas.microsoft.com/office/drawing/2014/main" id="{A11248A3-46B5-53CC-5F8E-EA2BF548E6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1074420</xdr:colOff>
      <xdr:row>3</xdr:row>
      <xdr:rowOff>99060</xdr:rowOff>
    </xdr:from>
    <xdr:to>
      <xdr:col>10</xdr:col>
      <xdr:colOff>53340</xdr:colOff>
      <xdr:row>16</xdr:row>
      <xdr:rowOff>160020</xdr:rowOff>
    </xdr:to>
    <xdr:graphicFrame macro="">
      <xdr:nvGraphicFramePr>
        <xdr:cNvPr id="2" name="Grafikon 1">
          <a:extLst>
            <a:ext uri="{FF2B5EF4-FFF2-40B4-BE49-F238E27FC236}">
              <a16:creationId xmlns:a16="http://schemas.microsoft.com/office/drawing/2014/main" id="{A16C7FDC-2F5F-1F9E-615A-9B9C70A171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152400</xdr:colOff>
      <xdr:row>6</xdr:row>
      <xdr:rowOff>129540</xdr:rowOff>
    </xdr:from>
    <xdr:to>
      <xdr:col>11</xdr:col>
      <xdr:colOff>563880</xdr:colOff>
      <xdr:row>22</xdr:row>
      <xdr:rowOff>68580</xdr:rowOff>
    </xdr:to>
    <xdr:graphicFrame macro="">
      <xdr:nvGraphicFramePr>
        <xdr:cNvPr id="2" name="Grafikon 1">
          <a:extLst>
            <a:ext uri="{FF2B5EF4-FFF2-40B4-BE49-F238E27FC236}">
              <a16:creationId xmlns:a16="http://schemas.microsoft.com/office/drawing/2014/main" id="{913BBAB9-8C9D-B0F8-0DB7-9093251AEE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000"/>
  <sheetViews>
    <sheetView tabSelected="1" workbookViewId="0">
      <selection activeCell="C1" sqref="C1"/>
    </sheetView>
  </sheetViews>
  <sheetFormatPr defaultColWidth="14.453125" defaultRowHeight="15" customHeight="1"/>
  <cols>
    <col min="1" max="1" width="17.36328125" customWidth="1"/>
    <col min="2" max="2" width="17.6328125" customWidth="1"/>
    <col min="3" max="3" width="14.6328125" customWidth="1"/>
    <col min="4" max="4" width="12.36328125" customWidth="1"/>
    <col min="5" max="5" width="10.453125" customWidth="1"/>
    <col min="6" max="26" width="8.6328125" customWidth="1"/>
  </cols>
  <sheetData>
    <row r="1" spans="1:8" ht="26">
      <c r="C1" s="1" t="s">
        <v>0</v>
      </c>
      <c r="F1" s="2"/>
      <c r="H1" s="3" t="s">
        <v>1</v>
      </c>
    </row>
    <row r="2" spans="1:8" ht="15" customHeight="1">
      <c r="C2" s="179" t="s">
        <v>276</v>
      </c>
      <c r="H2" s="3" t="s">
        <v>2</v>
      </c>
    </row>
    <row r="3" spans="1:8" ht="15" customHeight="1">
      <c r="C3" s="179" t="s">
        <v>275</v>
      </c>
    </row>
    <row r="6" spans="1:8" ht="15" customHeight="1">
      <c r="A6" s="4" t="s">
        <v>273</v>
      </c>
    </row>
    <row r="7" spans="1:8" ht="15" customHeight="1">
      <c r="A7" s="5" t="s">
        <v>3</v>
      </c>
      <c r="B7" s="6" t="s">
        <v>4</v>
      </c>
    </row>
    <row r="8" spans="1:8" ht="15" customHeight="1">
      <c r="A8" s="5" t="s">
        <v>5</v>
      </c>
      <c r="B8" s="6" t="s">
        <v>4</v>
      </c>
    </row>
    <row r="9" spans="1:8" ht="15" customHeight="1">
      <c r="A9" s="5" t="s">
        <v>6</v>
      </c>
      <c r="B9" s="6" t="s">
        <v>4</v>
      </c>
    </row>
    <row r="10" spans="1:8" ht="15" customHeight="1">
      <c r="A10" s="5" t="s">
        <v>7</v>
      </c>
      <c r="B10" s="6" t="s">
        <v>4</v>
      </c>
    </row>
    <row r="12" spans="1:8" ht="14.25" customHeight="1">
      <c r="A12" s="7"/>
      <c r="B12" s="180"/>
      <c r="C12" s="181"/>
      <c r="D12" s="180"/>
      <c r="E12" s="181"/>
      <c r="F12" s="8" t="s">
        <v>8</v>
      </c>
    </row>
    <row r="13" spans="1:8" ht="14.25" customHeight="1">
      <c r="A13" s="9" t="s">
        <v>9</v>
      </c>
      <c r="B13" s="8" t="s">
        <v>10</v>
      </c>
      <c r="C13" s="8" t="s">
        <v>11</v>
      </c>
      <c r="D13" s="8" t="s">
        <v>12</v>
      </c>
      <c r="E13" s="8" t="s">
        <v>13</v>
      </c>
      <c r="F13" s="8"/>
    </row>
    <row r="14" spans="1:8" ht="14.25" customHeight="1">
      <c r="A14" s="9" t="s">
        <v>14</v>
      </c>
      <c r="B14" s="10">
        <v>21</v>
      </c>
      <c r="C14" s="10">
        <v>21</v>
      </c>
      <c r="D14" s="10">
        <v>21</v>
      </c>
      <c r="E14" s="10">
        <v>21</v>
      </c>
      <c r="F14" s="10">
        <v>84</v>
      </c>
    </row>
    <row r="15" spans="1:8" ht="14.25" customHeight="1">
      <c r="A15" s="9" t="s">
        <v>15</v>
      </c>
      <c r="B15" s="11" t="s">
        <v>16</v>
      </c>
      <c r="C15" s="11" t="s">
        <v>16</v>
      </c>
      <c r="D15" s="11" t="s">
        <v>16</v>
      </c>
      <c r="E15" s="11" t="s">
        <v>16</v>
      </c>
      <c r="F15" s="11" t="s">
        <v>17</v>
      </c>
    </row>
    <row r="16" spans="1:8" ht="14.25" customHeight="1">
      <c r="A16" s="12"/>
      <c r="B16" s="13"/>
      <c r="C16" s="13"/>
      <c r="D16" s="13"/>
      <c r="E16" s="13"/>
      <c r="F16" s="13"/>
    </row>
    <row r="17" spans="1:1" ht="21">
      <c r="A17" s="2" t="s">
        <v>18</v>
      </c>
    </row>
    <row r="18" spans="1:1" ht="14.25" customHeight="1"/>
    <row r="19" spans="1:1" ht="14.25" customHeight="1"/>
    <row r="20" spans="1:1" ht="14.25" customHeight="1">
      <c r="A20" s="116" t="s">
        <v>19</v>
      </c>
    </row>
    <row r="21" spans="1:1" ht="14.25" customHeight="1"/>
    <row r="22" spans="1:1" ht="14.25" customHeight="1">
      <c r="A22" s="177" t="s">
        <v>272</v>
      </c>
    </row>
    <row r="23" spans="1:1" ht="14.25" customHeight="1"/>
    <row r="24" spans="1:1" ht="14.25" customHeight="1">
      <c r="A24" s="116" t="s">
        <v>20</v>
      </c>
    </row>
    <row r="25" spans="1:1" ht="14.25" customHeight="1"/>
    <row r="26" spans="1:1" ht="14.25" customHeight="1">
      <c r="A26" s="116" t="s">
        <v>21</v>
      </c>
    </row>
    <row r="27" spans="1:1" ht="14.25" customHeight="1"/>
    <row r="28" spans="1:1" ht="14.25" customHeight="1">
      <c r="A28" s="116" t="s">
        <v>22</v>
      </c>
    </row>
    <row r="29" spans="1:1" ht="14.25" customHeight="1"/>
    <row r="30" spans="1:1" ht="14.25" customHeight="1">
      <c r="A30" s="116" t="s">
        <v>253</v>
      </c>
    </row>
    <row r="31" spans="1:1" ht="14.25" customHeight="1"/>
    <row r="32" spans="1:1" ht="14.25" customHeight="1">
      <c r="A32" s="116" t="s">
        <v>23</v>
      </c>
    </row>
    <row r="33" spans="1:1" ht="14.25" customHeight="1"/>
    <row r="34" spans="1:1" ht="14.25" customHeight="1">
      <c r="A34" s="116" t="s">
        <v>24</v>
      </c>
    </row>
    <row r="35" spans="1:1" ht="14.25" customHeight="1">
      <c r="A35" s="116" t="s">
        <v>25</v>
      </c>
    </row>
    <row r="36" spans="1:1" ht="14.25" customHeight="1">
      <c r="A36" s="116" t="s">
        <v>26</v>
      </c>
    </row>
    <row r="37" spans="1:1" ht="14.25" customHeight="1">
      <c r="A37" s="116" t="s">
        <v>27</v>
      </c>
    </row>
    <row r="38" spans="1:1" ht="14.25" customHeight="1"/>
    <row r="39" spans="1:1" ht="14.25" customHeight="1"/>
    <row r="40" spans="1:1" ht="14.25" customHeight="1"/>
    <row r="41" spans="1:1" ht="14.25" customHeight="1"/>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B12:C12"/>
    <mergeCell ref="D12:E12"/>
  </mergeCells>
  <dataValidations count="1">
    <dataValidation type="list" allowBlank="1" showErrorMessage="1" sqref="B7:B10" xr:uid="{00000000-0002-0000-0000-000000000000}">
      <formula1>"ne,da"</formula1>
    </dataValidation>
  </dataValidations>
  <pageMargins left="0.7" right="0.7" top="0.75" bottom="0.7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AB1000"/>
  <sheetViews>
    <sheetView workbookViewId="0"/>
  </sheetViews>
  <sheetFormatPr defaultColWidth="14.453125" defaultRowHeight="15" customHeight="1"/>
  <cols>
    <col min="1" max="1" width="11.36328125" customWidth="1"/>
    <col min="2" max="2" width="13.90625" customWidth="1"/>
    <col min="3" max="3" width="14" customWidth="1"/>
    <col min="4" max="4" width="9.6328125" customWidth="1"/>
    <col min="5" max="5" width="8.6328125" customWidth="1"/>
    <col min="6" max="6" width="9.6328125" customWidth="1"/>
    <col min="7" max="7" width="11.453125" customWidth="1"/>
    <col min="8" max="8" width="9" customWidth="1"/>
    <col min="9" max="9" width="8" customWidth="1"/>
    <col min="10" max="10" width="12.36328125" customWidth="1"/>
    <col min="11" max="11" width="12.453125" customWidth="1"/>
    <col min="12" max="13" width="14.36328125" customWidth="1"/>
    <col min="14" max="14" width="10" customWidth="1"/>
    <col min="15" max="16" width="13" customWidth="1"/>
    <col min="17" max="17" width="8.6328125" customWidth="1"/>
    <col min="18" max="18" width="12.6328125" customWidth="1"/>
    <col min="19" max="19" width="6.453125" customWidth="1"/>
    <col min="20" max="20" width="12.36328125" customWidth="1"/>
    <col min="21" max="21" width="12.453125" customWidth="1"/>
    <col min="22" max="23" width="19.36328125" customWidth="1"/>
    <col min="24" max="25" width="9.36328125" customWidth="1"/>
    <col min="26" max="26" width="9.6328125" customWidth="1"/>
    <col min="27" max="28" width="8.6328125" customWidth="1"/>
  </cols>
  <sheetData>
    <row r="1" spans="1:28" ht="14.25" customHeight="1">
      <c r="A1" s="15" t="s">
        <v>178</v>
      </c>
      <c r="B1" s="15" t="s">
        <v>28</v>
      </c>
      <c r="C1" s="89" t="s">
        <v>179</v>
      </c>
      <c r="D1" s="89" t="s">
        <v>180</v>
      </c>
      <c r="E1" s="89" t="s">
        <v>181</v>
      </c>
      <c r="F1" s="89" t="s">
        <v>182</v>
      </c>
      <c r="H1" s="182" t="s">
        <v>3</v>
      </c>
      <c r="I1" s="183"/>
      <c r="J1" s="183"/>
      <c r="K1" s="183"/>
      <c r="L1" s="183"/>
      <c r="M1" s="183"/>
      <c r="N1" s="183"/>
      <c r="O1" s="183"/>
      <c r="P1" s="183"/>
      <c r="Q1" s="181"/>
      <c r="R1" s="184" t="s">
        <v>5</v>
      </c>
      <c r="S1" s="183"/>
      <c r="T1" s="183"/>
      <c r="U1" s="181"/>
      <c r="V1" s="185" t="s">
        <v>6</v>
      </c>
      <c r="W1" s="183"/>
      <c r="X1" s="183"/>
      <c r="Y1" s="181"/>
      <c r="Z1" s="186" t="s">
        <v>7</v>
      </c>
      <c r="AA1" s="183"/>
      <c r="AB1" s="181"/>
    </row>
    <row r="2" spans="1:28" ht="14.25" customHeight="1">
      <c r="A2" s="15" t="e">
        <f>uvod!#REF!</f>
        <v>#REF!</v>
      </c>
      <c r="B2" s="15" t="e">
        <f>uvod!#REF!</f>
        <v>#REF!</v>
      </c>
      <c r="C2" s="89">
        <f>F19</f>
        <v>21</v>
      </c>
      <c r="D2" s="89">
        <f>P25+Z12+F34+P37</f>
        <v>21</v>
      </c>
      <c r="E2" s="89">
        <f>Z37+F60+P58+Z61</f>
        <v>16</v>
      </c>
      <c r="F2" s="89">
        <f>F82+P87+Z84</f>
        <v>14</v>
      </c>
      <c r="H2" s="90" t="s">
        <v>183</v>
      </c>
      <c r="I2" s="90" t="s">
        <v>184</v>
      </c>
      <c r="J2" s="90" t="s">
        <v>185</v>
      </c>
      <c r="K2" s="90" t="s">
        <v>186</v>
      </c>
      <c r="L2" s="90" t="s">
        <v>187</v>
      </c>
      <c r="M2" s="90" t="s">
        <v>188</v>
      </c>
      <c r="N2" s="90" t="s">
        <v>189</v>
      </c>
      <c r="O2" s="90" t="s">
        <v>190</v>
      </c>
      <c r="P2" s="90" t="s">
        <v>191</v>
      </c>
      <c r="Q2" s="90" t="s">
        <v>192</v>
      </c>
      <c r="R2" s="91" t="s">
        <v>193</v>
      </c>
      <c r="S2" s="91" t="s">
        <v>194</v>
      </c>
      <c r="T2" s="91" t="s">
        <v>195</v>
      </c>
      <c r="U2" s="91" t="s">
        <v>196</v>
      </c>
      <c r="V2" s="92" t="s">
        <v>197</v>
      </c>
      <c r="W2" s="92" t="s">
        <v>198</v>
      </c>
      <c r="X2" s="92" t="s">
        <v>199</v>
      </c>
      <c r="Y2" s="92" t="s">
        <v>200</v>
      </c>
      <c r="Z2" s="93" t="s">
        <v>201</v>
      </c>
      <c r="AA2" s="93" t="s">
        <v>202</v>
      </c>
      <c r="AB2" s="93" t="s">
        <v>203</v>
      </c>
    </row>
    <row r="3" spans="1:28" ht="14.25" customHeight="1">
      <c r="A3" s="15"/>
      <c r="B3" s="15"/>
      <c r="C3" s="89" t="s">
        <v>269</v>
      </c>
      <c r="D3" s="89" t="s">
        <v>269</v>
      </c>
      <c r="E3" s="89" t="s">
        <v>269</v>
      </c>
      <c r="F3" s="89" t="s">
        <v>269</v>
      </c>
      <c r="H3" s="90">
        <f>F9</f>
        <v>2</v>
      </c>
      <c r="I3" s="90">
        <f>F10</f>
        <v>2</v>
      </c>
      <c r="J3" s="90">
        <f>F11</f>
        <v>2</v>
      </c>
      <c r="K3" s="90">
        <f>F12</f>
        <v>2</v>
      </c>
      <c r="L3" s="90">
        <f>F13</f>
        <v>2</v>
      </c>
      <c r="M3" s="90">
        <f>F14</f>
        <v>3</v>
      </c>
      <c r="N3" s="90">
        <f>F15</f>
        <v>2</v>
      </c>
      <c r="O3" s="90">
        <f>F16</f>
        <v>2</v>
      </c>
      <c r="P3" s="90">
        <f>F17</f>
        <v>2</v>
      </c>
      <c r="Q3" s="90">
        <f>F18</f>
        <v>2</v>
      </c>
      <c r="R3" s="91">
        <f>ROUND(P25,1)</f>
        <v>6</v>
      </c>
      <c r="S3" s="91">
        <f>Z12</f>
        <v>5</v>
      </c>
      <c r="T3" s="91">
        <f>F34</f>
        <v>4</v>
      </c>
      <c r="U3" s="91">
        <f>P37</f>
        <v>6</v>
      </c>
      <c r="V3" s="92">
        <f>Z37</f>
        <v>6</v>
      </c>
      <c r="W3" s="92">
        <f>F60</f>
        <v>5</v>
      </c>
      <c r="X3" s="92">
        <f>P58</f>
        <v>0</v>
      </c>
      <c r="Y3" s="92">
        <f>Z61</f>
        <v>5</v>
      </c>
      <c r="Z3" s="93">
        <f>F82</f>
        <v>5</v>
      </c>
      <c r="AA3" s="93">
        <f>P87</f>
        <v>6</v>
      </c>
      <c r="AB3" s="93">
        <f>Z84</f>
        <v>3</v>
      </c>
    </row>
    <row r="4" spans="1:28" ht="14.25" customHeight="1">
      <c r="A4" s="15"/>
      <c r="B4" s="15" t="s">
        <v>204</v>
      </c>
      <c r="C4" s="12" t="str">
        <f>uvod!B7</f>
        <v>ne</v>
      </c>
      <c r="D4" s="12" t="str">
        <f>uvod!B8</f>
        <v>ne</v>
      </c>
      <c r="E4" s="12" t="str">
        <f>uvod!B9</f>
        <v>ne</v>
      </c>
      <c r="F4" s="12" t="str">
        <f>uvod!B10</f>
        <v>ne</v>
      </c>
    </row>
    <row r="5" spans="1:28" ht="14.25" customHeight="1">
      <c r="A5" s="15"/>
      <c r="B5" s="15"/>
    </row>
    <row r="6" spans="1:28" ht="14.25" customHeight="1">
      <c r="L6" s="94" t="s">
        <v>205</v>
      </c>
      <c r="M6" s="95">
        <v>0.18</v>
      </c>
      <c r="N6" s="94" t="s">
        <v>206</v>
      </c>
      <c r="O6" s="15">
        <v>21000</v>
      </c>
    </row>
    <row r="7" spans="1:28" ht="14.25" customHeight="1">
      <c r="A7" s="3" t="s">
        <v>207</v>
      </c>
    </row>
    <row r="8" spans="1:28" ht="14.25" customHeight="1">
      <c r="A8" s="28" t="s">
        <v>208</v>
      </c>
      <c r="B8" s="28" t="s">
        <v>209</v>
      </c>
      <c r="C8" s="28" t="s">
        <v>210</v>
      </c>
      <c r="D8" s="28" t="s">
        <v>211</v>
      </c>
      <c r="E8" s="28" t="s">
        <v>212</v>
      </c>
      <c r="F8" s="28" t="s">
        <v>213</v>
      </c>
      <c r="G8" s="28" t="s">
        <v>214</v>
      </c>
      <c r="H8" s="96"/>
      <c r="I8" s="97"/>
      <c r="J8" s="96"/>
      <c r="K8" s="28" t="s">
        <v>208</v>
      </c>
      <c r="L8" s="28" t="s">
        <v>209</v>
      </c>
      <c r="M8" s="28" t="s">
        <v>210</v>
      </c>
      <c r="N8" s="28" t="s">
        <v>211</v>
      </c>
      <c r="O8" s="28" t="s">
        <v>212</v>
      </c>
      <c r="P8" s="28" t="s">
        <v>213</v>
      </c>
      <c r="Q8" s="28" t="s">
        <v>214</v>
      </c>
      <c r="S8" s="98"/>
      <c r="U8" s="28" t="s">
        <v>208</v>
      </c>
      <c r="V8" s="28" t="s">
        <v>209</v>
      </c>
      <c r="W8" s="28" t="s">
        <v>210</v>
      </c>
      <c r="X8" s="28" t="s">
        <v>211</v>
      </c>
      <c r="Y8" s="28" t="s">
        <v>212</v>
      </c>
      <c r="Z8" s="28" t="s">
        <v>213</v>
      </c>
      <c r="AA8" s="28" t="s">
        <v>214</v>
      </c>
    </row>
    <row r="9" spans="1:28" ht="14.25" customHeight="1">
      <c r="A9" s="28">
        <v>1</v>
      </c>
      <c r="B9" s="99">
        <v>2.214</v>
      </c>
      <c r="C9" s="99">
        <f>'1. ish zad 1-10'!C3</f>
        <v>2.214</v>
      </c>
      <c r="D9" s="29">
        <f>IF(ROUND(B9,2)=ROUND(C9,2),2,0)</f>
        <v>2</v>
      </c>
      <c r="E9" s="100"/>
      <c r="F9" s="29">
        <f t="shared" ref="F9:F18" si="0">IF(ISBLANK(E9),D9,E9)</f>
        <v>2</v>
      </c>
      <c r="G9" s="29" t="s">
        <v>215</v>
      </c>
      <c r="H9" s="15"/>
      <c r="I9" s="101"/>
      <c r="J9" s="15"/>
      <c r="K9" s="102">
        <v>11</v>
      </c>
      <c r="L9" s="176">
        <v>210</v>
      </c>
      <c r="M9" s="176">
        <f>'2. ish zad 11'!C10</f>
        <v>210</v>
      </c>
      <c r="N9" s="29">
        <f>IF(ROUND(L9,2)=ROUND(M9,2),0.375,0)</f>
        <v>0.375</v>
      </c>
      <c r="O9" s="100"/>
      <c r="P9" s="29">
        <f t="shared" ref="P9:P24" si="1">IF(ISBLANK(O9),N9,O9)</f>
        <v>0.375</v>
      </c>
      <c r="Q9" s="29" t="s">
        <v>271</v>
      </c>
      <c r="S9" s="98"/>
      <c r="U9" s="43">
        <v>12</v>
      </c>
      <c r="V9" s="103">
        <v>18848.203874999996</v>
      </c>
      <c r="W9" s="103">
        <f>'2. ish zad 12'!C14</f>
        <v>18848.203874999996</v>
      </c>
      <c r="X9" s="29">
        <f t="shared" ref="X9:X10" si="2">IF(ROUND(V9,2)=ROUND(W9,2),1,0)</f>
        <v>1</v>
      </c>
      <c r="Y9" s="104"/>
      <c r="Z9" s="29">
        <f t="shared" ref="Z9:Z11" si="3">IF(ISBLANK(Y9),X9,Y9)</f>
        <v>1</v>
      </c>
      <c r="AA9" s="29" t="s">
        <v>216</v>
      </c>
    </row>
    <row r="10" spans="1:28" ht="14.25" customHeight="1">
      <c r="A10" s="28">
        <v>2</v>
      </c>
      <c r="B10" s="105">
        <v>8.165487207403288E-3</v>
      </c>
      <c r="C10" s="105">
        <f>'1. ish zad 1-10'!C8</f>
        <v>8.165487207403288E-3</v>
      </c>
      <c r="D10" s="29">
        <f>IF(ABS(ROUND(B10,4))=ABS(ROUND(C10,4)),2,IF(ROUND(B10,4)+1=ROUND(C10,4),"provjeri odgovor",0))</f>
        <v>2</v>
      </c>
      <c r="E10" s="100"/>
      <c r="F10" s="29">
        <f t="shared" si="0"/>
        <v>2</v>
      </c>
      <c r="G10" s="29" t="s">
        <v>215</v>
      </c>
      <c r="H10" s="15"/>
      <c r="I10" s="101"/>
      <c r="J10" s="15"/>
      <c r="K10" s="15"/>
      <c r="L10" s="176">
        <v>70</v>
      </c>
      <c r="M10" s="176">
        <f>'2. ish zad 11'!C11</f>
        <v>70</v>
      </c>
      <c r="N10" s="29">
        <f t="shared" ref="N10:N24" si="4">IF(ROUND(L10,2)=ROUND(M10,2),0.375,0)</f>
        <v>0.375</v>
      </c>
      <c r="O10" s="100"/>
      <c r="P10" s="29">
        <f t="shared" si="1"/>
        <v>0.375</v>
      </c>
      <c r="Q10" s="29" t="s">
        <v>271</v>
      </c>
      <c r="S10" s="98"/>
      <c r="V10" s="103">
        <v>15216.500399946486</v>
      </c>
      <c r="W10" s="103">
        <f>'2. ish zad 12'!C16</f>
        <v>15216.500399946486</v>
      </c>
      <c r="X10" s="29">
        <f t="shared" si="2"/>
        <v>1</v>
      </c>
      <c r="Y10" s="104"/>
      <c r="Z10" s="29">
        <f t="shared" si="3"/>
        <v>1</v>
      </c>
      <c r="AA10" s="29" t="s">
        <v>216</v>
      </c>
    </row>
    <row r="11" spans="1:28" ht="14.25" customHeight="1">
      <c r="A11" s="28">
        <v>3</v>
      </c>
      <c r="B11" s="105">
        <v>0.68333333333333335</v>
      </c>
      <c r="C11" s="105">
        <f>'1. ish zad 1-10'!C13</f>
        <v>0.68333333333333335</v>
      </c>
      <c r="D11" s="29">
        <f>IF(ROUND(B11,4)=ROUND(C11,4),2,0)</f>
        <v>2</v>
      </c>
      <c r="E11" s="100"/>
      <c r="F11" s="29">
        <f t="shared" si="0"/>
        <v>2</v>
      </c>
      <c r="G11" s="29" t="s">
        <v>215</v>
      </c>
      <c r="H11" s="15"/>
      <c r="I11" s="101"/>
      <c r="J11" s="15"/>
      <c r="K11" s="15"/>
      <c r="L11" s="176">
        <v>280</v>
      </c>
      <c r="M11" s="176">
        <f>'2. ish zad 11'!C12</f>
        <v>280</v>
      </c>
      <c r="N11" s="29">
        <f t="shared" si="4"/>
        <v>0.375</v>
      </c>
      <c r="O11" s="100"/>
      <c r="P11" s="29">
        <f t="shared" si="1"/>
        <v>0.375</v>
      </c>
      <c r="Q11" s="29" t="s">
        <v>271</v>
      </c>
      <c r="S11" s="98"/>
      <c r="V11" s="103">
        <v>16534.373866801532</v>
      </c>
      <c r="W11" s="103">
        <f>'2. ish zad 12'!C18</f>
        <v>16534.373866801532</v>
      </c>
      <c r="X11" s="29">
        <f>IF(ROUND(V11,2)=ROUND(W11,2),3,0)</f>
        <v>3</v>
      </c>
      <c r="Y11" s="104"/>
      <c r="Z11" s="29">
        <f t="shared" si="3"/>
        <v>3</v>
      </c>
      <c r="AA11" s="29" t="s">
        <v>217</v>
      </c>
    </row>
    <row r="12" spans="1:28" ht="14.25" customHeight="1">
      <c r="A12" s="28">
        <v>4</v>
      </c>
      <c r="B12" s="105">
        <v>0.15384615384615374</v>
      </c>
      <c r="C12" s="105">
        <f>'1. ish zad 1-10'!C18</f>
        <v>0.15384615384615374</v>
      </c>
      <c r="D12" s="29">
        <f>IF(ABS(ROUND(B12,4))=ABS(ROUND(C12,4)),2,IF(ROUND(B12,4)+1=ROUND(C12,4),"provjeri odgovor",0))</f>
        <v>2</v>
      </c>
      <c r="E12" s="100"/>
      <c r="F12" s="29">
        <f t="shared" si="0"/>
        <v>2</v>
      </c>
      <c r="G12" s="29" t="s">
        <v>215</v>
      </c>
      <c r="H12" s="15"/>
      <c r="I12" s="101"/>
      <c r="J12" s="15"/>
      <c r="K12" s="15"/>
      <c r="L12" s="176">
        <v>1120</v>
      </c>
      <c r="M12" s="176">
        <f>'2. ish zad 11'!C13</f>
        <v>1120</v>
      </c>
      <c r="N12" s="29">
        <f t="shared" si="4"/>
        <v>0.375</v>
      </c>
      <c r="O12" s="100"/>
      <c r="P12" s="29">
        <f t="shared" si="1"/>
        <v>0.375</v>
      </c>
      <c r="Q12" s="29" t="s">
        <v>271</v>
      </c>
      <c r="S12" s="98"/>
      <c r="U12" s="28" t="s">
        <v>218</v>
      </c>
      <c r="V12" s="29"/>
      <c r="W12" s="29"/>
      <c r="X12" s="28"/>
      <c r="Y12" s="106"/>
      <c r="Z12" s="28">
        <f>SUM(Z9:Z11)</f>
        <v>5</v>
      </c>
      <c r="AA12" s="28" t="s">
        <v>219</v>
      </c>
    </row>
    <row r="13" spans="1:28" ht="14.25" customHeight="1">
      <c r="A13" s="28">
        <v>5</v>
      </c>
      <c r="B13" s="99">
        <v>3.2550000000000003</v>
      </c>
      <c r="C13" s="99">
        <f>'1. ish zad 1-10'!C23</f>
        <v>3.2550000000000003</v>
      </c>
      <c r="D13" s="29">
        <f t="shared" ref="D13" si="5">IF(ROUND(B13,2)=ROUND(C13,2),2,0)</f>
        <v>2</v>
      </c>
      <c r="E13" s="100"/>
      <c r="F13" s="29">
        <f t="shared" si="0"/>
        <v>2</v>
      </c>
      <c r="G13" s="29" t="s">
        <v>215</v>
      </c>
      <c r="H13" s="15"/>
      <c r="I13" s="101"/>
      <c r="J13" s="15"/>
      <c r="K13" s="15"/>
      <c r="L13" s="176">
        <v>763.17</v>
      </c>
      <c r="M13" s="176">
        <f>'2. ish zad 11'!C14</f>
        <v>763.17</v>
      </c>
      <c r="N13" s="29">
        <f t="shared" si="4"/>
        <v>0.375</v>
      </c>
      <c r="O13" s="100"/>
      <c r="P13" s="29">
        <f t="shared" si="1"/>
        <v>0.375</v>
      </c>
      <c r="Q13" s="29" t="s">
        <v>271</v>
      </c>
      <c r="S13" s="98"/>
    </row>
    <row r="14" spans="1:28" ht="14.25" customHeight="1">
      <c r="A14" s="28">
        <v>6</v>
      </c>
      <c r="B14" s="99">
        <v>60</v>
      </c>
      <c r="C14" s="99">
        <f>'1. ish zad 1-10'!C28</f>
        <v>60</v>
      </c>
      <c r="D14" s="29">
        <f>IF(ROUND(B14,2)=ROUND(C14,2),3,0)</f>
        <v>3</v>
      </c>
      <c r="E14" s="100"/>
      <c r="F14" s="29">
        <f t="shared" si="0"/>
        <v>3</v>
      </c>
      <c r="G14" s="29" t="s">
        <v>270</v>
      </c>
      <c r="H14" s="15"/>
      <c r="I14" s="101"/>
      <c r="J14" s="15"/>
      <c r="K14" s="15"/>
      <c r="L14" s="176">
        <v>763.17</v>
      </c>
      <c r="M14" s="176">
        <f>'2. ish zad 11'!C15</f>
        <v>763.17</v>
      </c>
      <c r="N14" s="29">
        <f t="shared" si="4"/>
        <v>0.375</v>
      </c>
      <c r="O14" s="100"/>
      <c r="P14" s="29">
        <f t="shared" si="1"/>
        <v>0.375</v>
      </c>
      <c r="Q14" s="29" t="s">
        <v>271</v>
      </c>
      <c r="S14" s="98"/>
    </row>
    <row r="15" spans="1:28" ht="14.25" customHeight="1">
      <c r="A15" s="28">
        <v>7</v>
      </c>
      <c r="B15" s="107">
        <v>2375</v>
      </c>
      <c r="C15" s="29">
        <f>'1. ish zad 1-10'!C34</f>
        <v>2375</v>
      </c>
      <c r="D15" s="29">
        <f>IF(B15=C15,2,0)</f>
        <v>2</v>
      </c>
      <c r="E15" s="100"/>
      <c r="F15" s="29">
        <f t="shared" si="0"/>
        <v>2</v>
      </c>
      <c r="G15" s="29" t="s">
        <v>215</v>
      </c>
      <c r="H15" s="15"/>
      <c r="I15" s="101"/>
      <c r="J15" s="15"/>
      <c r="K15" s="15"/>
      <c r="L15" s="176">
        <v>0</v>
      </c>
      <c r="M15" s="176">
        <f>'2. ish zad 11'!C16</f>
        <v>0</v>
      </c>
      <c r="N15" s="29">
        <f t="shared" si="4"/>
        <v>0.375</v>
      </c>
      <c r="O15" s="100"/>
      <c r="P15" s="29">
        <f t="shared" si="1"/>
        <v>0.375</v>
      </c>
      <c r="Q15" s="29" t="s">
        <v>271</v>
      </c>
      <c r="S15" s="98"/>
    </row>
    <row r="16" spans="1:28" ht="14.25" customHeight="1">
      <c r="A16" s="28">
        <v>8</v>
      </c>
      <c r="B16" s="105">
        <v>9.7263157894736843E-2</v>
      </c>
      <c r="C16" s="105">
        <f>'1. ish zad 1-10'!C39</f>
        <v>9.7263157894736843E-2</v>
      </c>
      <c r="D16" s="29">
        <f t="shared" ref="D16:D18" si="6">IF(ROUND(B16,3)=ROUND(C16,3),2,0)</f>
        <v>2</v>
      </c>
      <c r="E16" s="100"/>
      <c r="F16" s="29">
        <f t="shared" si="0"/>
        <v>2</v>
      </c>
      <c r="G16" s="29" t="s">
        <v>215</v>
      </c>
      <c r="H16" s="15"/>
      <c r="I16" s="101"/>
      <c r="J16" s="15"/>
      <c r="K16" s="15"/>
      <c r="L16" s="176">
        <v>356.83000000000004</v>
      </c>
      <c r="M16" s="176">
        <f>'2. ish zad 11'!C17</f>
        <v>356.83000000000004</v>
      </c>
      <c r="N16" s="29">
        <f t="shared" si="4"/>
        <v>0.375</v>
      </c>
      <c r="O16" s="100"/>
      <c r="P16" s="29">
        <f t="shared" si="1"/>
        <v>0.375</v>
      </c>
      <c r="Q16" s="29" t="s">
        <v>271</v>
      </c>
      <c r="S16" s="98"/>
    </row>
    <row r="17" spans="1:27" ht="14.25" customHeight="1">
      <c r="A17" s="28">
        <v>9</v>
      </c>
      <c r="B17" s="105">
        <v>2.3142509135200974E-2</v>
      </c>
      <c r="C17" s="105">
        <f>'1. ish zad 1-10'!C44</f>
        <v>2.3142509135200974E-2</v>
      </c>
      <c r="D17" s="29">
        <f t="shared" si="6"/>
        <v>2</v>
      </c>
      <c r="E17" s="100"/>
      <c r="F17" s="29">
        <f t="shared" si="0"/>
        <v>2</v>
      </c>
      <c r="G17" s="29" t="s">
        <v>215</v>
      </c>
      <c r="H17" s="15"/>
      <c r="I17" s="101"/>
      <c r="J17" s="15"/>
      <c r="K17" s="15"/>
      <c r="L17" s="176">
        <v>71.366000000000014</v>
      </c>
      <c r="M17" s="176">
        <f>'2. ish zad 11'!C18</f>
        <v>71.366000000000014</v>
      </c>
      <c r="N17" s="29">
        <f t="shared" si="4"/>
        <v>0.375</v>
      </c>
      <c r="O17" s="100"/>
      <c r="P17" s="29">
        <f t="shared" si="1"/>
        <v>0.375</v>
      </c>
      <c r="Q17" s="29" t="s">
        <v>271</v>
      </c>
      <c r="S17" s="98"/>
    </row>
    <row r="18" spans="1:27" ht="14.25" customHeight="1">
      <c r="A18" s="28">
        <v>10</v>
      </c>
      <c r="B18" s="105">
        <v>1.5847577092511012</v>
      </c>
      <c r="C18" s="105">
        <f>'1. ish zad 1-10'!C50</f>
        <v>1.5847577092511012</v>
      </c>
      <c r="D18" s="29">
        <f t="shared" si="6"/>
        <v>2</v>
      </c>
      <c r="E18" s="100"/>
      <c r="F18" s="29">
        <f t="shared" si="0"/>
        <v>2</v>
      </c>
      <c r="G18" s="29" t="s">
        <v>215</v>
      </c>
      <c r="H18" s="15"/>
      <c r="I18" s="101"/>
      <c r="J18" s="15"/>
      <c r="K18" s="15"/>
      <c r="L18" s="176"/>
      <c r="M18" s="176">
        <f>'2. ish zad 11'!C19</f>
        <v>0</v>
      </c>
      <c r="N18" s="29">
        <f t="shared" si="4"/>
        <v>0.375</v>
      </c>
      <c r="O18" s="100"/>
      <c r="P18" s="29">
        <f t="shared" si="1"/>
        <v>0.375</v>
      </c>
      <c r="Q18" s="29" t="s">
        <v>271</v>
      </c>
      <c r="S18" s="98"/>
    </row>
    <row r="19" spans="1:27" ht="14.25" customHeight="1">
      <c r="A19" s="28" t="s">
        <v>218</v>
      </c>
      <c r="B19" s="80"/>
      <c r="C19" s="80"/>
      <c r="D19" s="28"/>
      <c r="E19" s="106"/>
      <c r="F19" s="28">
        <f>SUM(F9:F18)</f>
        <v>21</v>
      </c>
      <c r="G19" s="28" t="s">
        <v>269</v>
      </c>
      <c r="H19" s="96"/>
      <c r="I19" s="97"/>
      <c r="J19" s="15"/>
      <c r="K19" s="15"/>
      <c r="L19" s="176">
        <v>71.366000000000014</v>
      </c>
      <c r="M19" s="176">
        <f>'2. ish zad 11'!C20</f>
        <v>71.366000000000014</v>
      </c>
      <c r="N19" s="29">
        <f t="shared" si="4"/>
        <v>0.375</v>
      </c>
      <c r="O19" s="100"/>
      <c r="P19" s="29">
        <f t="shared" si="1"/>
        <v>0.375</v>
      </c>
      <c r="Q19" s="29" t="s">
        <v>271</v>
      </c>
      <c r="S19" s="98"/>
    </row>
    <row r="20" spans="1:27" ht="14.25" customHeight="1">
      <c r="I20" s="98"/>
      <c r="J20" s="15"/>
      <c r="K20" s="15"/>
      <c r="L20" s="176">
        <v>12.845880000000003</v>
      </c>
      <c r="M20" s="176">
        <f>'2. ish zad 11'!C21</f>
        <v>12.845880000000003</v>
      </c>
      <c r="N20" s="29">
        <f t="shared" si="4"/>
        <v>0.375</v>
      </c>
      <c r="O20" s="100"/>
      <c r="P20" s="29">
        <f t="shared" si="1"/>
        <v>0.375</v>
      </c>
      <c r="Q20" s="29" t="s">
        <v>271</v>
      </c>
      <c r="S20" s="98"/>
    </row>
    <row r="21" spans="1:27" ht="14.25" customHeight="1">
      <c r="I21" s="98"/>
      <c r="J21" s="96"/>
      <c r="K21" s="15"/>
      <c r="L21" s="176">
        <v>1035.7881199999999</v>
      </c>
      <c r="M21" s="176">
        <f>'2. ish zad 11'!C22</f>
        <v>1035.7881199999999</v>
      </c>
      <c r="N21" s="29">
        <f t="shared" si="4"/>
        <v>0.375</v>
      </c>
      <c r="O21" s="100"/>
      <c r="P21" s="29">
        <f t="shared" si="1"/>
        <v>0.375</v>
      </c>
      <c r="Q21" s="29" t="s">
        <v>271</v>
      </c>
      <c r="S21" s="98"/>
    </row>
    <row r="22" spans="1:27" ht="14.25" customHeight="1">
      <c r="I22" s="98"/>
      <c r="K22" s="15"/>
      <c r="L22" s="176">
        <v>231</v>
      </c>
      <c r="M22" s="176">
        <f>'2. ish zad 11'!C23</f>
        <v>231</v>
      </c>
      <c r="N22" s="29">
        <f t="shared" si="4"/>
        <v>0.375</v>
      </c>
      <c r="O22" s="100"/>
      <c r="P22" s="29">
        <f t="shared" si="1"/>
        <v>0.375</v>
      </c>
      <c r="Q22" s="29" t="s">
        <v>271</v>
      </c>
      <c r="S22" s="98"/>
    </row>
    <row r="23" spans="1:27" ht="14.25" customHeight="1">
      <c r="I23" s="98"/>
      <c r="K23" s="15"/>
      <c r="L23" s="176">
        <v>1631</v>
      </c>
      <c r="M23" s="176">
        <f>'2. ish zad 11'!C24</f>
        <v>1631</v>
      </c>
      <c r="N23" s="29">
        <f t="shared" si="4"/>
        <v>0.375</v>
      </c>
      <c r="O23" s="100"/>
      <c r="P23" s="29">
        <f t="shared" si="1"/>
        <v>0.375</v>
      </c>
      <c r="Q23" s="29" t="s">
        <v>271</v>
      </c>
      <c r="S23" s="98"/>
    </row>
    <row r="24" spans="1:27" ht="14.25" customHeight="1">
      <c r="I24" s="98"/>
      <c r="K24" s="15"/>
      <c r="L24" s="105">
        <v>0.63506322501532797</v>
      </c>
      <c r="M24" s="178">
        <f>'2. ish zad 11'!C25</f>
        <v>0.63506322501532797</v>
      </c>
      <c r="N24" s="29">
        <f t="shared" si="4"/>
        <v>0.375</v>
      </c>
      <c r="O24" s="100"/>
      <c r="P24" s="29">
        <f t="shared" si="1"/>
        <v>0.375</v>
      </c>
      <c r="Q24" s="29" t="s">
        <v>271</v>
      </c>
      <c r="S24" s="98"/>
    </row>
    <row r="25" spans="1:27" ht="14.25" customHeight="1">
      <c r="I25" s="98"/>
      <c r="K25" s="28" t="s">
        <v>218</v>
      </c>
      <c r="L25" s="29"/>
      <c r="M25" s="29"/>
      <c r="N25" s="28"/>
      <c r="O25" s="106"/>
      <c r="P25" s="28">
        <f>SUM(P9:P24)</f>
        <v>6</v>
      </c>
      <c r="Q25" s="28" t="s">
        <v>225</v>
      </c>
      <c r="S25" s="98"/>
    </row>
    <row r="26" spans="1:27" ht="14.25" customHeight="1">
      <c r="I26" s="98"/>
      <c r="K26" s="96"/>
      <c r="L26" s="15"/>
      <c r="M26" s="15"/>
      <c r="N26" s="96"/>
      <c r="O26" s="96"/>
      <c r="P26" s="96"/>
      <c r="Q26" s="96"/>
      <c r="S26" s="98"/>
    </row>
    <row r="27" spans="1:27" ht="14.25" customHeight="1">
      <c r="A27" s="98"/>
      <c r="B27" s="98"/>
      <c r="C27" s="98"/>
      <c r="D27" s="98"/>
      <c r="E27" s="98"/>
      <c r="F27" s="98"/>
      <c r="G27" s="98"/>
      <c r="H27" s="98"/>
      <c r="I27" s="97"/>
      <c r="J27" s="101"/>
      <c r="K27" s="101"/>
      <c r="L27" s="97"/>
      <c r="M27" s="97"/>
      <c r="N27" s="97"/>
      <c r="O27" s="97"/>
      <c r="P27" s="98"/>
      <c r="Q27" s="98"/>
      <c r="R27" s="98"/>
      <c r="S27" s="98"/>
      <c r="T27" s="98"/>
      <c r="U27" s="98"/>
      <c r="V27" s="98"/>
      <c r="W27" s="98"/>
      <c r="X27" s="98"/>
      <c r="Y27" s="98"/>
      <c r="Z27" s="98"/>
      <c r="AA27" s="98"/>
    </row>
    <row r="28" spans="1:27" ht="14.25" customHeight="1">
      <c r="I28" s="98"/>
      <c r="S28" s="98"/>
    </row>
    <row r="29" spans="1:27" ht="14.25" customHeight="1">
      <c r="I29" s="98"/>
      <c r="S29" s="98"/>
    </row>
    <row r="30" spans="1:27" ht="14.25" customHeight="1">
      <c r="A30" s="28" t="s">
        <v>208</v>
      </c>
      <c r="B30" s="28" t="s">
        <v>209</v>
      </c>
      <c r="C30" s="28" t="s">
        <v>210</v>
      </c>
      <c r="D30" s="28" t="s">
        <v>211</v>
      </c>
      <c r="E30" s="28" t="s">
        <v>212</v>
      </c>
      <c r="F30" s="28" t="s">
        <v>213</v>
      </c>
      <c r="G30" s="28" t="s">
        <v>214</v>
      </c>
      <c r="I30" s="98"/>
      <c r="K30" s="28" t="s">
        <v>208</v>
      </c>
      <c r="L30" s="28" t="s">
        <v>209</v>
      </c>
      <c r="M30" s="28" t="s">
        <v>210</v>
      </c>
      <c r="N30" s="28" t="s">
        <v>211</v>
      </c>
      <c r="O30" s="28" t="s">
        <v>212</v>
      </c>
      <c r="P30" s="28" t="s">
        <v>213</v>
      </c>
      <c r="Q30" s="28" t="s">
        <v>214</v>
      </c>
      <c r="S30" s="98"/>
      <c r="U30" s="28" t="s">
        <v>208</v>
      </c>
      <c r="V30" s="28" t="s">
        <v>209</v>
      </c>
      <c r="W30" s="28" t="s">
        <v>210</v>
      </c>
      <c r="X30" s="28" t="s">
        <v>211</v>
      </c>
      <c r="Y30" s="28" t="s">
        <v>212</v>
      </c>
      <c r="Z30" s="28" t="s">
        <v>213</v>
      </c>
      <c r="AA30" s="28" t="s">
        <v>214</v>
      </c>
    </row>
    <row r="31" spans="1:27" ht="14.25" customHeight="1">
      <c r="A31" s="43">
        <v>13</v>
      </c>
      <c r="B31" s="99">
        <v>59800</v>
      </c>
      <c r="C31" s="99">
        <f>'2. ish zad 13'!C22</f>
        <v>59800</v>
      </c>
      <c r="D31" s="29">
        <f t="shared" ref="D31:D32" si="7">IF(ROUND(B31,1)=ROUND(C31,1),1.5,0)</f>
        <v>1.5</v>
      </c>
      <c r="E31" s="100"/>
      <c r="F31" s="29">
        <f t="shared" ref="F31:F33" si="8">IF(ISBLANK(E31),D31,E31)</f>
        <v>1.5</v>
      </c>
      <c r="G31" s="29" t="s">
        <v>220</v>
      </c>
      <c r="H31" s="96"/>
      <c r="I31" s="97"/>
      <c r="J31" s="96"/>
      <c r="K31" s="102">
        <v>14</v>
      </c>
      <c r="L31" s="108">
        <v>1.0076615015110584</v>
      </c>
      <c r="M31" s="108">
        <f>'2. ish zad 14'!D17</f>
        <v>1.0076615015110584</v>
      </c>
      <c r="N31" s="29">
        <f t="shared" ref="N31:N33" si="9">IF(ROUND(L31,2)=ROUND(M31,2),0.5,0)</f>
        <v>0.5</v>
      </c>
      <c r="O31" s="100"/>
      <c r="P31" s="29">
        <f t="shared" ref="P31:P36" si="10">IF(ISBLANK(O31),N31,O31)</f>
        <v>0.5</v>
      </c>
      <c r="Q31" s="29" t="s">
        <v>221</v>
      </c>
      <c r="S31" s="98"/>
      <c r="U31" s="102">
        <v>15</v>
      </c>
      <c r="V31" s="109">
        <v>24</v>
      </c>
      <c r="W31" s="109">
        <f>'3. ish zad 15'!F8</f>
        <v>24</v>
      </c>
      <c r="X31" s="29">
        <f>IF(ROUND(V31,2)=ROUND(W31,2),0.5,0)</f>
        <v>0.5</v>
      </c>
      <c r="Y31" s="100"/>
      <c r="Z31" s="29">
        <f t="shared" ref="Z31:Z36" si="11">IF(ISBLANK(Y31),X31,Y31)</f>
        <v>0.5</v>
      </c>
      <c r="AA31" s="29" t="s">
        <v>221</v>
      </c>
    </row>
    <row r="32" spans="1:27" ht="14.25" customHeight="1">
      <c r="B32" s="99">
        <v>60348.119999999995</v>
      </c>
      <c r="C32" s="99">
        <f>'2. ish zad 13'!H22</f>
        <v>60348.119999999995</v>
      </c>
      <c r="D32" s="29">
        <f t="shared" si="7"/>
        <v>1.5</v>
      </c>
      <c r="E32" s="100"/>
      <c r="F32" s="29">
        <f t="shared" si="8"/>
        <v>1.5</v>
      </c>
      <c r="G32" s="29" t="s">
        <v>220</v>
      </c>
      <c r="H32" s="15"/>
      <c r="I32" s="101"/>
      <c r="J32" s="15"/>
      <c r="K32" s="15"/>
      <c r="L32" s="110">
        <v>7.6615015110583773E-3</v>
      </c>
      <c r="M32" s="110">
        <f>'2. ish zad 14'!D18</f>
        <v>7.6615015110583773E-3</v>
      </c>
      <c r="N32" s="29">
        <f t="shared" si="9"/>
        <v>0.5</v>
      </c>
      <c r="O32" s="100"/>
      <c r="P32" s="29">
        <f t="shared" si="10"/>
        <v>0.5</v>
      </c>
      <c r="Q32" s="29" t="s">
        <v>221</v>
      </c>
      <c r="S32" s="98"/>
      <c r="U32" s="15"/>
      <c r="V32" s="105">
        <v>1.2749999999999999E-2</v>
      </c>
      <c r="W32" s="105">
        <f>'3. ish zad 15'!F9</f>
        <v>1.2749999999999999E-2</v>
      </c>
      <c r="X32" s="29">
        <f>IF(ROUND(V32,4)=ROUND(W32,4),0.5,0)</f>
        <v>0.5</v>
      </c>
      <c r="Y32" s="100"/>
      <c r="Z32" s="29">
        <f t="shared" si="11"/>
        <v>0.5</v>
      </c>
      <c r="AA32" s="29" t="s">
        <v>221</v>
      </c>
    </row>
    <row r="33" spans="1:27" ht="14.25" customHeight="1">
      <c r="B33" s="105">
        <v>9.1999999999999998E-3</v>
      </c>
      <c r="C33" s="105">
        <f>'2. ish zad 13'!C24</f>
        <v>9.1999999999999998E-3</v>
      </c>
      <c r="D33" s="29">
        <f>IF(ROUND(B33,3)=ROUND(C33,3),1,0)</f>
        <v>1</v>
      </c>
      <c r="E33" s="100"/>
      <c r="F33" s="29">
        <f t="shared" si="8"/>
        <v>1</v>
      </c>
      <c r="G33" s="29" t="s">
        <v>222</v>
      </c>
      <c r="H33" s="15"/>
      <c r="I33" s="101"/>
      <c r="J33" s="15"/>
      <c r="K33" s="15"/>
      <c r="L33" s="56">
        <v>92</v>
      </c>
      <c r="M33" s="56">
        <f>'2. ish zad 14'!D19</f>
        <v>92</v>
      </c>
      <c r="N33" s="29">
        <f t="shared" si="9"/>
        <v>0.5</v>
      </c>
      <c r="O33" s="100"/>
      <c r="P33" s="29">
        <f t="shared" si="10"/>
        <v>0.5</v>
      </c>
      <c r="Q33" s="29" t="s">
        <v>221</v>
      </c>
      <c r="S33" s="98"/>
      <c r="U33" s="15"/>
      <c r="V33" s="111">
        <v>1.01275</v>
      </c>
      <c r="W33" s="111">
        <f>'3. ish zad 15'!F10</f>
        <v>1.01275</v>
      </c>
      <c r="X33" s="29">
        <f>IF(ROUND(V33,2)=ROUND(W33,2),0.5,0)</f>
        <v>0.5</v>
      </c>
      <c r="Y33" s="100"/>
      <c r="Z33" s="29">
        <f t="shared" si="11"/>
        <v>0.5</v>
      </c>
      <c r="AA33" s="29" t="s">
        <v>221</v>
      </c>
    </row>
    <row r="34" spans="1:27" ht="14.25" customHeight="1">
      <c r="A34" s="102" t="s">
        <v>218</v>
      </c>
      <c r="B34" s="29"/>
      <c r="C34" s="29"/>
      <c r="D34" s="28"/>
      <c r="E34" s="106"/>
      <c r="F34" s="28">
        <f>SUM(F31:F33)</f>
        <v>4</v>
      </c>
      <c r="G34" s="28" t="s">
        <v>223</v>
      </c>
      <c r="H34" s="15"/>
      <c r="I34" s="101"/>
      <c r="J34" s="15"/>
      <c r="K34" s="15"/>
      <c r="L34" s="99">
        <v>96413.27360326772</v>
      </c>
      <c r="M34" s="99">
        <f>'2. ish zad 14'!D21</f>
        <v>96413.273603266847</v>
      </c>
      <c r="N34" s="29">
        <f>IF(ABS(ROUND(L34,2))=ABS(ROUND(M34,2)),2,0)</f>
        <v>2</v>
      </c>
      <c r="O34" s="100"/>
      <c r="P34" s="29">
        <f t="shared" si="10"/>
        <v>2</v>
      </c>
      <c r="Q34" s="29" t="s">
        <v>224</v>
      </c>
      <c r="S34" s="98"/>
      <c r="U34" s="15"/>
      <c r="V34" s="99">
        <v>-389.03</v>
      </c>
      <c r="W34" s="99">
        <f>'3. ish zad 15'!F12</f>
        <v>-389.03</v>
      </c>
      <c r="X34" s="29">
        <f>IF(ABS(ROUND(V34,2))=ABS(ROUND(W34,2)),1,0)</f>
        <v>1</v>
      </c>
      <c r="Y34" s="100"/>
      <c r="Z34" s="29">
        <f t="shared" si="11"/>
        <v>1</v>
      </c>
      <c r="AA34" s="29" t="s">
        <v>216</v>
      </c>
    </row>
    <row r="35" spans="1:27" ht="14.25" customHeight="1">
      <c r="I35" s="98"/>
      <c r="K35" s="15"/>
      <c r="L35" s="99">
        <v>-96413.27360326772</v>
      </c>
      <c r="M35" s="99">
        <f>'2. ish zad 14'!H10</f>
        <v>-96413.273603266847</v>
      </c>
      <c r="N35" s="29">
        <f>IF(ABS(ROUND(L35,2))=ABS(ROUND(M35,2)),0.5,0)</f>
        <v>0.5</v>
      </c>
      <c r="O35" s="100"/>
      <c r="P35" s="29">
        <f t="shared" si="10"/>
        <v>0.5</v>
      </c>
      <c r="Q35" s="29" t="s">
        <v>221</v>
      </c>
      <c r="S35" s="98"/>
      <c r="U35" s="15"/>
      <c r="V35" s="99">
        <v>389.15000000000248</v>
      </c>
      <c r="W35" s="99">
        <f>'3. ish zad 15'!C40</f>
        <v>389.15000000000248</v>
      </c>
      <c r="X35" s="29">
        <f>IF(ROUND(V35,2)=ROUND(W35,2),3,IF(ABS(V35-W35)&lt;2,2,0))</f>
        <v>3</v>
      </c>
      <c r="Y35" s="100"/>
      <c r="Z35" s="29">
        <f t="shared" si="11"/>
        <v>3</v>
      </c>
      <c r="AA35" s="29" t="s">
        <v>217</v>
      </c>
    </row>
    <row r="36" spans="1:27" ht="14.25" customHeight="1">
      <c r="I36" s="97"/>
      <c r="J36" s="96"/>
      <c r="K36" s="15"/>
      <c r="L36" s="99">
        <v>361.15506765749581</v>
      </c>
      <c r="M36" s="99">
        <f>'2. ish zad 14'!H21</f>
        <v>361.15506765749257</v>
      </c>
      <c r="N36" s="29">
        <f>IF(ABS(ROUND(L36,2))=ABS(ROUND(M36,2)),2,0)</f>
        <v>2</v>
      </c>
      <c r="O36" s="100"/>
      <c r="P36" s="29">
        <f t="shared" si="10"/>
        <v>2</v>
      </c>
      <c r="Q36" s="29" t="s">
        <v>224</v>
      </c>
      <c r="S36" s="98"/>
      <c r="U36" s="15"/>
      <c r="V36" s="99">
        <v>0</v>
      </c>
      <c r="W36" s="99">
        <f>'3. ish zad 15'!F40</f>
        <v>0</v>
      </c>
      <c r="X36" s="29">
        <f>IF(ROUND(V36,2)=ROUND(W36,2),0.5,0)</f>
        <v>0.5</v>
      </c>
      <c r="Y36" s="100"/>
      <c r="Z36" s="29">
        <f t="shared" si="11"/>
        <v>0.5</v>
      </c>
      <c r="AA36" s="29" t="s">
        <v>221</v>
      </c>
    </row>
    <row r="37" spans="1:27" ht="14.25" customHeight="1">
      <c r="I37" s="98"/>
      <c r="K37" s="28" t="s">
        <v>218</v>
      </c>
      <c r="L37" s="29"/>
      <c r="M37" s="29"/>
      <c r="N37" s="28"/>
      <c r="O37" s="106"/>
      <c r="P37" s="28">
        <f>SUM(P31:P36)</f>
        <v>6</v>
      </c>
      <c r="Q37" s="28" t="s">
        <v>225</v>
      </c>
      <c r="S37" s="98"/>
      <c r="U37" s="28" t="s">
        <v>218</v>
      </c>
      <c r="V37" s="29"/>
      <c r="W37" s="29"/>
      <c r="X37" s="28"/>
      <c r="Y37" s="106"/>
      <c r="Z37" s="28">
        <f>SUM(Z31:Z36)</f>
        <v>6</v>
      </c>
      <c r="AA37" s="28" t="s">
        <v>225</v>
      </c>
    </row>
    <row r="38" spans="1:27" ht="14.25" customHeight="1">
      <c r="I38" s="98"/>
      <c r="K38" s="15"/>
      <c r="S38" s="98"/>
    </row>
    <row r="39" spans="1:27" ht="14.25" customHeight="1">
      <c r="I39" s="98"/>
      <c r="K39" s="15"/>
      <c r="S39" s="98"/>
    </row>
    <row r="40" spans="1:27" ht="14.25" customHeight="1">
      <c r="I40" s="98"/>
      <c r="K40" s="15"/>
      <c r="S40" s="98"/>
    </row>
    <row r="41" spans="1:27" ht="14.25" customHeight="1">
      <c r="I41" s="98"/>
      <c r="K41" s="15"/>
      <c r="S41" s="98"/>
    </row>
    <row r="42" spans="1:27" ht="14.25" customHeight="1">
      <c r="I42" s="98"/>
      <c r="K42" s="15"/>
      <c r="S42" s="98"/>
    </row>
    <row r="43" spans="1:27" ht="14.25" customHeight="1">
      <c r="I43" s="98"/>
      <c r="K43" s="15"/>
      <c r="S43" s="98"/>
    </row>
    <row r="44" spans="1:27" ht="14.25" customHeight="1">
      <c r="I44" s="98"/>
      <c r="K44" s="15"/>
      <c r="S44" s="98"/>
    </row>
    <row r="45" spans="1:27" ht="14.25" customHeight="1">
      <c r="I45" s="98"/>
      <c r="K45" s="15"/>
      <c r="S45" s="98"/>
    </row>
    <row r="46" spans="1:27" ht="14.25" customHeight="1">
      <c r="I46" s="98"/>
      <c r="K46" s="15"/>
      <c r="S46" s="98"/>
    </row>
    <row r="47" spans="1:27" ht="14.25" customHeight="1">
      <c r="I47" s="98"/>
      <c r="S47" s="98"/>
    </row>
    <row r="48" spans="1:27" ht="14.25" customHeight="1">
      <c r="I48" s="98"/>
      <c r="S48" s="98"/>
    </row>
    <row r="49" spans="1:27" ht="14.25" customHeight="1">
      <c r="I49" s="98"/>
      <c r="S49" s="98"/>
    </row>
    <row r="50" spans="1:27" ht="14.25" customHeight="1">
      <c r="I50" s="98"/>
      <c r="S50" s="98"/>
    </row>
    <row r="51" spans="1:27" ht="14.25" customHeight="1">
      <c r="A51" s="98"/>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row>
    <row r="52" spans="1:27" ht="14.25" customHeight="1">
      <c r="I52" s="98"/>
      <c r="S52" s="98"/>
    </row>
    <row r="53" spans="1:27" ht="14.25" customHeight="1">
      <c r="I53" s="98"/>
      <c r="S53" s="98"/>
    </row>
    <row r="54" spans="1:27" ht="14.25" customHeight="1">
      <c r="A54" s="28" t="s">
        <v>208</v>
      </c>
      <c r="B54" s="28" t="s">
        <v>209</v>
      </c>
      <c r="C54" s="28" t="s">
        <v>210</v>
      </c>
      <c r="D54" s="28" t="s">
        <v>211</v>
      </c>
      <c r="E54" s="28" t="s">
        <v>212</v>
      </c>
      <c r="F54" s="28" t="s">
        <v>213</v>
      </c>
      <c r="G54" s="28" t="s">
        <v>214</v>
      </c>
      <c r="H54" s="96"/>
      <c r="I54" s="97"/>
      <c r="J54" s="96"/>
      <c r="K54" s="28" t="s">
        <v>208</v>
      </c>
      <c r="L54" s="28" t="s">
        <v>209</v>
      </c>
      <c r="M54" s="28" t="s">
        <v>210</v>
      </c>
      <c r="N54" s="28" t="s">
        <v>211</v>
      </c>
      <c r="O54" s="28" t="s">
        <v>212</v>
      </c>
      <c r="P54" s="28" t="s">
        <v>213</v>
      </c>
      <c r="Q54" s="28" t="s">
        <v>214</v>
      </c>
      <c r="S54" s="98"/>
      <c r="U54" s="28" t="s">
        <v>208</v>
      </c>
      <c r="V54" s="28" t="s">
        <v>209</v>
      </c>
      <c r="W54" s="28" t="s">
        <v>210</v>
      </c>
      <c r="X54" s="28" t="s">
        <v>211</v>
      </c>
      <c r="Y54" s="28" t="s">
        <v>212</v>
      </c>
      <c r="Z54" s="28" t="s">
        <v>213</v>
      </c>
      <c r="AA54" s="28" t="s">
        <v>214</v>
      </c>
    </row>
    <row r="55" spans="1:27" ht="14.25" customHeight="1">
      <c r="A55" s="102">
        <v>16</v>
      </c>
      <c r="B55" s="110">
        <v>1.7749999999999998E-2</v>
      </c>
      <c r="C55" s="110">
        <f>'3. ish zad 16'!C15</f>
        <v>1.7749999999999998E-2</v>
      </c>
      <c r="D55" s="29">
        <f>IF(ROUND(B55,4)=ROUND(C55,4),0.5,0)</f>
        <v>0.5</v>
      </c>
      <c r="E55" s="104"/>
      <c r="F55" s="29">
        <f t="shared" ref="F55:F59" si="12">IF(ISBLANK(E55),D55,E55)</f>
        <v>0.5</v>
      </c>
      <c r="G55" s="80">
        <v>0.5</v>
      </c>
      <c r="H55" s="15"/>
      <c r="I55" s="101"/>
      <c r="J55" s="15"/>
      <c r="K55" s="102">
        <v>17</v>
      </c>
      <c r="L55" s="103">
        <v>283.47000000000003</v>
      </c>
      <c r="M55" s="103">
        <f>'3. ish zad 17'!B75</f>
        <v>275.61</v>
      </c>
      <c r="N55" s="29">
        <f>IF(ROUND(L55,2)=ROUND(M55,2),2,IF(ABS(L55-M55)&lt;2,1,0))</f>
        <v>0</v>
      </c>
      <c r="O55" s="104"/>
      <c r="P55" s="29">
        <f t="shared" ref="P55:P57" si="13">IF(ISBLANK(O55),N55,O55)</f>
        <v>0</v>
      </c>
      <c r="Q55" s="29" t="s">
        <v>224</v>
      </c>
      <c r="S55" s="98"/>
      <c r="U55" s="28">
        <v>18</v>
      </c>
      <c r="V55" s="99">
        <v>6218.9999999999955</v>
      </c>
      <c r="W55" s="99">
        <f>'3. ish zad 18'!C30</f>
        <v>6218.9999999999955</v>
      </c>
      <c r="X55" s="29">
        <f>IF(ROUND(V55,2)=ROUND(W55,2),1,IF(ABS(V55-W55)&lt;2,0.5,0))</f>
        <v>1</v>
      </c>
      <c r="Y55" s="100"/>
      <c r="Z55" s="29">
        <f t="shared" ref="Z55:Z60" si="14">IF(ISBLANK(Y55),X55,Y55)</f>
        <v>1</v>
      </c>
      <c r="AA55" s="29" t="s">
        <v>216</v>
      </c>
    </row>
    <row r="56" spans="1:27" ht="14.25" customHeight="1">
      <c r="B56" s="29">
        <v>72</v>
      </c>
      <c r="C56" s="29">
        <f>'3. ish zad 16'!C16</f>
        <v>72</v>
      </c>
      <c r="D56" s="29">
        <f>IF(ROUND(B56,2)=ROUND(C56,2),0.5,0)</f>
        <v>0.5</v>
      </c>
      <c r="E56" s="104"/>
      <c r="F56" s="29">
        <f t="shared" si="12"/>
        <v>0.5</v>
      </c>
      <c r="G56" s="80">
        <v>0.5</v>
      </c>
      <c r="H56" s="15"/>
      <c r="I56" s="101"/>
      <c r="J56" s="15"/>
      <c r="L56" s="103">
        <v>268.07</v>
      </c>
      <c r="M56" s="103">
        <f>'3. ish zad 17'!B135</f>
        <v>275.61</v>
      </c>
      <c r="N56" s="29">
        <f>IF(ROUND(L56,2)=ROUND(M56,2),2,IF(ABS(L56-M56)&lt;2,1,0))</f>
        <v>0</v>
      </c>
      <c r="O56" s="104"/>
      <c r="P56" s="29">
        <f t="shared" si="13"/>
        <v>0</v>
      </c>
      <c r="Q56" s="29" t="s">
        <v>224</v>
      </c>
      <c r="S56" s="98"/>
      <c r="U56" s="15"/>
      <c r="V56" s="99">
        <v>7634.5599999999995</v>
      </c>
      <c r="W56" s="99">
        <f>'3. ish zad 18'!C31</f>
        <v>7634.5599999999995</v>
      </c>
      <c r="X56" s="29">
        <f t="shared" ref="X56:X59" si="15">IF(ROUND(V56,2)=ROUND(W56,2),1,IF(ABS(V56-W56)&lt;2,0.5,0))</f>
        <v>1</v>
      </c>
      <c r="Y56" s="100"/>
      <c r="Z56" s="29">
        <f t="shared" si="14"/>
        <v>1</v>
      </c>
      <c r="AA56" s="29" t="s">
        <v>216</v>
      </c>
    </row>
    <row r="57" spans="1:27" ht="14.25" customHeight="1">
      <c r="B57" s="99">
        <v>2361.11</v>
      </c>
      <c r="C57" s="99">
        <f>'3. ish zad 16'!C19</f>
        <v>2361.11</v>
      </c>
      <c r="D57" s="29">
        <f>IF(ROUND(B57,2)=ROUND(C57,2),1.5,0)</f>
        <v>1.5</v>
      </c>
      <c r="E57" s="104"/>
      <c r="F57" s="29">
        <f t="shared" si="12"/>
        <v>1.5</v>
      </c>
      <c r="G57" s="80">
        <v>1.5</v>
      </c>
      <c r="H57" s="15"/>
      <c r="I57" s="101"/>
      <c r="J57" s="15"/>
      <c r="L57" s="103">
        <v>267.62000000000569</v>
      </c>
      <c r="M57" s="103">
        <f>'3. ish zad 17'!B386</f>
        <v>0</v>
      </c>
      <c r="N57" s="29">
        <f>IF(ROUND(L57,2)=ROUND(M57,2),1,IF(ABS(L57-M57)&lt;2,0.5,0))</f>
        <v>0</v>
      </c>
      <c r="O57" s="104"/>
      <c r="P57" s="29">
        <f t="shared" si="13"/>
        <v>0</v>
      </c>
      <c r="Q57" s="29" t="s">
        <v>216</v>
      </c>
      <c r="S57" s="98"/>
      <c r="U57" s="15"/>
      <c r="V57" s="99">
        <v>241.85999999999999</v>
      </c>
      <c r="W57" s="99">
        <f>'3. ish zad 18'!G37</f>
        <v>241.85999999999999</v>
      </c>
      <c r="X57" s="29">
        <f t="shared" si="15"/>
        <v>1</v>
      </c>
      <c r="Y57" s="100"/>
      <c r="Z57" s="29">
        <f t="shared" si="14"/>
        <v>1</v>
      </c>
      <c r="AA57" s="29" t="s">
        <v>216</v>
      </c>
    </row>
    <row r="58" spans="1:27" ht="14.25" customHeight="1">
      <c r="B58" s="99">
        <v>2361.190000000192</v>
      </c>
      <c r="C58" s="99">
        <f>'3. ish zad 16'!J80</f>
        <v>2361.190000000192</v>
      </c>
      <c r="D58" s="29">
        <f>IF(ROUND(B58,2)=ROUND(C58,2),2,IF(ABS(B58-C58)&lt;2,1,0))</f>
        <v>2</v>
      </c>
      <c r="E58" s="104"/>
      <c r="F58" s="29">
        <f t="shared" si="12"/>
        <v>2</v>
      </c>
      <c r="G58" s="80">
        <v>2</v>
      </c>
      <c r="H58" s="15"/>
      <c r="I58" s="101"/>
      <c r="J58" s="15"/>
      <c r="K58" s="102" t="s">
        <v>218</v>
      </c>
      <c r="L58" s="29"/>
      <c r="M58" s="29"/>
      <c r="N58" s="28"/>
      <c r="O58" s="106"/>
      <c r="P58" s="28">
        <f>SUM(P55:P57)</f>
        <v>0</v>
      </c>
      <c r="Q58" s="28" t="s">
        <v>219</v>
      </c>
      <c r="S58" s="98"/>
      <c r="U58" s="15"/>
      <c r="V58" s="99">
        <v>345.51</v>
      </c>
      <c r="W58" s="99">
        <f>'3. ish zad 18'!G97</f>
        <v>345.51</v>
      </c>
      <c r="X58" s="29">
        <f>IF(ROUND(V58,2)=ROUND(W58,2),0.5,IF(ABS(V58-W58)&lt;2,0.2,0))</f>
        <v>0.5</v>
      </c>
      <c r="Y58" s="100"/>
      <c r="Z58" s="29">
        <f t="shared" si="14"/>
        <v>0.5</v>
      </c>
      <c r="AA58" s="29" t="s">
        <v>221</v>
      </c>
    </row>
    <row r="59" spans="1:27" ht="14.25" customHeight="1">
      <c r="B59" s="99">
        <v>2403.1000000001918</v>
      </c>
      <c r="C59" s="99">
        <f>'3. ish zad 16'!G81</f>
        <v>2403.1000000001918</v>
      </c>
      <c r="D59" s="29">
        <f>IF(ROUND(B59,2)=ROUND(C59,2),0.5,0)</f>
        <v>0.5</v>
      </c>
      <c r="E59" s="104"/>
      <c r="F59" s="29">
        <f t="shared" si="12"/>
        <v>0.5</v>
      </c>
      <c r="G59" s="80">
        <v>0.5</v>
      </c>
      <c r="H59" s="15"/>
      <c r="I59" s="101"/>
      <c r="J59" s="15"/>
      <c r="S59" s="98"/>
      <c r="U59" s="15"/>
      <c r="V59" s="99">
        <v>309.40999999999997</v>
      </c>
      <c r="W59" s="99">
        <f>'3. ish zad 18'!O37</f>
        <v>309.40999999999997</v>
      </c>
      <c r="X59" s="29">
        <f t="shared" si="15"/>
        <v>1</v>
      </c>
      <c r="Y59" s="100"/>
      <c r="Z59" s="29">
        <f t="shared" si="14"/>
        <v>1</v>
      </c>
      <c r="AA59" s="29" t="s">
        <v>216</v>
      </c>
    </row>
    <row r="60" spans="1:27" ht="14.25" customHeight="1">
      <c r="A60" s="102" t="s">
        <v>218</v>
      </c>
      <c r="B60" s="29"/>
      <c r="C60" s="29"/>
      <c r="D60" s="28"/>
      <c r="E60" s="106"/>
      <c r="F60" s="28">
        <f>SUM(F55:F59)</f>
        <v>5</v>
      </c>
      <c r="G60" s="28" t="s">
        <v>219</v>
      </c>
      <c r="H60" s="15"/>
      <c r="I60" s="101"/>
      <c r="J60" s="15"/>
      <c r="S60" s="98"/>
      <c r="U60" s="15"/>
      <c r="V60" s="99">
        <v>405.65999999999997</v>
      </c>
      <c r="W60" s="99">
        <f>'3. ish zad 18'!O97</f>
        <v>405.65999999999997</v>
      </c>
      <c r="X60" s="29">
        <f>IF(ROUND(V60,2)=ROUND(W60,2),0.5,IF(ABS(V60-W60)&lt;2,0.2,0))</f>
        <v>0.5</v>
      </c>
      <c r="Y60" s="100"/>
      <c r="Z60" s="29">
        <f t="shared" si="14"/>
        <v>0.5</v>
      </c>
      <c r="AA60" s="29" t="s">
        <v>221</v>
      </c>
    </row>
    <row r="61" spans="1:27" ht="14.25" customHeight="1">
      <c r="H61" s="15"/>
      <c r="I61" s="101"/>
      <c r="J61" s="15"/>
      <c r="S61" s="98"/>
      <c r="U61" s="28" t="s">
        <v>218</v>
      </c>
      <c r="V61" s="29"/>
      <c r="W61" s="29"/>
      <c r="X61" s="28"/>
      <c r="Y61" s="106"/>
      <c r="Z61" s="28">
        <f>SUM(Z55:Z60)</f>
        <v>5</v>
      </c>
      <c r="AA61" s="28" t="s">
        <v>219</v>
      </c>
    </row>
    <row r="62" spans="1:27" ht="14.25" customHeight="1">
      <c r="H62" s="15"/>
      <c r="I62" s="101"/>
      <c r="J62" s="15"/>
      <c r="S62" s="98"/>
      <c r="U62" s="15"/>
      <c r="V62" s="15"/>
      <c r="W62" s="15"/>
      <c r="X62" s="15"/>
      <c r="Y62" s="15"/>
      <c r="Z62" s="15"/>
      <c r="AA62" s="15"/>
    </row>
    <row r="63" spans="1:27" ht="14.25" customHeight="1">
      <c r="H63" s="15"/>
      <c r="I63" s="101"/>
      <c r="J63" s="15"/>
      <c r="S63" s="98"/>
      <c r="U63" s="15"/>
      <c r="V63" s="15"/>
      <c r="W63" s="15"/>
      <c r="X63" s="15"/>
      <c r="Y63" s="15"/>
      <c r="Z63" s="15"/>
      <c r="AA63" s="15"/>
    </row>
    <row r="64" spans="1:27" ht="14.25" customHeight="1">
      <c r="H64" s="15"/>
      <c r="I64" s="101"/>
      <c r="J64" s="15"/>
      <c r="S64" s="98"/>
      <c r="U64" s="15"/>
      <c r="V64" s="15"/>
      <c r="W64" s="15"/>
      <c r="X64" s="15"/>
      <c r="Y64" s="15"/>
      <c r="Z64" s="15"/>
      <c r="AA64" s="15"/>
    </row>
    <row r="65" spans="1:27" ht="14.25" customHeight="1">
      <c r="H65" s="96"/>
      <c r="I65" s="97"/>
      <c r="J65" s="15"/>
      <c r="S65" s="98"/>
      <c r="U65" s="15"/>
      <c r="V65" s="15"/>
      <c r="W65" s="15"/>
      <c r="X65" s="15"/>
      <c r="Y65" s="15"/>
      <c r="Z65" s="15"/>
      <c r="AA65" s="15"/>
    </row>
    <row r="66" spans="1:27" ht="14.25" customHeight="1">
      <c r="I66" s="98"/>
      <c r="J66" s="15"/>
      <c r="S66" s="98"/>
      <c r="U66" s="15"/>
      <c r="V66" s="15"/>
      <c r="W66" s="15"/>
      <c r="X66" s="15"/>
      <c r="Y66" s="15"/>
      <c r="Z66" s="15"/>
      <c r="AA66" s="15"/>
    </row>
    <row r="67" spans="1:27" ht="14.25" customHeight="1">
      <c r="I67" s="98"/>
      <c r="J67" s="96"/>
      <c r="S67" s="98"/>
      <c r="U67" s="15"/>
      <c r="V67" s="15"/>
      <c r="W67" s="15"/>
      <c r="X67" s="15"/>
      <c r="Y67" s="15"/>
      <c r="Z67" s="15"/>
      <c r="AA67" s="15"/>
    </row>
    <row r="68" spans="1:27" ht="14.25" customHeight="1">
      <c r="I68" s="98"/>
      <c r="S68" s="98"/>
      <c r="U68" s="15"/>
      <c r="V68" s="15"/>
      <c r="W68" s="15"/>
      <c r="X68" s="15"/>
      <c r="Y68" s="15"/>
      <c r="Z68" s="15"/>
      <c r="AA68" s="15"/>
    </row>
    <row r="69" spans="1:27" ht="14.25" customHeight="1">
      <c r="I69" s="98"/>
      <c r="S69" s="98"/>
      <c r="U69" s="15"/>
      <c r="V69" s="15"/>
      <c r="W69" s="15"/>
      <c r="X69" s="15"/>
      <c r="Y69" s="15"/>
      <c r="Z69" s="15"/>
      <c r="AA69" s="15"/>
    </row>
    <row r="70" spans="1:27" ht="14.25" customHeight="1">
      <c r="I70" s="98"/>
      <c r="S70" s="98"/>
      <c r="U70" s="15"/>
      <c r="V70" s="15"/>
      <c r="W70" s="15"/>
      <c r="X70" s="15"/>
      <c r="Y70" s="15"/>
      <c r="Z70" s="15"/>
      <c r="AA70" s="15"/>
    </row>
    <row r="71" spans="1:27" ht="14.25" customHeight="1">
      <c r="I71" s="98"/>
      <c r="S71" s="98"/>
      <c r="U71" s="15"/>
      <c r="V71" s="15"/>
      <c r="W71" s="15"/>
      <c r="X71" s="15"/>
      <c r="Y71" s="15"/>
      <c r="Z71" s="15"/>
      <c r="AA71" s="15"/>
    </row>
    <row r="72" spans="1:27" ht="14.25" customHeight="1">
      <c r="I72" s="98"/>
      <c r="K72" s="96"/>
      <c r="L72" s="15"/>
      <c r="M72" s="15"/>
      <c r="N72" s="96"/>
      <c r="O72" s="96"/>
      <c r="P72" s="96"/>
      <c r="Q72" s="96"/>
      <c r="S72" s="98"/>
      <c r="U72" s="15"/>
      <c r="V72" s="15"/>
      <c r="W72" s="15"/>
      <c r="X72" s="15"/>
      <c r="Y72" s="15"/>
      <c r="Z72" s="15"/>
      <c r="AA72" s="15"/>
    </row>
    <row r="73" spans="1:27" ht="14.25" customHeight="1">
      <c r="A73" s="98"/>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row>
    <row r="74" spans="1:27" ht="14.25" customHeight="1">
      <c r="I74" s="98"/>
      <c r="S74" s="98"/>
    </row>
    <row r="75" spans="1:27" ht="14.25" customHeight="1">
      <c r="I75" s="98"/>
      <c r="S75" s="98"/>
    </row>
    <row r="76" spans="1:27" ht="14.25" customHeight="1">
      <c r="A76" s="28" t="s">
        <v>208</v>
      </c>
      <c r="B76" s="28" t="s">
        <v>209</v>
      </c>
      <c r="C76" s="28" t="s">
        <v>210</v>
      </c>
      <c r="D76" s="28" t="s">
        <v>211</v>
      </c>
      <c r="E76" s="28" t="s">
        <v>212</v>
      </c>
      <c r="F76" s="28" t="s">
        <v>213</v>
      </c>
      <c r="G76" s="28" t="s">
        <v>214</v>
      </c>
      <c r="H76" s="96"/>
      <c r="I76" s="97"/>
      <c r="J76" s="96"/>
      <c r="K76" s="28" t="s">
        <v>208</v>
      </c>
      <c r="L76" s="28" t="s">
        <v>209</v>
      </c>
      <c r="M76" s="28" t="s">
        <v>210</v>
      </c>
      <c r="N76" s="28" t="s">
        <v>211</v>
      </c>
      <c r="O76" s="28" t="s">
        <v>212</v>
      </c>
      <c r="P76" s="28" t="s">
        <v>213</v>
      </c>
      <c r="Q76" s="28" t="s">
        <v>214</v>
      </c>
      <c r="S76" s="98"/>
      <c r="U76" s="28" t="s">
        <v>208</v>
      </c>
      <c r="V76" s="28" t="s">
        <v>209</v>
      </c>
      <c r="W76" s="28" t="s">
        <v>210</v>
      </c>
      <c r="X76" s="28" t="s">
        <v>211</v>
      </c>
      <c r="Y76" s="28" t="s">
        <v>212</v>
      </c>
      <c r="Z76" s="28" t="s">
        <v>213</v>
      </c>
      <c r="AA76" s="28" t="s">
        <v>214</v>
      </c>
    </row>
    <row r="77" spans="1:27" ht="14.25" customHeight="1">
      <c r="A77" s="102">
        <v>19</v>
      </c>
      <c r="B77" s="56">
        <v>18060</v>
      </c>
      <c r="C77" s="56">
        <f>'4. ish zad 19'!B28</f>
        <v>18060</v>
      </c>
      <c r="D77" s="29">
        <f>IF(ROUND(B77,4)=ROUND(C77,4),1,0)</f>
        <v>1</v>
      </c>
      <c r="E77" s="100"/>
      <c r="F77" s="29">
        <f t="shared" ref="F77:F81" si="16">IF(ISBLANK(E77),D77,E77)</f>
        <v>1</v>
      </c>
      <c r="G77" s="29" t="s">
        <v>216</v>
      </c>
      <c r="H77" s="15"/>
      <c r="I77" s="101"/>
      <c r="J77" s="15"/>
      <c r="K77" s="102">
        <v>20</v>
      </c>
      <c r="L77" s="99">
        <v>561</v>
      </c>
      <c r="M77" s="99">
        <f>'4. ish zad 20'!B15</f>
        <v>561</v>
      </c>
      <c r="N77" s="29">
        <f>IF(ROUND(L77,2)=ROUND(M77,2),1,0)</f>
        <v>1</v>
      </c>
      <c r="O77" s="100"/>
      <c r="P77" s="29">
        <f t="shared" ref="P77:P86" si="17">IF(ISBLANK(O77),N77,O77)</f>
        <v>1</v>
      </c>
      <c r="Q77" s="29" t="s">
        <v>216</v>
      </c>
      <c r="S77" s="98"/>
      <c r="U77" s="28">
        <v>21</v>
      </c>
      <c r="V77" s="30" t="s">
        <v>226</v>
      </c>
      <c r="W77" s="30" t="s">
        <v>226</v>
      </c>
      <c r="X77" s="112"/>
      <c r="Y77" s="113"/>
      <c r="Z77" s="29">
        <f t="shared" ref="Z77:Z83" si="18">IF(ISBLANK(Y77),X77,Y77)</f>
        <v>0</v>
      </c>
      <c r="AA77" s="29" t="s">
        <v>216</v>
      </c>
    </row>
    <row r="78" spans="1:27" ht="14.25" customHeight="1">
      <c r="B78" s="29">
        <v>2011</v>
      </c>
      <c r="C78" s="29">
        <f>'4. ish zad 19'!E13</f>
        <v>2011</v>
      </c>
      <c r="D78" s="29">
        <f>IF(ROUND(B78,2)=ROUND(C78,2),1,0)</f>
        <v>1</v>
      </c>
      <c r="E78" s="100"/>
      <c r="F78" s="29">
        <f t="shared" si="16"/>
        <v>1</v>
      </c>
      <c r="G78" s="29" t="s">
        <v>216</v>
      </c>
      <c r="H78" s="15"/>
      <c r="I78" s="101"/>
      <c r="J78" s="15"/>
      <c r="L78" s="30" t="s">
        <v>226</v>
      </c>
      <c r="M78" s="30" t="s">
        <v>226</v>
      </c>
      <c r="N78" s="112"/>
      <c r="O78" s="113"/>
      <c r="P78" s="29">
        <f t="shared" si="17"/>
        <v>0</v>
      </c>
      <c r="Q78" s="29" t="s">
        <v>216</v>
      </c>
      <c r="S78" s="98"/>
      <c r="U78" s="15"/>
      <c r="V78" s="30" t="s">
        <v>241</v>
      </c>
      <c r="W78" s="30" t="str">
        <f>'4. ish zad 21'!C26</f>
        <v>y = 166,63x + 66312</v>
      </c>
      <c r="X78" s="112">
        <f t="shared" ref="X78:X79" si="19">IF(V78=W78,0.5,0)</f>
        <v>0.5</v>
      </c>
      <c r="Y78" s="113"/>
      <c r="Z78" s="29">
        <f t="shared" si="18"/>
        <v>0.5</v>
      </c>
      <c r="AA78" s="29" t="s">
        <v>221</v>
      </c>
    </row>
    <row r="79" spans="1:27" ht="14.25" customHeight="1">
      <c r="B79" s="30" t="s">
        <v>226</v>
      </c>
      <c r="C79" s="30" t="s">
        <v>226</v>
      </c>
      <c r="D79" s="112"/>
      <c r="E79" s="113"/>
      <c r="F79" s="29">
        <f t="shared" si="16"/>
        <v>0</v>
      </c>
      <c r="G79" s="29" t="s">
        <v>216</v>
      </c>
      <c r="H79" s="15"/>
      <c r="I79" s="101"/>
      <c r="J79" s="15"/>
      <c r="L79" s="29" t="s">
        <v>164</v>
      </c>
      <c r="M79" s="29" t="str">
        <f>'4. ish zad 20'!B21</f>
        <v>dan 4</v>
      </c>
      <c r="N79" s="112">
        <f>IF(L79=M79,1,0)</f>
        <v>1</v>
      </c>
      <c r="O79" s="113"/>
      <c r="P79" s="29">
        <f t="shared" si="17"/>
        <v>1</v>
      </c>
      <c r="Q79" s="29" t="s">
        <v>216</v>
      </c>
      <c r="S79" s="98"/>
      <c r="U79" s="15"/>
      <c r="V79" s="30" t="s">
        <v>242</v>
      </c>
      <c r="W79" s="30" t="str">
        <f>'4. ish zad 21'!C27</f>
        <v>y = 78767e^0,0012x</v>
      </c>
      <c r="X79" s="112">
        <f t="shared" si="19"/>
        <v>0.5</v>
      </c>
      <c r="Y79" s="113"/>
      <c r="Z79" s="29">
        <f t="shared" si="18"/>
        <v>0.5</v>
      </c>
      <c r="AA79" s="29" t="s">
        <v>221</v>
      </c>
    </row>
    <row r="80" spans="1:27" ht="14.25" customHeight="1">
      <c r="B80" s="56">
        <v>17250</v>
      </c>
      <c r="C80" s="56">
        <f>'4. ish zad 19'!B31</f>
        <v>17250</v>
      </c>
      <c r="D80" s="29">
        <f>IF(ROUND(B80,2)=ROUND(C80,2),1,0)</f>
        <v>1</v>
      </c>
      <c r="E80" s="100"/>
      <c r="F80" s="29">
        <f t="shared" si="16"/>
        <v>1</v>
      </c>
      <c r="G80" s="29" t="s">
        <v>216</v>
      </c>
      <c r="H80" s="15"/>
      <c r="I80" s="101"/>
      <c r="J80" s="15"/>
      <c r="L80" s="99">
        <v>576</v>
      </c>
      <c r="M80" s="99">
        <f>'4. ish zad 20'!B25</f>
        <v>576</v>
      </c>
      <c r="N80" s="29">
        <f>IF(ROUND(L80,2)=ROUND(M80,2),1,0)</f>
        <v>1</v>
      </c>
      <c r="O80" s="100"/>
      <c r="P80" s="29">
        <f t="shared" si="17"/>
        <v>1</v>
      </c>
      <c r="Q80" s="29" t="s">
        <v>216</v>
      </c>
      <c r="S80" s="98"/>
      <c r="U80" s="15"/>
      <c r="V80" s="30" t="s">
        <v>227</v>
      </c>
      <c r="W80" s="30" t="str">
        <f>'4. ish zad 21'!B29</f>
        <v>eksponencijalni model</v>
      </c>
      <c r="X80" s="112">
        <f>IF(V80=W80,1,0)</f>
        <v>1</v>
      </c>
      <c r="Y80" s="113"/>
      <c r="Z80" s="29">
        <f t="shared" si="18"/>
        <v>1</v>
      </c>
      <c r="AA80" s="29" t="s">
        <v>216</v>
      </c>
    </row>
    <row r="81" spans="1:27" ht="14.25" customHeight="1">
      <c r="B81" s="107">
        <v>16655.231157463604</v>
      </c>
      <c r="C81" s="107">
        <f>'4. ish zad 19'!B38</f>
        <v>16655.231157463604</v>
      </c>
      <c r="D81" s="29">
        <f>IF(ROUND(B81,0)=ROUND(C81,0),2,0)</f>
        <v>2</v>
      </c>
      <c r="E81" s="100"/>
      <c r="F81" s="29">
        <f t="shared" si="16"/>
        <v>2</v>
      </c>
      <c r="G81" s="29" t="s">
        <v>224</v>
      </c>
      <c r="H81" s="15"/>
      <c r="I81" s="101"/>
      <c r="J81" s="15"/>
      <c r="L81" s="105">
        <v>6.4814814814814881E-2</v>
      </c>
      <c r="M81" s="105">
        <f>'4. ish zad 20'!B29</f>
        <v>6.4814814814814881E-2</v>
      </c>
      <c r="N81" s="29">
        <f>IF(ROUND(L81,4)=ROUND(M81,4),1,0)</f>
        <v>1</v>
      </c>
      <c r="O81" s="100"/>
      <c r="P81" s="29">
        <f t="shared" si="17"/>
        <v>1</v>
      </c>
      <c r="Q81" s="29" t="s">
        <v>216</v>
      </c>
      <c r="S81" s="98"/>
      <c r="U81" s="15"/>
      <c r="V81" s="30" t="s">
        <v>228</v>
      </c>
      <c r="W81" s="30" t="s">
        <v>228</v>
      </c>
      <c r="X81" s="112"/>
      <c r="Y81" s="113"/>
      <c r="Z81" s="29">
        <f t="shared" si="18"/>
        <v>0</v>
      </c>
      <c r="AA81" s="29" t="s">
        <v>216</v>
      </c>
    </row>
    <row r="82" spans="1:27" ht="14.25" customHeight="1">
      <c r="A82" s="102" t="s">
        <v>218</v>
      </c>
      <c r="B82" s="29"/>
      <c r="C82" s="29"/>
      <c r="D82" s="28"/>
      <c r="E82" s="106"/>
      <c r="F82" s="28">
        <f>SUM(F77:F81)</f>
        <v>5</v>
      </c>
      <c r="G82" s="28" t="s">
        <v>225</v>
      </c>
      <c r="H82" s="15"/>
      <c r="I82" s="101"/>
      <c r="J82" s="15"/>
      <c r="L82" s="107">
        <v>4609</v>
      </c>
      <c r="M82" s="107">
        <f>'4. ish zad 20'!B35</f>
        <v>4609</v>
      </c>
      <c r="N82" s="29">
        <f>IF(ROUND(L82,2)=ROUND(M82,2),1,0)</f>
        <v>1</v>
      </c>
      <c r="O82" s="100"/>
      <c r="P82" s="29">
        <f t="shared" si="17"/>
        <v>1</v>
      </c>
      <c r="Q82" s="29" t="s">
        <v>216</v>
      </c>
      <c r="S82" s="98"/>
      <c r="U82" s="15"/>
      <c r="V82" s="30" t="s">
        <v>228</v>
      </c>
      <c r="W82" s="30" t="s">
        <v>228</v>
      </c>
      <c r="X82" s="112"/>
      <c r="Y82" s="113"/>
      <c r="Z82" s="29">
        <f t="shared" si="18"/>
        <v>0</v>
      </c>
      <c r="AA82" s="29" t="s">
        <v>216</v>
      </c>
    </row>
    <row r="83" spans="1:27" ht="14.25" customHeight="1">
      <c r="H83" s="15"/>
      <c r="I83" s="101"/>
      <c r="J83" s="15"/>
      <c r="L83" s="107">
        <v>21.222404072493678</v>
      </c>
      <c r="M83" s="107">
        <f>'4. ish zad 20'!B39</f>
        <v>21.222404072493678</v>
      </c>
      <c r="N83" s="29">
        <f>IF(OR(ROUND(L83,2)=ROUND(M83,2),ROUND(L84,2)=ROUND(M83,2)),0.5,0)</f>
        <v>0.5</v>
      </c>
      <c r="O83" s="100"/>
      <c r="P83" s="29">
        <f t="shared" si="17"/>
        <v>0.5</v>
      </c>
      <c r="Q83" s="29" t="s">
        <v>221</v>
      </c>
      <c r="S83" s="98"/>
      <c r="V83" s="99">
        <v>135978.13862685958</v>
      </c>
      <c r="W83" s="99">
        <f>'4. ish zad 21'!B35</f>
        <v>135978.13862685958</v>
      </c>
      <c r="X83" s="29">
        <f>IF(ROUND(V83,2)=ROUND(W83,2),1,0)</f>
        <v>1</v>
      </c>
      <c r="Y83" s="100"/>
      <c r="Z83" s="29">
        <f t="shared" si="18"/>
        <v>1</v>
      </c>
      <c r="AA83" s="29" t="s">
        <v>216</v>
      </c>
    </row>
    <row r="84" spans="1:27" ht="14.25" customHeight="1">
      <c r="H84" s="15"/>
      <c r="I84" s="101"/>
      <c r="J84" s="15"/>
      <c r="L84" s="107">
        <v>-12.722404072493678</v>
      </c>
      <c r="M84" s="107">
        <f>'4. ish zad 20'!B40</f>
        <v>-12.722404072493678</v>
      </c>
      <c r="N84" s="29">
        <f>IF(OR(ROUND(L84,2)=ROUND(M84,2),ROUND(L83,2)=ROUND(M84,2)),0.5,0)</f>
        <v>0.5</v>
      </c>
      <c r="O84" s="100"/>
      <c r="P84" s="29">
        <f t="shared" si="17"/>
        <v>0.5</v>
      </c>
      <c r="Q84" s="29" t="s">
        <v>221</v>
      </c>
      <c r="S84" s="98"/>
      <c r="U84" s="28" t="s">
        <v>218</v>
      </c>
      <c r="V84" s="29"/>
      <c r="W84" s="29"/>
      <c r="X84" s="28"/>
      <c r="Y84" s="106"/>
      <c r="Z84" s="28">
        <f>SUM(Z77:Z83)</f>
        <v>3</v>
      </c>
      <c r="AA84" s="28" t="s">
        <v>225</v>
      </c>
    </row>
    <row r="85" spans="1:27" ht="14.25" customHeight="1">
      <c r="H85" s="15"/>
      <c r="I85" s="101"/>
      <c r="J85" s="15"/>
      <c r="L85" s="30" t="s">
        <v>228</v>
      </c>
      <c r="M85" s="30" t="s">
        <v>228</v>
      </c>
      <c r="N85" s="112"/>
      <c r="O85" s="113"/>
      <c r="P85" s="29">
        <f t="shared" si="17"/>
        <v>0</v>
      </c>
      <c r="Q85" s="29" t="s">
        <v>216</v>
      </c>
      <c r="S85" s="98"/>
    </row>
    <row r="86" spans="1:27" ht="14.25" customHeight="1">
      <c r="H86" s="15"/>
      <c r="I86" s="101"/>
      <c r="J86" s="15"/>
      <c r="L86" s="30" t="s">
        <v>228</v>
      </c>
      <c r="M86" s="30" t="s">
        <v>228</v>
      </c>
      <c r="N86" s="112"/>
      <c r="O86" s="113"/>
      <c r="P86" s="29">
        <f t="shared" si="17"/>
        <v>0</v>
      </c>
      <c r="Q86" s="29" t="s">
        <v>216</v>
      </c>
      <c r="S86" s="98"/>
      <c r="U86" s="15"/>
      <c r="V86" s="15"/>
      <c r="W86" s="15"/>
      <c r="X86" s="15"/>
      <c r="Y86" s="15"/>
      <c r="Z86" s="15"/>
      <c r="AA86" s="15"/>
    </row>
    <row r="87" spans="1:27" ht="14.25" customHeight="1">
      <c r="H87" s="96"/>
      <c r="I87" s="97"/>
      <c r="J87" s="15"/>
      <c r="K87" s="102" t="s">
        <v>218</v>
      </c>
      <c r="L87" s="29"/>
      <c r="M87" s="29"/>
      <c r="N87" s="28"/>
      <c r="O87" s="106"/>
      <c r="P87" s="28">
        <f>SUM(P77:P86)</f>
        <v>6</v>
      </c>
      <c r="Q87" s="28" t="s">
        <v>229</v>
      </c>
      <c r="S87" s="98"/>
      <c r="U87" s="15"/>
      <c r="V87" s="15"/>
      <c r="W87" s="15"/>
      <c r="X87" s="15"/>
      <c r="Y87" s="15"/>
      <c r="Z87" s="15"/>
      <c r="AA87" s="15"/>
    </row>
    <row r="88" spans="1:27" ht="14.25" customHeight="1">
      <c r="I88" s="98"/>
      <c r="J88" s="15"/>
      <c r="S88" s="98"/>
      <c r="U88" s="15"/>
      <c r="V88" s="15"/>
      <c r="W88" s="15"/>
      <c r="X88" s="15"/>
      <c r="Y88" s="15"/>
      <c r="Z88" s="15"/>
      <c r="AA88" s="15"/>
    </row>
    <row r="89" spans="1:27" ht="14.25" customHeight="1">
      <c r="I89" s="98"/>
      <c r="J89" s="96"/>
      <c r="S89" s="98"/>
      <c r="U89" s="15"/>
      <c r="V89" s="15"/>
      <c r="W89" s="15"/>
      <c r="X89" s="15"/>
      <c r="Y89" s="15"/>
      <c r="Z89" s="15"/>
      <c r="AA89" s="15"/>
    </row>
    <row r="90" spans="1:27" ht="14.25" customHeight="1">
      <c r="I90" s="98"/>
      <c r="S90" s="98"/>
      <c r="U90" s="15"/>
      <c r="V90" s="15"/>
      <c r="W90" s="15"/>
      <c r="X90" s="15"/>
      <c r="Y90" s="15"/>
      <c r="Z90" s="15"/>
      <c r="AA90" s="15"/>
    </row>
    <row r="91" spans="1:27" ht="14.25" customHeight="1">
      <c r="I91" s="98"/>
      <c r="S91" s="98"/>
      <c r="U91" s="15"/>
      <c r="V91" s="15"/>
      <c r="W91" s="15"/>
      <c r="X91" s="15"/>
      <c r="Y91" s="15"/>
      <c r="Z91" s="15"/>
      <c r="AA91" s="15"/>
    </row>
    <row r="92" spans="1:27" ht="14.25" customHeight="1">
      <c r="I92" s="98"/>
      <c r="S92" s="98"/>
      <c r="U92" s="15"/>
      <c r="V92" s="15"/>
      <c r="W92" s="15"/>
      <c r="X92" s="15"/>
      <c r="Y92" s="15"/>
      <c r="Z92" s="15"/>
      <c r="AA92" s="15"/>
    </row>
    <row r="93" spans="1:27" ht="14.25" customHeight="1">
      <c r="I93" s="98"/>
      <c r="S93" s="98"/>
      <c r="U93" s="15"/>
      <c r="V93" s="15"/>
      <c r="W93" s="15"/>
      <c r="X93" s="15"/>
      <c r="Y93" s="15"/>
      <c r="Z93" s="15"/>
      <c r="AA93" s="15"/>
    </row>
    <row r="94" spans="1:27" ht="14.25" customHeight="1">
      <c r="I94" s="98"/>
      <c r="K94" s="96"/>
      <c r="L94" s="15"/>
      <c r="M94" s="15"/>
      <c r="N94" s="96"/>
      <c r="O94" s="96"/>
      <c r="P94" s="96"/>
      <c r="Q94" s="96"/>
      <c r="S94" s="98"/>
      <c r="U94" s="15"/>
      <c r="V94" s="15"/>
      <c r="W94" s="15"/>
      <c r="X94" s="15"/>
      <c r="Y94" s="15"/>
      <c r="Z94" s="15"/>
      <c r="AA94" s="15"/>
    </row>
    <row r="95" spans="1:27" ht="14.25" customHeight="1">
      <c r="A95" s="98"/>
      <c r="B95" s="98"/>
      <c r="C95" s="98"/>
      <c r="D95" s="98"/>
      <c r="E95" s="98"/>
      <c r="F95" s="98"/>
      <c r="G95" s="98"/>
      <c r="H95" s="98"/>
      <c r="I95" s="97"/>
      <c r="J95" s="101"/>
      <c r="K95" s="101"/>
      <c r="L95" s="97"/>
      <c r="M95" s="97"/>
      <c r="N95" s="97"/>
      <c r="O95" s="97"/>
      <c r="P95" s="98"/>
      <c r="Q95" s="98"/>
      <c r="R95" s="98"/>
      <c r="S95" s="98"/>
      <c r="T95" s="98"/>
      <c r="U95" s="98"/>
      <c r="V95" s="98"/>
      <c r="W95" s="98"/>
      <c r="X95" s="98"/>
      <c r="Y95" s="98"/>
      <c r="Z95" s="98"/>
      <c r="AA95" s="98"/>
    </row>
    <row r="96" spans="1:27"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4">
    <mergeCell ref="H1:Q1"/>
    <mergeCell ref="R1:U1"/>
    <mergeCell ref="V1:Y1"/>
    <mergeCell ref="Z1:AB1"/>
  </mergeCells>
  <phoneticPr fontId="25" type="noConversion"/>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1000"/>
  <sheetViews>
    <sheetView workbookViewId="0"/>
  </sheetViews>
  <sheetFormatPr defaultColWidth="14.453125" defaultRowHeight="15" customHeight="1"/>
  <cols>
    <col min="1" max="26" width="10.6328125" customWidth="1"/>
  </cols>
  <sheetData>
    <row r="1" spans="1:8" ht="14.25" customHeight="1">
      <c r="H1" s="14"/>
    </row>
    <row r="2" spans="1:8" ht="14.25" customHeight="1">
      <c r="C2" s="3" t="s">
        <v>28</v>
      </c>
      <c r="D2" s="15" t="e">
        <f>kontrola!B2</f>
        <v>#REF!</v>
      </c>
      <c r="H2" s="14"/>
    </row>
    <row r="3" spans="1:8" ht="14.25" customHeight="1">
      <c r="H3" s="14"/>
    </row>
    <row r="4" spans="1:8" ht="14.25" customHeight="1">
      <c r="A4" s="3" t="s">
        <v>3</v>
      </c>
      <c r="B4" s="3" t="str">
        <f t="array" ref="B4">IF(kontrola!C4="da", _xludf.IFS(SUM(kontrola!H3:K3)&lt;=2,"Niste svladali osnove postotnog računa.",SUM(kontrola!H3:K3)&lt;=7,"Djelomično ste svladali osnove postotnog računa",SUM(kontrola!H3:K3)&lt;=8,"Odlično ste svladali osnove postotnog računa."), "Ishod 1 niste pisali.")</f>
        <v>Ishod 1 niste pisali.</v>
      </c>
      <c r="H4" s="14"/>
    </row>
    <row r="5" spans="1:8" ht="14.25" customHeight="1">
      <c r="B5" s="3" t="str">
        <f t="array" ref="B5">IF(kontrola!C4="da", _xludf.IFS(SUM(kontrola!L3:M3)&lt;1,"Niste svladali izračun PDV-a.",SUM(kontrola!L3:M3)&lt;3,"Djelomično ste svladali primjenu postotnog računa u marketingu.",SUM(kontrola!L3:M3)&lt;=4,"Odlično ste svladali izračun PDV-a."), "Ishod 1 niste pisali.")</f>
        <v>Ishod 1 niste pisali.</v>
      </c>
      <c r="H5" s="14"/>
    </row>
    <row r="6" spans="1:8" ht="14.25" customHeight="1">
      <c r="B6" s="3" t="str">
        <f t="array" ref="B6">IF(kontrola!C4="da", _xludf.IFS(SUM(kontrola!N3:Q3)&lt;3,"Niste svladali primjenu postotnog računa u marketingu.",SUM(kontrola!N3:Q3)&lt;7,"Djelomično ste svladali izračun PDV-a.",SUM(kontrola!N3:Q3)&lt;=8,"Odlično ste svladali primjenu postotnog računa u marketingu."), "Ishod 1 niste pisali.")</f>
        <v>Ishod 1 niste pisali.</v>
      </c>
      <c r="H6" s="14"/>
    </row>
    <row r="7" spans="1:8" ht="14.25" customHeight="1">
      <c r="H7" s="14"/>
    </row>
    <row r="8" spans="1:8" ht="14.25" customHeight="1">
      <c r="A8" s="3" t="s">
        <v>5</v>
      </c>
      <c r="B8" s="3" t="str">
        <f t="array" ref="B8">IF(kontrola!D4="da", _xludf.IFS(kontrola!R3&lt;2,"Niste svladali obračun plaće.",kontrola!R3&lt;4,"Djelomično ste svladali obračun plaće.",kontrola!R3&lt;=5,"Odlično ste svladali obračun plaće."), "Ishod 2 niste pisali.")</f>
        <v>Ishod 2 niste pisali.</v>
      </c>
      <c r="H8" s="14"/>
    </row>
    <row r="9" spans="1:8" ht="14.25" customHeight="1">
      <c r="B9" s="3" t="str">
        <f t="array" ref="B9">IF(kontrola!D4="da", _xludf.IFS(SUM(kontrola!S3:T3)&lt;3,"Niste svladali složeni kamatni račun.",SUM(kontrola!S3:T3)&lt;8,"Djelomično ste svladali složeni kamatni račun.",SUM(kontrola!S3:T3)&lt;=9,"Odlično ste svladali složeni kamatni račun."), "Ishod 2 niste pisali.")</f>
        <v>Ishod 2 niste pisali.</v>
      </c>
      <c r="H9" s="14"/>
    </row>
    <row r="10" spans="1:8" ht="14.25" customHeight="1">
      <c r="B10" s="3" t="str">
        <f t="array" ref="B10">IF(kontrola!D4="da", _xludf.IFS(kontrola!U3&lt;2,"Niste svladali početnu i konačnu vrijednost višekratnih uplata / isplata.",kontrola!U3&lt;5,"Djelomično ste svladali početnu i konačnu vrijednost višekratnih uplata / isplata.",kontrola!U3&lt;=6,"Odlično ste svladali početnu i konačnu vrijednost višekratnih uplata / isplata."), "Ishod 2 niste pisali.")</f>
        <v>Ishod 2 niste pisali.</v>
      </c>
      <c r="H10" s="14"/>
    </row>
    <row r="11" spans="1:8" ht="14.25" customHeight="1">
      <c r="H11" s="14"/>
    </row>
    <row r="12" spans="1:8" ht="14.25" customHeight="1">
      <c r="A12" s="3" t="s">
        <v>6</v>
      </c>
      <c r="B12" s="3" t="str">
        <f t="array" ref="B12">IF(kontrola!E4="da", _xludf.IFS(SUM(kontrola!V3:W3)&lt;4,"Niste usvojili gradivo izrade otplatne tablice kredita.",SUM(kontrola!V3:W3)&lt;8,"Djelomično ste usvojili gradivo izrade otplatne tablice kredita.",SUM(kontrola!V3:W3)&lt;=10,"Odlično ste usvojili gradivo izrade otplatne tablice kredita."), "Ishod 3 niste pisali.")</f>
        <v>Ishod 3 niste pisali.</v>
      </c>
      <c r="H12" s="14"/>
    </row>
    <row r="13" spans="1:8" ht="14.25" customHeight="1">
      <c r="B13" s="3" t="str">
        <f t="array" ref="B13">IF(kontrola!E4="da", _xludf.IFS(SUM(kontrola!X3:Y3)&lt;4,"Niste svladali konverziju kredita i APN.",SUM(kontrola!X3:Y3)&lt;8,"Djelomično ste svladali konverziju kredita i APN.",SUM(kontrola!X3:Y3)&lt;=10,"Odlično ste svladali konverziju kredita i APN."), "Ishod 3 niste pisali.")</f>
        <v>Ishod 3 niste pisali.</v>
      </c>
      <c r="H13" s="14"/>
    </row>
    <row r="14" spans="1:8" ht="14.25" customHeight="1">
      <c r="H14" s="14"/>
    </row>
    <row r="15" spans="1:8" ht="14.25" customHeight="1">
      <c r="A15" s="3" t="s">
        <v>7</v>
      </c>
      <c r="B15" s="3" t="str">
        <f t="array" ref="B15">IF(kontrola!F4="da", _xludf.IFS(kontrola!Z3&lt;2,"Niste svladali linearnu funkciju i njenu primjenu.",kontrola!Z3&lt;4,"Djelomično ste svladali linearnu funkciju i njenu primjenu.",kontrola!Z3&lt;=5,"Odlično ste svladali linearnu funkciju i njenu primjenu."), "Ishod 4 niste pisali.")</f>
        <v>Ishod 4 niste pisali.</v>
      </c>
      <c r="H15" s="14"/>
    </row>
    <row r="16" spans="1:8" ht="14.25" customHeight="1">
      <c r="B16" s="3" t="str">
        <f t="array" ref="B16">IF(kontrola!F4="da", _xludf.IFS(kontrola!AA3&lt;3,"Niste svladali kvadratnu funkciju i njenu primjenu.",kontrola!AA3&lt;7,"Djelomično ste svladali kvadratnu funkciju i njenu primjenu.",kontrola!AA3&lt;=9,"Odlično ste svladali kvadratnu funkciju i njenu primjenu."), "Ishod 4 niste pisali.")</f>
        <v>Ishod 4 niste pisali.</v>
      </c>
      <c r="H16" s="14"/>
    </row>
    <row r="17" spans="2:8" ht="14.25" customHeight="1">
      <c r="B17" s="3" t="str">
        <f t="array" ref="B17">IF(kontrola!F4="da", _xludf.IFS(kontrola!AB3&lt;3,"Niste svladali eksponencijalnu funkciju i njenu primjenu.",kontrola!AB3&lt;5,"Djelomično ste svladali eksponencijalnu funkciju i njenu primjenu.",kontrola!AB3&lt;=6,"Odlično ste svladali eksponencijalnu funkciju i njenu primjenu."), "Ishod 4 niste pisali.")</f>
        <v>Ishod 4 niste pisali.</v>
      </c>
      <c r="H17" s="14"/>
    </row>
    <row r="18" spans="2:8" ht="14.25" customHeight="1">
      <c r="H18" s="14"/>
    </row>
    <row r="19" spans="2:8" ht="14.25" customHeight="1">
      <c r="H19" s="14"/>
    </row>
    <row r="20" spans="2:8" ht="14.25" customHeight="1">
      <c r="H20" s="14"/>
    </row>
    <row r="21" spans="2:8" ht="14.25" customHeight="1">
      <c r="H21" s="14"/>
    </row>
    <row r="22" spans="2:8" ht="14.25" customHeight="1">
      <c r="H22" s="14"/>
    </row>
    <row r="23" spans="2:8" ht="14.25" customHeight="1">
      <c r="H23" s="14"/>
    </row>
    <row r="24" spans="2:8" ht="14.25" customHeight="1">
      <c r="H24" s="14"/>
    </row>
    <row r="25" spans="2:8" ht="14.25" customHeight="1">
      <c r="H25" s="14"/>
    </row>
    <row r="26" spans="2:8" ht="14.25" customHeight="1">
      <c r="H26" s="14"/>
    </row>
    <row r="27" spans="2:8" ht="14.25" customHeight="1">
      <c r="H27" s="14"/>
    </row>
    <row r="28" spans="2:8" ht="14.25" customHeight="1">
      <c r="H28" s="14"/>
    </row>
    <row r="29" spans="2:8" ht="14.25" customHeight="1">
      <c r="H29" s="14"/>
    </row>
    <row r="30" spans="2:8" ht="14.25" customHeight="1">
      <c r="H30" s="14"/>
    </row>
    <row r="31" spans="2:8" ht="14.25" customHeight="1">
      <c r="H31" s="14"/>
    </row>
    <row r="32" spans="2:8" ht="14.25" customHeight="1">
      <c r="H32" s="14"/>
    </row>
    <row r="33" spans="8:8" ht="14.25" customHeight="1">
      <c r="H33" s="14"/>
    </row>
    <row r="34" spans="8:8" ht="14.25" customHeight="1">
      <c r="H34" s="14"/>
    </row>
    <row r="35" spans="8:8" ht="14.25" customHeight="1">
      <c r="H35" s="14"/>
    </row>
    <row r="36" spans="8:8" ht="14.25" customHeight="1">
      <c r="H36" s="14"/>
    </row>
    <row r="37" spans="8:8" ht="14.25" customHeight="1">
      <c r="H37" s="14"/>
    </row>
    <row r="38" spans="8:8" ht="14.25" customHeight="1">
      <c r="H38" s="14"/>
    </row>
    <row r="39" spans="8:8" ht="14.25" customHeight="1">
      <c r="H39" s="14"/>
    </row>
    <row r="40" spans="8:8" ht="14.25" customHeight="1">
      <c r="H40" s="14"/>
    </row>
    <row r="41" spans="8:8" ht="14.25" customHeight="1">
      <c r="H41" s="14"/>
    </row>
    <row r="42" spans="8:8" ht="14.25" customHeight="1">
      <c r="H42" s="14"/>
    </row>
    <row r="43" spans="8:8" ht="14.25" customHeight="1">
      <c r="H43" s="14"/>
    </row>
    <row r="44" spans="8:8" ht="14.25" customHeight="1">
      <c r="H44" s="14"/>
    </row>
    <row r="45" spans="8:8" ht="14.25" customHeight="1">
      <c r="H45" s="14"/>
    </row>
    <row r="46" spans="8:8" ht="14.25" customHeight="1">
      <c r="H46" s="14"/>
    </row>
    <row r="47" spans="8:8" ht="14.25" customHeight="1">
      <c r="H47" s="14"/>
    </row>
    <row r="48" spans="8:8" ht="14.25" customHeight="1">
      <c r="H48" s="14"/>
    </row>
    <row r="49" spans="8:8" ht="14.25" customHeight="1">
      <c r="H49" s="14"/>
    </row>
    <row r="50" spans="8:8" ht="14.25" customHeight="1">
      <c r="H50" s="14"/>
    </row>
    <row r="51" spans="8:8" ht="14.25" customHeight="1">
      <c r="H51" s="14"/>
    </row>
    <row r="52" spans="8:8" ht="14.25" customHeight="1">
      <c r="H52" s="14"/>
    </row>
    <row r="53" spans="8:8" ht="14.25" customHeight="1">
      <c r="H53" s="14"/>
    </row>
    <row r="54" spans="8:8" ht="14.25" customHeight="1">
      <c r="H54" s="14"/>
    </row>
    <row r="55" spans="8:8" ht="14.25" customHeight="1">
      <c r="H55" s="14"/>
    </row>
    <row r="56" spans="8:8" ht="14.25" customHeight="1">
      <c r="H56" s="14"/>
    </row>
    <row r="57" spans="8:8" ht="14.25" customHeight="1">
      <c r="H57" s="14"/>
    </row>
    <row r="58" spans="8:8" ht="14.25" customHeight="1">
      <c r="H58" s="14"/>
    </row>
    <row r="59" spans="8:8" ht="14.25" customHeight="1">
      <c r="H59" s="14"/>
    </row>
    <row r="60" spans="8:8" ht="14.25" customHeight="1">
      <c r="H60" s="14"/>
    </row>
    <row r="61" spans="8:8" ht="14.25" customHeight="1">
      <c r="H61" s="14"/>
    </row>
    <row r="62" spans="8:8" ht="14.25" customHeight="1">
      <c r="H62" s="14"/>
    </row>
    <row r="63" spans="8:8" ht="14.25" customHeight="1">
      <c r="H63" s="14"/>
    </row>
    <row r="64" spans="8:8" ht="14.25" customHeight="1">
      <c r="H64" s="14"/>
    </row>
    <row r="65" spans="8:8" ht="14.25" customHeight="1">
      <c r="H65" s="14"/>
    </row>
    <row r="66" spans="8:8" ht="14.25" customHeight="1">
      <c r="H66" s="14"/>
    </row>
    <row r="67" spans="8:8" ht="14.25" customHeight="1">
      <c r="H67" s="14"/>
    </row>
    <row r="68" spans="8:8" ht="14.25" customHeight="1">
      <c r="H68" s="14"/>
    </row>
    <row r="69" spans="8:8" ht="14.25" customHeight="1">
      <c r="H69" s="14"/>
    </row>
    <row r="70" spans="8:8" ht="14.25" customHeight="1">
      <c r="H70" s="14"/>
    </row>
    <row r="71" spans="8:8" ht="14.25" customHeight="1">
      <c r="H71" s="14"/>
    </row>
    <row r="72" spans="8:8" ht="14.25" customHeight="1">
      <c r="H72" s="14"/>
    </row>
    <row r="73" spans="8:8" ht="14.25" customHeight="1">
      <c r="H73" s="14"/>
    </row>
    <row r="74" spans="8:8" ht="14.25" customHeight="1">
      <c r="H74" s="14"/>
    </row>
    <row r="75" spans="8:8" ht="14.25" customHeight="1">
      <c r="H75" s="14"/>
    </row>
    <row r="76" spans="8:8" ht="14.25" customHeight="1">
      <c r="H76" s="14"/>
    </row>
    <row r="77" spans="8:8" ht="14.25" customHeight="1">
      <c r="H77" s="14"/>
    </row>
    <row r="78" spans="8:8" ht="14.25" customHeight="1">
      <c r="H78" s="14"/>
    </row>
    <row r="79" spans="8:8" ht="14.25" customHeight="1">
      <c r="H79" s="14"/>
    </row>
    <row r="80" spans="8:8" ht="14.25" customHeight="1">
      <c r="H80" s="14"/>
    </row>
    <row r="81" spans="8:8" ht="14.25" customHeight="1">
      <c r="H81" s="14"/>
    </row>
    <row r="82" spans="8:8" ht="14.25" customHeight="1">
      <c r="H82" s="14"/>
    </row>
    <row r="83" spans="8:8" ht="14.25" customHeight="1">
      <c r="H83" s="14"/>
    </row>
    <row r="84" spans="8:8" ht="14.25" customHeight="1">
      <c r="H84" s="14"/>
    </row>
    <row r="85" spans="8:8" ht="14.25" customHeight="1">
      <c r="H85" s="14"/>
    </row>
    <row r="86" spans="8:8" ht="14.25" customHeight="1">
      <c r="H86" s="14"/>
    </row>
    <row r="87" spans="8:8" ht="14.25" customHeight="1">
      <c r="H87" s="14"/>
    </row>
    <row r="88" spans="8:8" ht="14.25" customHeight="1">
      <c r="H88" s="14"/>
    </row>
    <row r="89" spans="8:8" ht="14.25" customHeight="1">
      <c r="H89" s="14"/>
    </row>
    <row r="90" spans="8:8" ht="14.25" customHeight="1">
      <c r="H90" s="14"/>
    </row>
    <row r="91" spans="8:8" ht="14.25" customHeight="1">
      <c r="H91" s="14"/>
    </row>
    <row r="92" spans="8:8" ht="14.25" customHeight="1">
      <c r="H92" s="14"/>
    </row>
    <row r="93" spans="8:8" ht="14.25" customHeight="1">
      <c r="H93" s="14"/>
    </row>
    <row r="94" spans="8:8" ht="14.25" customHeight="1">
      <c r="H94" s="14"/>
    </row>
    <row r="95" spans="8:8" ht="14.25" customHeight="1">
      <c r="H95" s="14"/>
    </row>
    <row r="96" spans="8:8" ht="14.25" customHeight="1">
      <c r="H96" s="14"/>
    </row>
    <row r="97" spans="8:8" ht="14.25" customHeight="1">
      <c r="H97" s="14"/>
    </row>
    <row r="98" spans="8:8" ht="14.25" customHeight="1">
      <c r="H98" s="14"/>
    </row>
    <row r="99" spans="8:8" ht="14.25" customHeight="1">
      <c r="H99" s="14"/>
    </row>
    <row r="100" spans="8:8" ht="14.25" customHeight="1">
      <c r="H100" s="14"/>
    </row>
    <row r="101" spans="8:8" ht="14.25" customHeight="1">
      <c r="H101" s="14"/>
    </row>
    <row r="102" spans="8:8" ht="14.25" customHeight="1">
      <c r="H102" s="14"/>
    </row>
    <row r="103" spans="8:8" ht="14.25" customHeight="1">
      <c r="H103" s="14"/>
    </row>
    <row r="104" spans="8:8" ht="14.25" customHeight="1">
      <c r="H104" s="14"/>
    </row>
    <row r="105" spans="8:8" ht="14.25" customHeight="1">
      <c r="H105" s="14"/>
    </row>
    <row r="106" spans="8:8" ht="14.25" customHeight="1">
      <c r="H106" s="14"/>
    </row>
    <row r="107" spans="8:8" ht="14.25" customHeight="1">
      <c r="H107" s="14"/>
    </row>
    <row r="108" spans="8:8" ht="14.25" customHeight="1">
      <c r="H108" s="14"/>
    </row>
    <row r="109" spans="8:8" ht="14.25" customHeight="1">
      <c r="H109" s="14"/>
    </row>
    <row r="110" spans="8:8" ht="14.25" customHeight="1">
      <c r="H110" s="14"/>
    </row>
    <row r="111" spans="8:8" ht="14.25" customHeight="1">
      <c r="H111" s="14"/>
    </row>
    <row r="112" spans="8:8" ht="14.25" customHeight="1">
      <c r="H112" s="14"/>
    </row>
    <row r="113" spans="8:8" ht="14.25" customHeight="1">
      <c r="H113" s="14"/>
    </row>
    <row r="114" spans="8:8" ht="14.25" customHeight="1">
      <c r="H114" s="14"/>
    </row>
    <row r="115" spans="8:8" ht="14.25" customHeight="1">
      <c r="H115" s="14"/>
    </row>
    <row r="116" spans="8:8" ht="14.25" customHeight="1">
      <c r="H116" s="14"/>
    </row>
    <row r="117" spans="8:8" ht="14.25" customHeight="1">
      <c r="H117" s="14"/>
    </row>
    <row r="118" spans="8:8" ht="14.25" customHeight="1">
      <c r="H118" s="14"/>
    </row>
    <row r="119" spans="8:8" ht="14.25" customHeight="1">
      <c r="H119" s="14"/>
    </row>
    <row r="120" spans="8:8" ht="14.25" customHeight="1">
      <c r="H120" s="14"/>
    </row>
    <row r="121" spans="8:8" ht="14.25" customHeight="1">
      <c r="H121" s="14"/>
    </row>
    <row r="122" spans="8:8" ht="14.25" customHeight="1">
      <c r="H122" s="14"/>
    </row>
    <row r="123" spans="8:8" ht="14.25" customHeight="1">
      <c r="H123" s="14"/>
    </row>
    <row r="124" spans="8:8" ht="14.25" customHeight="1">
      <c r="H124" s="14"/>
    </row>
    <row r="125" spans="8:8" ht="14.25" customHeight="1">
      <c r="H125" s="14"/>
    </row>
    <row r="126" spans="8:8" ht="14.25" customHeight="1">
      <c r="H126" s="14"/>
    </row>
    <row r="127" spans="8:8" ht="14.25" customHeight="1">
      <c r="H127" s="14"/>
    </row>
    <row r="128" spans="8:8" ht="14.25" customHeight="1">
      <c r="H128" s="14"/>
    </row>
    <row r="129" spans="8:8" ht="14.25" customHeight="1">
      <c r="H129" s="14"/>
    </row>
    <row r="130" spans="8:8" ht="14.25" customHeight="1">
      <c r="H130" s="14"/>
    </row>
    <row r="131" spans="8:8" ht="14.25" customHeight="1">
      <c r="H131" s="14"/>
    </row>
    <row r="132" spans="8:8" ht="14.25" customHeight="1">
      <c r="H132" s="14"/>
    </row>
    <row r="133" spans="8:8" ht="14.25" customHeight="1">
      <c r="H133" s="14"/>
    </row>
    <row r="134" spans="8:8" ht="14.25" customHeight="1">
      <c r="H134" s="14"/>
    </row>
    <row r="135" spans="8:8" ht="14.25" customHeight="1">
      <c r="H135" s="14"/>
    </row>
    <row r="136" spans="8:8" ht="14.25" customHeight="1">
      <c r="H136" s="14"/>
    </row>
    <row r="137" spans="8:8" ht="14.25" customHeight="1">
      <c r="H137" s="14"/>
    </row>
    <row r="138" spans="8:8" ht="14.25" customHeight="1">
      <c r="H138" s="14"/>
    </row>
    <row r="139" spans="8:8" ht="14.25" customHeight="1">
      <c r="H139" s="14"/>
    </row>
    <row r="140" spans="8:8" ht="14.25" customHeight="1">
      <c r="H140" s="14"/>
    </row>
    <row r="141" spans="8:8" ht="14.25" customHeight="1">
      <c r="H141" s="14"/>
    </row>
    <row r="142" spans="8:8" ht="14.25" customHeight="1">
      <c r="H142" s="14"/>
    </row>
    <row r="143" spans="8:8" ht="14.25" customHeight="1">
      <c r="H143" s="14"/>
    </row>
    <row r="144" spans="8:8" ht="14.25" customHeight="1">
      <c r="H144" s="14"/>
    </row>
    <row r="145" spans="8:8" ht="14.25" customHeight="1">
      <c r="H145" s="14"/>
    </row>
    <row r="146" spans="8:8" ht="14.25" customHeight="1">
      <c r="H146" s="14"/>
    </row>
    <row r="147" spans="8:8" ht="14.25" customHeight="1">
      <c r="H147" s="14"/>
    </row>
    <row r="148" spans="8:8" ht="14.25" customHeight="1">
      <c r="H148" s="14"/>
    </row>
    <row r="149" spans="8:8" ht="14.25" customHeight="1">
      <c r="H149" s="14"/>
    </row>
    <row r="150" spans="8:8" ht="14.25" customHeight="1">
      <c r="H150" s="14"/>
    </row>
    <row r="151" spans="8:8" ht="14.25" customHeight="1">
      <c r="H151" s="14"/>
    </row>
    <row r="152" spans="8:8" ht="14.25" customHeight="1">
      <c r="H152" s="14"/>
    </row>
    <row r="153" spans="8:8" ht="14.25" customHeight="1">
      <c r="H153" s="14"/>
    </row>
    <row r="154" spans="8:8" ht="14.25" customHeight="1">
      <c r="H154" s="14"/>
    </row>
    <row r="155" spans="8:8" ht="14.25" customHeight="1">
      <c r="H155" s="14"/>
    </row>
    <row r="156" spans="8:8" ht="14.25" customHeight="1">
      <c r="H156" s="14"/>
    </row>
    <row r="157" spans="8:8" ht="14.25" customHeight="1">
      <c r="H157" s="14"/>
    </row>
    <row r="158" spans="8:8" ht="14.25" customHeight="1">
      <c r="H158" s="14"/>
    </row>
    <row r="159" spans="8:8" ht="14.25" customHeight="1">
      <c r="H159" s="14"/>
    </row>
    <row r="160" spans="8:8" ht="14.25" customHeight="1">
      <c r="H160" s="14"/>
    </row>
    <row r="161" spans="8:8" ht="14.25" customHeight="1">
      <c r="H161" s="14"/>
    </row>
    <row r="162" spans="8:8" ht="14.25" customHeight="1">
      <c r="H162" s="14"/>
    </row>
    <row r="163" spans="8:8" ht="14.25" customHeight="1">
      <c r="H163" s="14"/>
    </row>
    <row r="164" spans="8:8" ht="14.25" customHeight="1">
      <c r="H164" s="14"/>
    </row>
    <row r="165" spans="8:8" ht="14.25" customHeight="1">
      <c r="H165" s="14"/>
    </row>
    <row r="166" spans="8:8" ht="14.25" customHeight="1">
      <c r="H166" s="14"/>
    </row>
    <row r="167" spans="8:8" ht="14.25" customHeight="1">
      <c r="H167" s="14"/>
    </row>
    <row r="168" spans="8:8" ht="14.25" customHeight="1">
      <c r="H168" s="14"/>
    </row>
    <row r="169" spans="8:8" ht="14.25" customHeight="1">
      <c r="H169" s="14"/>
    </row>
    <row r="170" spans="8:8" ht="14.25" customHeight="1">
      <c r="H170" s="14"/>
    </row>
    <row r="171" spans="8:8" ht="14.25" customHeight="1">
      <c r="H171" s="14"/>
    </row>
    <row r="172" spans="8:8" ht="14.25" customHeight="1">
      <c r="H172" s="14"/>
    </row>
    <row r="173" spans="8:8" ht="14.25" customHeight="1">
      <c r="H173" s="14"/>
    </row>
    <row r="174" spans="8:8" ht="14.25" customHeight="1">
      <c r="H174" s="14"/>
    </row>
    <row r="175" spans="8:8" ht="14.25" customHeight="1">
      <c r="H175" s="14"/>
    </row>
    <row r="176" spans="8:8" ht="14.25" customHeight="1">
      <c r="H176" s="14"/>
    </row>
    <row r="177" spans="8:8" ht="14.25" customHeight="1">
      <c r="H177" s="14"/>
    </row>
    <row r="178" spans="8:8" ht="14.25" customHeight="1">
      <c r="H178" s="14"/>
    </row>
    <row r="179" spans="8:8" ht="14.25" customHeight="1">
      <c r="H179" s="14"/>
    </row>
    <row r="180" spans="8:8" ht="14.25" customHeight="1">
      <c r="H180" s="14"/>
    </row>
    <row r="181" spans="8:8" ht="14.25" customHeight="1">
      <c r="H181" s="14"/>
    </row>
    <row r="182" spans="8:8" ht="14.25" customHeight="1">
      <c r="H182" s="14"/>
    </row>
    <row r="183" spans="8:8" ht="14.25" customHeight="1">
      <c r="H183" s="14"/>
    </row>
    <row r="184" spans="8:8" ht="14.25" customHeight="1">
      <c r="H184" s="14"/>
    </row>
    <row r="185" spans="8:8" ht="14.25" customHeight="1">
      <c r="H185" s="14"/>
    </row>
    <row r="186" spans="8:8" ht="14.25" customHeight="1">
      <c r="H186" s="14"/>
    </row>
    <row r="187" spans="8:8" ht="14.25" customHeight="1">
      <c r="H187" s="14"/>
    </row>
    <row r="188" spans="8:8" ht="14.25" customHeight="1">
      <c r="H188" s="14"/>
    </row>
    <row r="189" spans="8:8" ht="14.25" customHeight="1">
      <c r="H189" s="14"/>
    </row>
    <row r="190" spans="8:8" ht="14.25" customHeight="1">
      <c r="H190" s="14"/>
    </row>
    <row r="191" spans="8:8" ht="14.25" customHeight="1">
      <c r="H191" s="14"/>
    </row>
    <row r="192" spans="8:8" ht="14.25" customHeight="1">
      <c r="H192" s="14"/>
    </row>
    <row r="193" spans="8:8" ht="14.25" customHeight="1">
      <c r="H193" s="14"/>
    </row>
    <row r="194" spans="8:8" ht="14.25" customHeight="1">
      <c r="H194" s="14"/>
    </row>
    <row r="195" spans="8:8" ht="14.25" customHeight="1">
      <c r="H195" s="14"/>
    </row>
    <row r="196" spans="8:8" ht="14.25" customHeight="1">
      <c r="H196" s="14"/>
    </row>
    <row r="197" spans="8:8" ht="14.25" customHeight="1">
      <c r="H197" s="14"/>
    </row>
    <row r="198" spans="8:8" ht="14.25" customHeight="1">
      <c r="H198" s="14"/>
    </row>
    <row r="199" spans="8:8" ht="14.25" customHeight="1">
      <c r="H199" s="14"/>
    </row>
    <row r="200" spans="8:8" ht="14.25" customHeight="1">
      <c r="H200" s="14"/>
    </row>
    <row r="201" spans="8:8" ht="14.25" customHeight="1">
      <c r="H201" s="14"/>
    </row>
    <row r="202" spans="8:8" ht="14.25" customHeight="1">
      <c r="H202" s="14"/>
    </row>
    <row r="203" spans="8:8" ht="14.25" customHeight="1">
      <c r="H203" s="14"/>
    </row>
    <row r="204" spans="8:8" ht="14.25" customHeight="1">
      <c r="H204" s="14"/>
    </row>
    <row r="205" spans="8:8" ht="14.25" customHeight="1">
      <c r="H205" s="14"/>
    </row>
    <row r="206" spans="8:8" ht="14.25" customHeight="1">
      <c r="H206" s="14"/>
    </row>
    <row r="207" spans="8:8" ht="14.25" customHeight="1">
      <c r="H207" s="14"/>
    </row>
    <row r="208" spans="8:8" ht="14.25" customHeight="1">
      <c r="H208" s="14"/>
    </row>
    <row r="209" spans="8:8" ht="14.25" customHeight="1">
      <c r="H209" s="14"/>
    </row>
    <row r="210" spans="8:8" ht="14.25" customHeight="1">
      <c r="H210" s="14"/>
    </row>
    <row r="211" spans="8:8" ht="14.25" customHeight="1">
      <c r="H211" s="14"/>
    </row>
    <row r="212" spans="8:8" ht="14.25" customHeight="1">
      <c r="H212" s="14"/>
    </row>
    <row r="213" spans="8:8" ht="14.25" customHeight="1">
      <c r="H213" s="14"/>
    </row>
    <row r="214" spans="8:8" ht="14.25" customHeight="1">
      <c r="H214" s="14"/>
    </row>
    <row r="215" spans="8:8" ht="14.25" customHeight="1">
      <c r="H215" s="14"/>
    </row>
    <row r="216" spans="8:8" ht="14.25" customHeight="1">
      <c r="H216" s="14"/>
    </row>
    <row r="217" spans="8:8" ht="14.25" customHeight="1">
      <c r="H217" s="14"/>
    </row>
    <row r="218" spans="8:8" ht="14.25" customHeight="1">
      <c r="H218" s="14"/>
    </row>
    <row r="219" spans="8:8" ht="14.25" customHeight="1">
      <c r="H219" s="14"/>
    </row>
    <row r="220" spans="8:8" ht="14.25" customHeight="1">
      <c r="H220" s="14"/>
    </row>
    <row r="221" spans="8:8" ht="14.25" customHeight="1">
      <c r="H221" s="14"/>
    </row>
    <row r="222" spans="8:8" ht="14.25" customHeight="1">
      <c r="H222" s="14"/>
    </row>
    <row r="223" spans="8:8" ht="14.25" customHeight="1">
      <c r="H223" s="14"/>
    </row>
    <row r="224" spans="8:8" ht="14.25" customHeight="1">
      <c r="H224" s="14"/>
    </row>
    <row r="225" spans="8:8" ht="14.25" customHeight="1">
      <c r="H225" s="14"/>
    </row>
    <row r="226" spans="8:8" ht="14.25" customHeight="1">
      <c r="H226" s="14"/>
    </row>
    <row r="227" spans="8:8" ht="14.25" customHeight="1">
      <c r="H227" s="14"/>
    </row>
    <row r="228" spans="8:8" ht="14.25" customHeight="1">
      <c r="H228" s="14"/>
    </row>
    <row r="229" spans="8:8" ht="14.25" customHeight="1">
      <c r="H229" s="14"/>
    </row>
    <row r="230" spans="8:8" ht="14.25" customHeight="1">
      <c r="H230" s="14"/>
    </row>
    <row r="231" spans="8:8" ht="14.25" customHeight="1">
      <c r="H231" s="14"/>
    </row>
    <row r="232" spans="8:8" ht="14.25" customHeight="1">
      <c r="H232" s="14"/>
    </row>
    <row r="233" spans="8:8" ht="14.25" customHeight="1">
      <c r="H233" s="14"/>
    </row>
    <row r="234" spans="8:8" ht="14.25" customHeight="1">
      <c r="H234" s="14"/>
    </row>
    <row r="235" spans="8:8" ht="14.25" customHeight="1">
      <c r="H235" s="14"/>
    </row>
    <row r="236" spans="8:8" ht="14.25" customHeight="1">
      <c r="H236" s="14"/>
    </row>
    <row r="237" spans="8:8" ht="14.25" customHeight="1">
      <c r="H237" s="14"/>
    </row>
    <row r="238" spans="8:8" ht="14.25" customHeight="1">
      <c r="H238" s="14"/>
    </row>
    <row r="239" spans="8:8" ht="14.25" customHeight="1">
      <c r="H239" s="14"/>
    </row>
    <row r="240" spans="8:8" ht="14.25" customHeight="1">
      <c r="H240" s="14"/>
    </row>
    <row r="241" spans="8:8" ht="14.25" customHeight="1">
      <c r="H241" s="14"/>
    </row>
    <row r="242" spans="8:8" ht="14.25" customHeight="1">
      <c r="H242" s="14"/>
    </row>
    <row r="243" spans="8:8" ht="14.25" customHeight="1">
      <c r="H243" s="14"/>
    </row>
    <row r="244" spans="8:8" ht="14.25" customHeight="1">
      <c r="H244" s="14"/>
    </row>
    <row r="245" spans="8:8" ht="14.25" customHeight="1">
      <c r="H245" s="14"/>
    </row>
    <row r="246" spans="8:8" ht="14.25" customHeight="1">
      <c r="H246" s="14"/>
    </row>
    <row r="247" spans="8:8" ht="14.25" customHeight="1">
      <c r="H247" s="14"/>
    </row>
    <row r="248" spans="8:8" ht="14.25" customHeight="1">
      <c r="H248" s="14"/>
    </row>
    <row r="249" spans="8:8" ht="14.25" customHeight="1">
      <c r="H249" s="14"/>
    </row>
    <row r="250" spans="8:8" ht="14.25" customHeight="1">
      <c r="H250" s="14"/>
    </row>
    <row r="251" spans="8:8" ht="14.25" customHeight="1">
      <c r="H251" s="14"/>
    </row>
    <row r="252" spans="8:8" ht="14.25" customHeight="1">
      <c r="H252" s="14"/>
    </row>
    <row r="253" spans="8:8" ht="14.25" customHeight="1">
      <c r="H253" s="14"/>
    </row>
    <row r="254" spans="8:8" ht="14.25" customHeight="1">
      <c r="H254" s="14"/>
    </row>
    <row r="255" spans="8:8" ht="14.25" customHeight="1">
      <c r="H255" s="14"/>
    </row>
    <row r="256" spans="8:8" ht="14.25" customHeight="1">
      <c r="H256" s="14"/>
    </row>
    <row r="257" spans="8:8" ht="14.25" customHeight="1">
      <c r="H257" s="14"/>
    </row>
    <row r="258" spans="8:8" ht="14.25" customHeight="1">
      <c r="H258" s="14"/>
    </row>
    <row r="259" spans="8:8" ht="14.25" customHeight="1">
      <c r="H259" s="14"/>
    </row>
    <row r="260" spans="8:8" ht="14.25" customHeight="1">
      <c r="H260" s="14"/>
    </row>
    <row r="261" spans="8:8" ht="14.25" customHeight="1">
      <c r="H261" s="14"/>
    </row>
    <row r="262" spans="8:8" ht="14.25" customHeight="1">
      <c r="H262" s="14"/>
    </row>
    <row r="263" spans="8:8" ht="14.25" customHeight="1">
      <c r="H263" s="14"/>
    </row>
    <row r="264" spans="8:8" ht="14.25" customHeight="1">
      <c r="H264" s="14"/>
    </row>
    <row r="265" spans="8:8" ht="14.25" customHeight="1">
      <c r="H265" s="14"/>
    </row>
    <row r="266" spans="8:8" ht="14.25" customHeight="1">
      <c r="H266" s="14"/>
    </row>
    <row r="267" spans="8:8" ht="14.25" customHeight="1">
      <c r="H267" s="14"/>
    </row>
    <row r="268" spans="8:8" ht="14.25" customHeight="1">
      <c r="H268" s="14"/>
    </row>
    <row r="269" spans="8:8" ht="14.25" customHeight="1">
      <c r="H269" s="14"/>
    </row>
    <row r="270" spans="8:8" ht="14.25" customHeight="1">
      <c r="H270" s="14"/>
    </row>
    <row r="271" spans="8:8" ht="14.25" customHeight="1">
      <c r="H271" s="14"/>
    </row>
    <row r="272" spans="8:8" ht="14.25" customHeight="1">
      <c r="H272" s="14"/>
    </row>
    <row r="273" spans="8:8" ht="14.25" customHeight="1">
      <c r="H273" s="14"/>
    </row>
    <row r="274" spans="8:8" ht="14.25" customHeight="1">
      <c r="H274" s="14"/>
    </row>
    <row r="275" spans="8:8" ht="14.25" customHeight="1">
      <c r="H275" s="14"/>
    </row>
    <row r="276" spans="8:8" ht="14.25" customHeight="1">
      <c r="H276" s="14"/>
    </row>
    <row r="277" spans="8:8" ht="14.25" customHeight="1">
      <c r="H277" s="14"/>
    </row>
    <row r="278" spans="8:8" ht="14.25" customHeight="1">
      <c r="H278" s="14"/>
    </row>
    <row r="279" spans="8:8" ht="14.25" customHeight="1">
      <c r="H279" s="14"/>
    </row>
    <row r="280" spans="8:8" ht="14.25" customHeight="1">
      <c r="H280" s="14"/>
    </row>
    <row r="281" spans="8:8" ht="14.25" customHeight="1">
      <c r="H281" s="14"/>
    </row>
    <row r="282" spans="8:8" ht="14.25" customHeight="1">
      <c r="H282" s="14"/>
    </row>
    <row r="283" spans="8:8" ht="14.25" customHeight="1">
      <c r="H283" s="14"/>
    </row>
    <row r="284" spans="8:8" ht="14.25" customHeight="1">
      <c r="H284" s="14"/>
    </row>
    <row r="285" spans="8:8" ht="14.25" customHeight="1">
      <c r="H285" s="14"/>
    </row>
    <row r="286" spans="8:8" ht="14.25" customHeight="1">
      <c r="H286" s="14"/>
    </row>
    <row r="287" spans="8:8" ht="14.25" customHeight="1">
      <c r="H287" s="14"/>
    </row>
    <row r="288" spans="8:8" ht="14.25" customHeight="1">
      <c r="H288" s="14"/>
    </row>
    <row r="289" spans="8:8" ht="14.25" customHeight="1">
      <c r="H289" s="14"/>
    </row>
    <row r="290" spans="8:8" ht="14.25" customHeight="1">
      <c r="H290" s="14"/>
    </row>
    <row r="291" spans="8:8" ht="14.25" customHeight="1">
      <c r="H291" s="14"/>
    </row>
    <row r="292" spans="8:8" ht="14.25" customHeight="1">
      <c r="H292" s="14"/>
    </row>
    <row r="293" spans="8:8" ht="14.25" customHeight="1">
      <c r="H293" s="14"/>
    </row>
    <row r="294" spans="8:8" ht="14.25" customHeight="1">
      <c r="H294" s="14"/>
    </row>
    <row r="295" spans="8:8" ht="14.25" customHeight="1">
      <c r="H295" s="14"/>
    </row>
    <row r="296" spans="8:8" ht="14.25" customHeight="1">
      <c r="H296" s="14"/>
    </row>
    <row r="297" spans="8:8" ht="14.25" customHeight="1">
      <c r="H297" s="14"/>
    </row>
    <row r="298" spans="8:8" ht="14.25" customHeight="1">
      <c r="H298" s="14"/>
    </row>
    <row r="299" spans="8:8" ht="14.25" customHeight="1">
      <c r="H299" s="14"/>
    </row>
    <row r="300" spans="8:8" ht="14.25" customHeight="1">
      <c r="H300" s="14"/>
    </row>
    <row r="301" spans="8:8" ht="14.25" customHeight="1">
      <c r="H301" s="14"/>
    </row>
    <row r="302" spans="8:8" ht="14.25" customHeight="1">
      <c r="H302" s="14"/>
    </row>
    <row r="303" spans="8:8" ht="14.25" customHeight="1">
      <c r="H303" s="14"/>
    </row>
    <row r="304" spans="8:8" ht="14.25" customHeight="1">
      <c r="H304" s="14"/>
    </row>
    <row r="305" spans="8:8" ht="14.25" customHeight="1">
      <c r="H305" s="14"/>
    </row>
    <row r="306" spans="8:8" ht="14.25" customHeight="1">
      <c r="H306" s="14"/>
    </row>
    <row r="307" spans="8:8" ht="14.25" customHeight="1">
      <c r="H307" s="14"/>
    </row>
    <row r="308" spans="8:8" ht="14.25" customHeight="1">
      <c r="H308" s="14"/>
    </row>
    <row r="309" spans="8:8" ht="14.25" customHeight="1">
      <c r="H309" s="14"/>
    </row>
    <row r="310" spans="8:8" ht="14.25" customHeight="1">
      <c r="H310" s="14"/>
    </row>
    <row r="311" spans="8:8" ht="14.25" customHeight="1">
      <c r="H311" s="14"/>
    </row>
    <row r="312" spans="8:8" ht="14.25" customHeight="1">
      <c r="H312" s="14"/>
    </row>
    <row r="313" spans="8:8" ht="14.25" customHeight="1">
      <c r="H313" s="14"/>
    </row>
    <row r="314" spans="8:8" ht="14.25" customHeight="1">
      <c r="H314" s="14"/>
    </row>
    <row r="315" spans="8:8" ht="14.25" customHeight="1">
      <c r="H315" s="14"/>
    </row>
    <row r="316" spans="8:8" ht="14.25" customHeight="1">
      <c r="H316" s="14"/>
    </row>
    <row r="317" spans="8:8" ht="14.25" customHeight="1">
      <c r="H317" s="14"/>
    </row>
    <row r="318" spans="8:8" ht="14.25" customHeight="1">
      <c r="H318" s="14"/>
    </row>
    <row r="319" spans="8:8" ht="14.25" customHeight="1">
      <c r="H319" s="14"/>
    </row>
    <row r="320" spans="8:8" ht="14.25" customHeight="1">
      <c r="H320" s="14"/>
    </row>
    <row r="321" spans="8:8" ht="14.25" customHeight="1">
      <c r="H321" s="14"/>
    </row>
    <row r="322" spans="8:8" ht="14.25" customHeight="1">
      <c r="H322" s="14"/>
    </row>
    <row r="323" spans="8:8" ht="14.25" customHeight="1">
      <c r="H323" s="14"/>
    </row>
    <row r="324" spans="8:8" ht="14.25" customHeight="1">
      <c r="H324" s="14"/>
    </row>
    <row r="325" spans="8:8" ht="14.25" customHeight="1">
      <c r="H325" s="14"/>
    </row>
    <row r="326" spans="8:8" ht="14.25" customHeight="1">
      <c r="H326" s="14"/>
    </row>
    <row r="327" spans="8:8" ht="14.25" customHeight="1">
      <c r="H327" s="14"/>
    </row>
    <row r="328" spans="8:8" ht="14.25" customHeight="1">
      <c r="H328" s="14"/>
    </row>
    <row r="329" spans="8:8" ht="14.25" customHeight="1">
      <c r="H329" s="14"/>
    </row>
    <row r="330" spans="8:8" ht="14.25" customHeight="1">
      <c r="H330" s="14"/>
    </row>
    <row r="331" spans="8:8" ht="14.25" customHeight="1">
      <c r="H331" s="14"/>
    </row>
    <row r="332" spans="8:8" ht="14.25" customHeight="1">
      <c r="H332" s="14"/>
    </row>
    <row r="333" spans="8:8" ht="14.25" customHeight="1">
      <c r="H333" s="14"/>
    </row>
    <row r="334" spans="8:8" ht="14.25" customHeight="1">
      <c r="H334" s="14"/>
    </row>
    <row r="335" spans="8:8" ht="14.25" customHeight="1">
      <c r="H335" s="14"/>
    </row>
    <row r="336" spans="8:8" ht="14.25" customHeight="1">
      <c r="H336" s="14"/>
    </row>
    <row r="337" spans="8:8" ht="14.25" customHeight="1">
      <c r="H337" s="14"/>
    </row>
    <row r="338" spans="8:8" ht="14.25" customHeight="1">
      <c r="H338" s="14"/>
    </row>
    <row r="339" spans="8:8" ht="14.25" customHeight="1">
      <c r="H339" s="14"/>
    </row>
    <row r="340" spans="8:8" ht="14.25" customHeight="1">
      <c r="H340" s="14"/>
    </row>
    <row r="341" spans="8:8" ht="14.25" customHeight="1">
      <c r="H341" s="14"/>
    </row>
    <row r="342" spans="8:8" ht="14.25" customHeight="1">
      <c r="H342" s="14"/>
    </row>
    <row r="343" spans="8:8" ht="14.25" customHeight="1">
      <c r="H343" s="14"/>
    </row>
    <row r="344" spans="8:8" ht="14.25" customHeight="1">
      <c r="H344" s="14"/>
    </row>
    <row r="345" spans="8:8" ht="14.25" customHeight="1">
      <c r="H345" s="14"/>
    </row>
    <row r="346" spans="8:8" ht="14.25" customHeight="1">
      <c r="H346" s="14"/>
    </row>
    <row r="347" spans="8:8" ht="14.25" customHeight="1">
      <c r="H347" s="14"/>
    </row>
    <row r="348" spans="8:8" ht="14.25" customHeight="1">
      <c r="H348" s="14"/>
    </row>
    <row r="349" spans="8:8" ht="14.25" customHeight="1">
      <c r="H349" s="14"/>
    </row>
    <row r="350" spans="8:8" ht="14.25" customHeight="1">
      <c r="H350" s="14"/>
    </row>
    <row r="351" spans="8:8" ht="14.25" customHeight="1">
      <c r="H351" s="14"/>
    </row>
    <row r="352" spans="8:8" ht="14.25" customHeight="1">
      <c r="H352" s="14"/>
    </row>
    <row r="353" spans="8:8" ht="14.25" customHeight="1">
      <c r="H353" s="14"/>
    </row>
    <row r="354" spans="8:8" ht="14.25" customHeight="1">
      <c r="H354" s="14"/>
    </row>
    <row r="355" spans="8:8" ht="14.25" customHeight="1">
      <c r="H355" s="14"/>
    </row>
    <row r="356" spans="8:8" ht="14.25" customHeight="1">
      <c r="H356" s="14"/>
    </row>
    <row r="357" spans="8:8" ht="14.25" customHeight="1">
      <c r="H357" s="14"/>
    </row>
    <row r="358" spans="8:8" ht="14.25" customHeight="1">
      <c r="H358" s="14"/>
    </row>
    <row r="359" spans="8:8" ht="14.25" customHeight="1">
      <c r="H359" s="14"/>
    </row>
    <row r="360" spans="8:8" ht="14.25" customHeight="1">
      <c r="H360" s="14"/>
    </row>
    <row r="361" spans="8:8" ht="14.25" customHeight="1">
      <c r="H361" s="14"/>
    </row>
    <row r="362" spans="8:8" ht="14.25" customHeight="1">
      <c r="H362" s="14"/>
    </row>
    <row r="363" spans="8:8" ht="14.25" customHeight="1">
      <c r="H363" s="14"/>
    </row>
    <row r="364" spans="8:8" ht="14.25" customHeight="1">
      <c r="H364" s="14"/>
    </row>
    <row r="365" spans="8:8" ht="14.25" customHeight="1">
      <c r="H365" s="14"/>
    </row>
    <row r="366" spans="8:8" ht="14.25" customHeight="1">
      <c r="H366" s="14"/>
    </row>
    <row r="367" spans="8:8" ht="14.25" customHeight="1">
      <c r="H367" s="14"/>
    </row>
    <row r="368" spans="8:8" ht="14.25" customHeight="1">
      <c r="H368" s="14"/>
    </row>
    <row r="369" spans="8:8" ht="14.25" customHeight="1">
      <c r="H369" s="14"/>
    </row>
    <row r="370" spans="8:8" ht="14.25" customHeight="1">
      <c r="H370" s="14"/>
    </row>
    <row r="371" spans="8:8" ht="14.25" customHeight="1">
      <c r="H371" s="14"/>
    </row>
    <row r="372" spans="8:8" ht="14.25" customHeight="1">
      <c r="H372" s="14"/>
    </row>
    <row r="373" spans="8:8" ht="14.25" customHeight="1">
      <c r="H373" s="14"/>
    </row>
    <row r="374" spans="8:8" ht="14.25" customHeight="1">
      <c r="H374" s="14"/>
    </row>
    <row r="375" spans="8:8" ht="14.25" customHeight="1">
      <c r="H375" s="14"/>
    </row>
    <row r="376" spans="8:8" ht="14.25" customHeight="1">
      <c r="H376" s="14"/>
    </row>
    <row r="377" spans="8:8" ht="14.25" customHeight="1">
      <c r="H377" s="14"/>
    </row>
    <row r="378" spans="8:8" ht="14.25" customHeight="1">
      <c r="H378" s="14"/>
    </row>
    <row r="379" spans="8:8" ht="14.25" customHeight="1">
      <c r="H379" s="14"/>
    </row>
    <row r="380" spans="8:8" ht="14.25" customHeight="1">
      <c r="H380" s="14"/>
    </row>
    <row r="381" spans="8:8" ht="14.25" customHeight="1">
      <c r="H381" s="14"/>
    </row>
    <row r="382" spans="8:8" ht="14.25" customHeight="1">
      <c r="H382" s="14"/>
    </row>
    <row r="383" spans="8:8" ht="14.25" customHeight="1">
      <c r="H383" s="14"/>
    </row>
    <row r="384" spans="8:8" ht="14.25" customHeight="1">
      <c r="H384" s="14"/>
    </row>
    <row r="385" spans="8:8" ht="14.25" customHeight="1">
      <c r="H385" s="14"/>
    </row>
    <row r="386" spans="8:8" ht="14.25" customHeight="1">
      <c r="H386" s="14"/>
    </row>
    <row r="387" spans="8:8" ht="14.25" customHeight="1">
      <c r="H387" s="14"/>
    </row>
    <row r="388" spans="8:8" ht="14.25" customHeight="1">
      <c r="H388" s="14"/>
    </row>
    <row r="389" spans="8:8" ht="14.25" customHeight="1">
      <c r="H389" s="14"/>
    </row>
    <row r="390" spans="8:8" ht="14.25" customHeight="1">
      <c r="H390" s="14"/>
    </row>
    <row r="391" spans="8:8" ht="14.25" customHeight="1">
      <c r="H391" s="14"/>
    </row>
    <row r="392" spans="8:8" ht="14.25" customHeight="1">
      <c r="H392" s="14"/>
    </row>
    <row r="393" spans="8:8" ht="14.25" customHeight="1">
      <c r="H393" s="14"/>
    </row>
    <row r="394" spans="8:8" ht="14.25" customHeight="1">
      <c r="H394" s="14"/>
    </row>
    <row r="395" spans="8:8" ht="14.25" customHeight="1">
      <c r="H395" s="14"/>
    </row>
    <row r="396" spans="8:8" ht="14.25" customHeight="1">
      <c r="H396" s="14"/>
    </row>
    <row r="397" spans="8:8" ht="14.25" customHeight="1">
      <c r="H397" s="14"/>
    </row>
    <row r="398" spans="8:8" ht="14.25" customHeight="1">
      <c r="H398" s="14"/>
    </row>
    <row r="399" spans="8:8" ht="14.25" customHeight="1">
      <c r="H399" s="14"/>
    </row>
    <row r="400" spans="8:8" ht="14.25" customHeight="1">
      <c r="H400" s="14"/>
    </row>
    <row r="401" spans="8:8" ht="14.25" customHeight="1">
      <c r="H401" s="14"/>
    </row>
    <row r="402" spans="8:8" ht="14.25" customHeight="1">
      <c r="H402" s="14"/>
    </row>
    <row r="403" spans="8:8" ht="14.25" customHeight="1">
      <c r="H403" s="14"/>
    </row>
    <row r="404" spans="8:8" ht="14.25" customHeight="1">
      <c r="H404" s="14"/>
    </row>
    <row r="405" spans="8:8" ht="14.25" customHeight="1">
      <c r="H405" s="14"/>
    </row>
    <row r="406" spans="8:8" ht="14.25" customHeight="1">
      <c r="H406" s="14"/>
    </row>
    <row r="407" spans="8:8" ht="14.25" customHeight="1">
      <c r="H407" s="14"/>
    </row>
    <row r="408" spans="8:8" ht="14.25" customHeight="1">
      <c r="H408" s="14"/>
    </row>
    <row r="409" spans="8:8" ht="14.25" customHeight="1">
      <c r="H409" s="14"/>
    </row>
    <row r="410" spans="8:8" ht="14.25" customHeight="1">
      <c r="H410" s="14"/>
    </row>
    <row r="411" spans="8:8" ht="14.25" customHeight="1">
      <c r="H411" s="14"/>
    </row>
    <row r="412" spans="8:8" ht="14.25" customHeight="1">
      <c r="H412" s="14"/>
    </row>
    <row r="413" spans="8:8" ht="14.25" customHeight="1">
      <c r="H413" s="14"/>
    </row>
    <row r="414" spans="8:8" ht="14.25" customHeight="1">
      <c r="H414" s="14"/>
    </row>
    <row r="415" spans="8:8" ht="14.25" customHeight="1">
      <c r="H415" s="14"/>
    </row>
    <row r="416" spans="8:8" ht="14.25" customHeight="1">
      <c r="H416" s="14"/>
    </row>
    <row r="417" spans="8:8" ht="14.25" customHeight="1">
      <c r="H417" s="14"/>
    </row>
    <row r="418" spans="8:8" ht="14.25" customHeight="1">
      <c r="H418" s="14"/>
    </row>
    <row r="419" spans="8:8" ht="14.25" customHeight="1">
      <c r="H419" s="14"/>
    </row>
    <row r="420" spans="8:8" ht="14.25" customHeight="1">
      <c r="H420" s="14"/>
    </row>
    <row r="421" spans="8:8" ht="14.25" customHeight="1">
      <c r="H421" s="14"/>
    </row>
    <row r="422" spans="8:8" ht="14.25" customHeight="1">
      <c r="H422" s="14"/>
    </row>
    <row r="423" spans="8:8" ht="14.25" customHeight="1">
      <c r="H423" s="14"/>
    </row>
    <row r="424" spans="8:8" ht="14.25" customHeight="1">
      <c r="H424" s="14"/>
    </row>
    <row r="425" spans="8:8" ht="14.25" customHeight="1">
      <c r="H425" s="14"/>
    </row>
    <row r="426" spans="8:8" ht="14.25" customHeight="1">
      <c r="H426" s="14"/>
    </row>
    <row r="427" spans="8:8" ht="14.25" customHeight="1">
      <c r="H427" s="14"/>
    </row>
    <row r="428" spans="8:8" ht="14.25" customHeight="1">
      <c r="H428" s="14"/>
    </row>
    <row r="429" spans="8:8" ht="14.25" customHeight="1">
      <c r="H429" s="14"/>
    </row>
    <row r="430" spans="8:8" ht="14.25" customHeight="1">
      <c r="H430" s="14"/>
    </row>
    <row r="431" spans="8:8" ht="14.25" customHeight="1">
      <c r="H431" s="14"/>
    </row>
    <row r="432" spans="8:8" ht="14.25" customHeight="1">
      <c r="H432" s="14"/>
    </row>
    <row r="433" spans="8:8" ht="14.25" customHeight="1">
      <c r="H433" s="14"/>
    </row>
    <row r="434" spans="8:8" ht="14.25" customHeight="1">
      <c r="H434" s="14"/>
    </row>
    <row r="435" spans="8:8" ht="14.25" customHeight="1">
      <c r="H435" s="14"/>
    </row>
    <row r="436" spans="8:8" ht="14.25" customHeight="1">
      <c r="H436" s="14"/>
    </row>
    <row r="437" spans="8:8" ht="14.25" customHeight="1">
      <c r="H437" s="14"/>
    </row>
    <row r="438" spans="8:8" ht="14.25" customHeight="1">
      <c r="H438" s="14"/>
    </row>
    <row r="439" spans="8:8" ht="14.25" customHeight="1">
      <c r="H439" s="14"/>
    </row>
    <row r="440" spans="8:8" ht="14.25" customHeight="1">
      <c r="H440" s="14"/>
    </row>
    <row r="441" spans="8:8" ht="14.25" customHeight="1">
      <c r="H441" s="14"/>
    </row>
    <row r="442" spans="8:8" ht="14.25" customHeight="1">
      <c r="H442" s="14"/>
    </row>
    <row r="443" spans="8:8" ht="14.25" customHeight="1">
      <c r="H443" s="14"/>
    </row>
    <row r="444" spans="8:8" ht="14.25" customHeight="1">
      <c r="H444" s="14"/>
    </row>
    <row r="445" spans="8:8" ht="14.25" customHeight="1">
      <c r="H445" s="14"/>
    </row>
    <row r="446" spans="8:8" ht="14.25" customHeight="1">
      <c r="H446" s="14"/>
    </row>
    <row r="447" spans="8:8" ht="14.25" customHeight="1">
      <c r="H447" s="14"/>
    </row>
    <row r="448" spans="8:8" ht="14.25" customHeight="1">
      <c r="H448" s="14"/>
    </row>
    <row r="449" spans="8:8" ht="14.25" customHeight="1">
      <c r="H449" s="14"/>
    </row>
    <row r="450" spans="8:8" ht="14.25" customHeight="1">
      <c r="H450" s="14"/>
    </row>
    <row r="451" spans="8:8" ht="14.25" customHeight="1">
      <c r="H451" s="14"/>
    </row>
    <row r="452" spans="8:8" ht="14.25" customHeight="1">
      <c r="H452" s="14"/>
    </row>
    <row r="453" spans="8:8" ht="14.25" customHeight="1">
      <c r="H453" s="14"/>
    </row>
    <row r="454" spans="8:8" ht="14.25" customHeight="1">
      <c r="H454" s="14"/>
    </row>
    <row r="455" spans="8:8" ht="14.25" customHeight="1">
      <c r="H455" s="14"/>
    </row>
    <row r="456" spans="8:8" ht="14.25" customHeight="1">
      <c r="H456" s="14"/>
    </row>
    <row r="457" spans="8:8" ht="14.25" customHeight="1">
      <c r="H457" s="14"/>
    </row>
    <row r="458" spans="8:8" ht="14.25" customHeight="1">
      <c r="H458" s="14"/>
    </row>
    <row r="459" spans="8:8" ht="14.25" customHeight="1">
      <c r="H459" s="14"/>
    </row>
    <row r="460" spans="8:8" ht="14.25" customHeight="1">
      <c r="H460" s="14"/>
    </row>
    <row r="461" spans="8:8" ht="14.25" customHeight="1">
      <c r="H461" s="14"/>
    </row>
    <row r="462" spans="8:8" ht="14.25" customHeight="1">
      <c r="H462" s="14"/>
    </row>
    <row r="463" spans="8:8" ht="14.25" customHeight="1">
      <c r="H463" s="14"/>
    </row>
    <row r="464" spans="8:8" ht="14.25" customHeight="1">
      <c r="H464" s="14"/>
    </row>
    <row r="465" spans="8:8" ht="14.25" customHeight="1">
      <c r="H465" s="14"/>
    </row>
    <row r="466" spans="8:8" ht="14.25" customHeight="1">
      <c r="H466" s="14"/>
    </row>
    <row r="467" spans="8:8" ht="14.25" customHeight="1">
      <c r="H467" s="14"/>
    </row>
    <row r="468" spans="8:8" ht="14.25" customHeight="1">
      <c r="H468" s="14"/>
    </row>
    <row r="469" spans="8:8" ht="14.25" customHeight="1">
      <c r="H469" s="14"/>
    </row>
    <row r="470" spans="8:8" ht="14.25" customHeight="1">
      <c r="H470" s="14"/>
    </row>
    <row r="471" spans="8:8" ht="14.25" customHeight="1">
      <c r="H471" s="14"/>
    </row>
    <row r="472" spans="8:8" ht="14.25" customHeight="1">
      <c r="H472" s="14"/>
    </row>
    <row r="473" spans="8:8" ht="14.25" customHeight="1">
      <c r="H473" s="14"/>
    </row>
    <row r="474" spans="8:8" ht="14.25" customHeight="1">
      <c r="H474" s="14"/>
    </row>
    <row r="475" spans="8:8" ht="14.25" customHeight="1">
      <c r="H475" s="14"/>
    </row>
    <row r="476" spans="8:8" ht="14.25" customHeight="1">
      <c r="H476" s="14"/>
    </row>
    <row r="477" spans="8:8" ht="14.25" customHeight="1">
      <c r="H477" s="14"/>
    </row>
    <row r="478" spans="8:8" ht="14.25" customHeight="1">
      <c r="H478" s="14"/>
    </row>
    <row r="479" spans="8:8" ht="14.25" customHeight="1">
      <c r="H479" s="14"/>
    </row>
    <row r="480" spans="8:8" ht="14.25" customHeight="1">
      <c r="H480" s="14"/>
    </row>
    <row r="481" spans="8:8" ht="14.25" customHeight="1">
      <c r="H481" s="14"/>
    </row>
    <row r="482" spans="8:8" ht="14.25" customHeight="1">
      <c r="H482" s="14"/>
    </row>
    <row r="483" spans="8:8" ht="14.25" customHeight="1">
      <c r="H483" s="14"/>
    </row>
    <row r="484" spans="8:8" ht="14.25" customHeight="1">
      <c r="H484" s="14"/>
    </row>
    <row r="485" spans="8:8" ht="14.25" customHeight="1">
      <c r="H485" s="14"/>
    </row>
    <row r="486" spans="8:8" ht="14.25" customHeight="1">
      <c r="H486" s="14"/>
    </row>
    <row r="487" spans="8:8" ht="14.25" customHeight="1">
      <c r="H487" s="14"/>
    </row>
    <row r="488" spans="8:8" ht="14.25" customHeight="1">
      <c r="H488" s="14"/>
    </row>
    <row r="489" spans="8:8" ht="14.25" customHeight="1">
      <c r="H489" s="14"/>
    </row>
    <row r="490" spans="8:8" ht="14.25" customHeight="1">
      <c r="H490" s="14"/>
    </row>
    <row r="491" spans="8:8" ht="14.25" customHeight="1">
      <c r="H491" s="14"/>
    </row>
    <row r="492" spans="8:8" ht="14.25" customHeight="1">
      <c r="H492" s="14"/>
    </row>
    <row r="493" spans="8:8" ht="14.25" customHeight="1">
      <c r="H493" s="14"/>
    </row>
    <row r="494" spans="8:8" ht="14.25" customHeight="1">
      <c r="H494" s="14"/>
    </row>
    <row r="495" spans="8:8" ht="14.25" customHeight="1">
      <c r="H495" s="14"/>
    </row>
    <row r="496" spans="8:8" ht="14.25" customHeight="1">
      <c r="H496" s="14"/>
    </row>
    <row r="497" spans="8:8" ht="14.25" customHeight="1">
      <c r="H497" s="14"/>
    </row>
    <row r="498" spans="8:8" ht="14.25" customHeight="1">
      <c r="H498" s="14"/>
    </row>
    <row r="499" spans="8:8" ht="14.25" customHeight="1">
      <c r="H499" s="14"/>
    </row>
    <row r="500" spans="8:8" ht="14.25" customHeight="1">
      <c r="H500" s="14"/>
    </row>
    <row r="501" spans="8:8" ht="14.25" customHeight="1">
      <c r="H501" s="14"/>
    </row>
    <row r="502" spans="8:8" ht="14.25" customHeight="1">
      <c r="H502" s="14"/>
    </row>
    <row r="503" spans="8:8" ht="14.25" customHeight="1">
      <c r="H503" s="14"/>
    </row>
    <row r="504" spans="8:8" ht="14.25" customHeight="1">
      <c r="H504" s="14"/>
    </row>
    <row r="505" spans="8:8" ht="14.25" customHeight="1">
      <c r="H505" s="14"/>
    </row>
    <row r="506" spans="8:8" ht="14.25" customHeight="1">
      <c r="H506" s="14"/>
    </row>
    <row r="507" spans="8:8" ht="14.25" customHeight="1">
      <c r="H507" s="14"/>
    </row>
    <row r="508" spans="8:8" ht="14.25" customHeight="1">
      <c r="H508" s="14"/>
    </row>
    <row r="509" spans="8:8" ht="14.25" customHeight="1">
      <c r="H509" s="14"/>
    </row>
    <row r="510" spans="8:8" ht="14.25" customHeight="1">
      <c r="H510" s="14"/>
    </row>
    <row r="511" spans="8:8" ht="14.25" customHeight="1">
      <c r="H511" s="14"/>
    </row>
    <row r="512" spans="8:8" ht="14.25" customHeight="1">
      <c r="H512" s="14"/>
    </row>
    <row r="513" spans="8:8" ht="14.25" customHeight="1">
      <c r="H513" s="14"/>
    </row>
    <row r="514" spans="8:8" ht="14.25" customHeight="1">
      <c r="H514" s="14"/>
    </row>
    <row r="515" spans="8:8" ht="14.25" customHeight="1">
      <c r="H515" s="14"/>
    </row>
    <row r="516" spans="8:8" ht="14.25" customHeight="1">
      <c r="H516" s="14"/>
    </row>
    <row r="517" spans="8:8" ht="14.25" customHeight="1">
      <c r="H517" s="14"/>
    </row>
    <row r="518" spans="8:8" ht="14.25" customHeight="1">
      <c r="H518" s="14"/>
    </row>
    <row r="519" spans="8:8" ht="14.25" customHeight="1">
      <c r="H519" s="14"/>
    </row>
    <row r="520" spans="8:8" ht="14.25" customHeight="1">
      <c r="H520" s="14"/>
    </row>
    <row r="521" spans="8:8" ht="14.25" customHeight="1">
      <c r="H521" s="14"/>
    </row>
    <row r="522" spans="8:8" ht="14.25" customHeight="1">
      <c r="H522" s="14"/>
    </row>
    <row r="523" spans="8:8" ht="14.25" customHeight="1">
      <c r="H523" s="14"/>
    </row>
    <row r="524" spans="8:8" ht="14.25" customHeight="1">
      <c r="H524" s="14"/>
    </row>
    <row r="525" spans="8:8" ht="14.25" customHeight="1">
      <c r="H525" s="14"/>
    </row>
    <row r="526" spans="8:8" ht="14.25" customHeight="1">
      <c r="H526" s="14"/>
    </row>
    <row r="527" spans="8:8" ht="14.25" customHeight="1">
      <c r="H527" s="14"/>
    </row>
    <row r="528" spans="8:8" ht="14.25" customHeight="1">
      <c r="H528" s="14"/>
    </row>
    <row r="529" spans="8:8" ht="14.25" customHeight="1">
      <c r="H529" s="14"/>
    </row>
    <row r="530" spans="8:8" ht="14.25" customHeight="1">
      <c r="H530" s="14"/>
    </row>
    <row r="531" spans="8:8" ht="14.25" customHeight="1">
      <c r="H531" s="14"/>
    </row>
    <row r="532" spans="8:8" ht="14.25" customHeight="1">
      <c r="H532" s="14"/>
    </row>
    <row r="533" spans="8:8" ht="14.25" customHeight="1">
      <c r="H533" s="14"/>
    </row>
    <row r="534" spans="8:8" ht="14.25" customHeight="1">
      <c r="H534" s="14"/>
    </row>
    <row r="535" spans="8:8" ht="14.25" customHeight="1">
      <c r="H535" s="14"/>
    </row>
    <row r="536" spans="8:8" ht="14.25" customHeight="1">
      <c r="H536" s="14"/>
    </row>
    <row r="537" spans="8:8" ht="14.25" customHeight="1">
      <c r="H537" s="14"/>
    </row>
    <row r="538" spans="8:8" ht="14.25" customHeight="1">
      <c r="H538" s="14"/>
    </row>
    <row r="539" spans="8:8" ht="14.25" customHeight="1">
      <c r="H539" s="14"/>
    </row>
    <row r="540" spans="8:8" ht="14.25" customHeight="1">
      <c r="H540" s="14"/>
    </row>
    <row r="541" spans="8:8" ht="14.25" customHeight="1">
      <c r="H541" s="14"/>
    </row>
    <row r="542" spans="8:8" ht="14.25" customHeight="1">
      <c r="H542" s="14"/>
    </row>
    <row r="543" spans="8:8" ht="14.25" customHeight="1">
      <c r="H543" s="14"/>
    </row>
    <row r="544" spans="8:8" ht="14.25" customHeight="1">
      <c r="H544" s="14"/>
    </row>
    <row r="545" spans="8:8" ht="14.25" customHeight="1">
      <c r="H545" s="14"/>
    </row>
    <row r="546" spans="8:8" ht="14.25" customHeight="1">
      <c r="H546" s="14"/>
    </row>
    <row r="547" spans="8:8" ht="14.25" customHeight="1">
      <c r="H547" s="14"/>
    </row>
    <row r="548" spans="8:8" ht="14.25" customHeight="1">
      <c r="H548" s="14"/>
    </row>
    <row r="549" spans="8:8" ht="14.25" customHeight="1">
      <c r="H549" s="14"/>
    </row>
    <row r="550" spans="8:8" ht="14.25" customHeight="1">
      <c r="H550" s="14"/>
    </row>
    <row r="551" spans="8:8" ht="14.25" customHeight="1">
      <c r="H551" s="14"/>
    </row>
    <row r="552" spans="8:8" ht="14.25" customHeight="1">
      <c r="H552" s="14"/>
    </row>
    <row r="553" spans="8:8" ht="14.25" customHeight="1">
      <c r="H553" s="14"/>
    </row>
    <row r="554" spans="8:8" ht="14.25" customHeight="1">
      <c r="H554" s="14"/>
    </row>
    <row r="555" spans="8:8" ht="14.25" customHeight="1">
      <c r="H555" s="14"/>
    </row>
    <row r="556" spans="8:8" ht="14.25" customHeight="1">
      <c r="H556" s="14"/>
    </row>
    <row r="557" spans="8:8" ht="14.25" customHeight="1">
      <c r="H557" s="14"/>
    </row>
    <row r="558" spans="8:8" ht="14.25" customHeight="1">
      <c r="H558" s="14"/>
    </row>
    <row r="559" spans="8:8" ht="14.25" customHeight="1">
      <c r="H559" s="14"/>
    </row>
    <row r="560" spans="8:8" ht="14.25" customHeight="1">
      <c r="H560" s="14"/>
    </row>
    <row r="561" spans="8:8" ht="14.25" customHeight="1">
      <c r="H561" s="14"/>
    </row>
    <row r="562" spans="8:8" ht="14.25" customHeight="1">
      <c r="H562" s="14"/>
    </row>
    <row r="563" spans="8:8" ht="14.25" customHeight="1">
      <c r="H563" s="14"/>
    </row>
    <row r="564" spans="8:8" ht="14.25" customHeight="1">
      <c r="H564" s="14"/>
    </row>
    <row r="565" spans="8:8" ht="14.25" customHeight="1">
      <c r="H565" s="14"/>
    </row>
    <row r="566" spans="8:8" ht="14.25" customHeight="1">
      <c r="H566" s="14"/>
    </row>
    <row r="567" spans="8:8" ht="14.25" customHeight="1">
      <c r="H567" s="14"/>
    </row>
    <row r="568" spans="8:8" ht="14.25" customHeight="1">
      <c r="H568" s="14"/>
    </row>
    <row r="569" spans="8:8" ht="14.25" customHeight="1">
      <c r="H569" s="14"/>
    </row>
    <row r="570" spans="8:8" ht="14.25" customHeight="1">
      <c r="H570" s="14"/>
    </row>
    <row r="571" spans="8:8" ht="14.25" customHeight="1">
      <c r="H571" s="14"/>
    </row>
    <row r="572" spans="8:8" ht="14.25" customHeight="1">
      <c r="H572" s="14"/>
    </row>
    <row r="573" spans="8:8" ht="14.25" customHeight="1">
      <c r="H573" s="14"/>
    </row>
    <row r="574" spans="8:8" ht="14.25" customHeight="1">
      <c r="H574" s="14"/>
    </row>
    <row r="575" spans="8:8" ht="14.25" customHeight="1">
      <c r="H575" s="14"/>
    </row>
    <row r="576" spans="8:8" ht="14.25" customHeight="1">
      <c r="H576" s="14"/>
    </row>
    <row r="577" spans="8:8" ht="14.25" customHeight="1">
      <c r="H577" s="14"/>
    </row>
    <row r="578" spans="8:8" ht="14.25" customHeight="1">
      <c r="H578" s="14"/>
    </row>
    <row r="579" spans="8:8" ht="14.25" customHeight="1">
      <c r="H579" s="14"/>
    </row>
    <row r="580" spans="8:8" ht="14.25" customHeight="1">
      <c r="H580" s="14"/>
    </row>
    <row r="581" spans="8:8" ht="14.25" customHeight="1">
      <c r="H581" s="14"/>
    </row>
    <row r="582" spans="8:8" ht="14.25" customHeight="1">
      <c r="H582" s="14"/>
    </row>
    <row r="583" spans="8:8" ht="14.25" customHeight="1">
      <c r="H583" s="14"/>
    </row>
    <row r="584" spans="8:8" ht="14.25" customHeight="1">
      <c r="H584" s="14"/>
    </row>
    <row r="585" spans="8:8" ht="14.25" customHeight="1">
      <c r="H585" s="14"/>
    </row>
    <row r="586" spans="8:8" ht="14.25" customHeight="1">
      <c r="H586" s="14"/>
    </row>
    <row r="587" spans="8:8" ht="14.25" customHeight="1">
      <c r="H587" s="14"/>
    </row>
    <row r="588" spans="8:8" ht="14.25" customHeight="1">
      <c r="H588" s="14"/>
    </row>
    <row r="589" spans="8:8" ht="14.25" customHeight="1">
      <c r="H589" s="14"/>
    </row>
    <row r="590" spans="8:8" ht="14.25" customHeight="1">
      <c r="H590" s="14"/>
    </row>
    <row r="591" spans="8:8" ht="14.25" customHeight="1">
      <c r="H591" s="14"/>
    </row>
    <row r="592" spans="8:8" ht="14.25" customHeight="1">
      <c r="H592" s="14"/>
    </row>
    <row r="593" spans="8:8" ht="14.25" customHeight="1">
      <c r="H593" s="14"/>
    </row>
    <row r="594" spans="8:8" ht="14.25" customHeight="1">
      <c r="H594" s="14"/>
    </row>
    <row r="595" spans="8:8" ht="14.25" customHeight="1">
      <c r="H595" s="14"/>
    </row>
    <row r="596" spans="8:8" ht="14.25" customHeight="1">
      <c r="H596" s="14"/>
    </row>
    <row r="597" spans="8:8" ht="14.25" customHeight="1">
      <c r="H597" s="14"/>
    </row>
    <row r="598" spans="8:8" ht="14.25" customHeight="1">
      <c r="H598" s="14"/>
    </row>
    <row r="599" spans="8:8" ht="14.25" customHeight="1">
      <c r="H599" s="14"/>
    </row>
    <row r="600" spans="8:8" ht="14.25" customHeight="1">
      <c r="H600" s="14"/>
    </row>
    <row r="601" spans="8:8" ht="14.25" customHeight="1">
      <c r="H601" s="14"/>
    </row>
    <row r="602" spans="8:8" ht="14.25" customHeight="1">
      <c r="H602" s="14"/>
    </row>
    <row r="603" spans="8:8" ht="14.25" customHeight="1">
      <c r="H603" s="14"/>
    </row>
    <row r="604" spans="8:8" ht="14.25" customHeight="1">
      <c r="H604" s="14"/>
    </row>
    <row r="605" spans="8:8" ht="14.25" customHeight="1">
      <c r="H605" s="14"/>
    </row>
    <row r="606" spans="8:8" ht="14.25" customHeight="1">
      <c r="H606" s="14"/>
    </row>
    <row r="607" spans="8:8" ht="14.25" customHeight="1">
      <c r="H607" s="14"/>
    </row>
    <row r="608" spans="8:8" ht="14.25" customHeight="1">
      <c r="H608" s="14"/>
    </row>
    <row r="609" spans="8:8" ht="14.25" customHeight="1">
      <c r="H609" s="14"/>
    </row>
    <row r="610" spans="8:8" ht="14.25" customHeight="1">
      <c r="H610" s="14"/>
    </row>
    <row r="611" spans="8:8" ht="14.25" customHeight="1">
      <c r="H611" s="14"/>
    </row>
    <row r="612" spans="8:8" ht="14.25" customHeight="1">
      <c r="H612" s="14"/>
    </row>
    <row r="613" spans="8:8" ht="14.25" customHeight="1">
      <c r="H613" s="14"/>
    </row>
    <row r="614" spans="8:8" ht="14.25" customHeight="1">
      <c r="H614" s="14"/>
    </row>
    <row r="615" spans="8:8" ht="14.25" customHeight="1">
      <c r="H615" s="14"/>
    </row>
    <row r="616" spans="8:8" ht="14.25" customHeight="1">
      <c r="H616" s="14"/>
    </row>
    <row r="617" spans="8:8" ht="14.25" customHeight="1">
      <c r="H617" s="14"/>
    </row>
    <row r="618" spans="8:8" ht="14.25" customHeight="1">
      <c r="H618" s="14"/>
    </row>
    <row r="619" spans="8:8" ht="14.25" customHeight="1">
      <c r="H619" s="14"/>
    </row>
    <row r="620" spans="8:8" ht="14.25" customHeight="1">
      <c r="H620" s="14"/>
    </row>
    <row r="621" spans="8:8" ht="14.25" customHeight="1">
      <c r="H621" s="14"/>
    </row>
    <row r="622" spans="8:8" ht="14.25" customHeight="1">
      <c r="H622" s="14"/>
    </row>
    <row r="623" spans="8:8" ht="14.25" customHeight="1">
      <c r="H623" s="14"/>
    </row>
    <row r="624" spans="8:8" ht="14.25" customHeight="1">
      <c r="H624" s="14"/>
    </row>
    <row r="625" spans="8:8" ht="14.25" customHeight="1">
      <c r="H625" s="14"/>
    </row>
    <row r="626" spans="8:8" ht="14.25" customHeight="1">
      <c r="H626" s="14"/>
    </row>
    <row r="627" spans="8:8" ht="14.25" customHeight="1">
      <c r="H627" s="14"/>
    </row>
    <row r="628" spans="8:8" ht="14.25" customHeight="1">
      <c r="H628" s="14"/>
    </row>
    <row r="629" spans="8:8" ht="14.25" customHeight="1">
      <c r="H629" s="14"/>
    </row>
    <row r="630" spans="8:8" ht="14.25" customHeight="1">
      <c r="H630" s="14"/>
    </row>
    <row r="631" spans="8:8" ht="14.25" customHeight="1">
      <c r="H631" s="14"/>
    </row>
    <row r="632" spans="8:8" ht="14.25" customHeight="1">
      <c r="H632" s="14"/>
    </row>
    <row r="633" spans="8:8" ht="14.25" customHeight="1">
      <c r="H633" s="14"/>
    </row>
    <row r="634" spans="8:8" ht="14.25" customHeight="1">
      <c r="H634" s="14"/>
    </row>
    <row r="635" spans="8:8" ht="14.25" customHeight="1">
      <c r="H635" s="14"/>
    </row>
    <row r="636" spans="8:8" ht="14.25" customHeight="1">
      <c r="H636" s="14"/>
    </row>
    <row r="637" spans="8:8" ht="14.25" customHeight="1">
      <c r="H637" s="14"/>
    </row>
    <row r="638" spans="8:8" ht="14.25" customHeight="1">
      <c r="H638" s="14"/>
    </row>
    <row r="639" spans="8:8" ht="14.25" customHeight="1">
      <c r="H639" s="14"/>
    </row>
    <row r="640" spans="8:8" ht="14.25" customHeight="1">
      <c r="H640" s="14"/>
    </row>
    <row r="641" spans="8:8" ht="14.25" customHeight="1">
      <c r="H641" s="14"/>
    </row>
    <row r="642" spans="8:8" ht="14.25" customHeight="1">
      <c r="H642" s="14"/>
    </row>
    <row r="643" spans="8:8" ht="14.25" customHeight="1">
      <c r="H643" s="14"/>
    </row>
    <row r="644" spans="8:8" ht="14.25" customHeight="1">
      <c r="H644" s="14"/>
    </row>
    <row r="645" spans="8:8" ht="14.25" customHeight="1">
      <c r="H645" s="14"/>
    </row>
    <row r="646" spans="8:8" ht="14.25" customHeight="1">
      <c r="H646" s="14"/>
    </row>
    <row r="647" spans="8:8" ht="14.25" customHeight="1">
      <c r="H647" s="14"/>
    </row>
    <row r="648" spans="8:8" ht="14.25" customHeight="1">
      <c r="H648" s="14"/>
    </row>
    <row r="649" spans="8:8" ht="14.25" customHeight="1">
      <c r="H649" s="14"/>
    </row>
    <row r="650" spans="8:8" ht="14.25" customHeight="1">
      <c r="H650" s="14"/>
    </row>
    <row r="651" spans="8:8" ht="14.25" customHeight="1">
      <c r="H651" s="14"/>
    </row>
    <row r="652" spans="8:8" ht="14.25" customHeight="1">
      <c r="H652" s="14"/>
    </row>
    <row r="653" spans="8:8" ht="14.25" customHeight="1">
      <c r="H653" s="14"/>
    </row>
    <row r="654" spans="8:8" ht="14.25" customHeight="1">
      <c r="H654" s="14"/>
    </row>
    <row r="655" spans="8:8" ht="14.25" customHeight="1">
      <c r="H655" s="14"/>
    </row>
    <row r="656" spans="8:8" ht="14.25" customHeight="1">
      <c r="H656" s="14"/>
    </row>
    <row r="657" spans="8:8" ht="14.25" customHeight="1">
      <c r="H657" s="14"/>
    </row>
    <row r="658" spans="8:8" ht="14.25" customHeight="1">
      <c r="H658" s="14"/>
    </row>
    <row r="659" spans="8:8" ht="14.25" customHeight="1">
      <c r="H659" s="14"/>
    </row>
    <row r="660" spans="8:8" ht="14.25" customHeight="1">
      <c r="H660" s="14"/>
    </row>
    <row r="661" spans="8:8" ht="14.25" customHeight="1">
      <c r="H661" s="14"/>
    </row>
    <row r="662" spans="8:8" ht="14.25" customHeight="1">
      <c r="H662" s="14"/>
    </row>
    <row r="663" spans="8:8" ht="14.25" customHeight="1">
      <c r="H663" s="14"/>
    </row>
    <row r="664" spans="8:8" ht="14.25" customHeight="1">
      <c r="H664" s="14"/>
    </row>
    <row r="665" spans="8:8" ht="14.25" customHeight="1">
      <c r="H665" s="14"/>
    </row>
    <row r="666" spans="8:8" ht="14.25" customHeight="1">
      <c r="H666" s="14"/>
    </row>
    <row r="667" spans="8:8" ht="14.25" customHeight="1">
      <c r="H667" s="14"/>
    </row>
    <row r="668" spans="8:8" ht="14.25" customHeight="1">
      <c r="H668" s="14"/>
    </row>
    <row r="669" spans="8:8" ht="14.25" customHeight="1">
      <c r="H669" s="14"/>
    </row>
    <row r="670" spans="8:8" ht="14.25" customHeight="1">
      <c r="H670" s="14"/>
    </row>
    <row r="671" spans="8:8" ht="14.25" customHeight="1">
      <c r="H671" s="14"/>
    </row>
    <row r="672" spans="8:8" ht="14.25" customHeight="1">
      <c r="H672" s="14"/>
    </row>
    <row r="673" spans="8:8" ht="14.25" customHeight="1">
      <c r="H673" s="14"/>
    </row>
    <row r="674" spans="8:8" ht="14.25" customHeight="1">
      <c r="H674" s="14"/>
    </row>
    <row r="675" spans="8:8" ht="14.25" customHeight="1">
      <c r="H675" s="14"/>
    </row>
    <row r="676" spans="8:8" ht="14.25" customHeight="1">
      <c r="H676" s="14"/>
    </row>
    <row r="677" spans="8:8" ht="14.25" customHeight="1">
      <c r="H677" s="14"/>
    </row>
    <row r="678" spans="8:8" ht="14.25" customHeight="1">
      <c r="H678" s="14"/>
    </row>
    <row r="679" spans="8:8" ht="14.25" customHeight="1">
      <c r="H679" s="14"/>
    </row>
    <row r="680" spans="8:8" ht="14.25" customHeight="1">
      <c r="H680" s="14"/>
    </row>
    <row r="681" spans="8:8" ht="14.25" customHeight="1">
      <c r="H681" s="14"/>
    </row>
    <row r="682" spans="8:8" ht="14.25" customHeight="1">
      <c r="H682" s="14"/>
    </row>
    <row r="683" spans="8:8" ht="14.25" customHeight="1">
      <c r="H683" s="14"/>
    </row>
    <row r="684" spans="8:8" ht="14.25" customHeight="1">
      <c r="H684" s="14"/>
    </row>
    <row r="685" spans="8:8" ht="14.25" customHeight="1">
      <c r="H685" s="14"/>
    </row>
    <row r="686" spans="8:8" ht="14.25" customHeight="1">
      <c r="H686" s="14"/>
    </row>
    <row r="687" spans="8:8" ht="14.25" customHeight="1">
      <c r="H687" s="14"/>
    </row>
    <row r="688" spans="8:8" ht="14.25" customHeight="1">
      <c r="H688" s="14"/>
    </row>
    <row r="689" spans="8:8" ht="14.25" customHeight="1">
      <c r="H689" s="14"/>
    </row>
    <row r="690" spans="8:8" ht="14.25" customHeight="1">
      <c r="H690" s="14"/>
    </row>
    <row r="691" spans="8:8" ht="14.25" customHeight="1">
      <c r="H691" s="14"/>
    </row>
    <row r="692" spans="8:8" ht="14.25" customHeight="1">
      <c r="H692" s="14"/>
    </row>
    <row r="693" spans="8:8" ht="14.25" customHeight="1">
      <c r="H693" s="14"/>
    </row>
    <row r="694" spans="8:8" ht="14.25" customHeight="1">
      <c r="H694" s="14"/>
    </row>
    <row r="695" spans="8:8" ht="14.25" customHeight="1">
      <c r="H695" s="14"/>
    </row>
    <row r="696" spans="8:8" ht="14.25" customHeight="1">
      <c r="H696" s="14"/>
    </row>
    <row r="697" spans="8:8" ht="14.25" customHeight="1">
      <c r="H697" s="14"/>
    </row>
    <row r="698" spans="8:8" ht="14.25" customHeight="1">
      <c r="H698" s="14"/>
    </row>
    <row r="699" spans="8:8" ht="14.25" customHeight="1">
      <c r="H699" s="14"/>
    </row>
    <row r="700" spans="8:8" ht="14.25" customHeight="1">
      <c r="H700" s="14"/>
    </row>
    <row r="701" spans="8:8" ht="14.25" customHeight="1">
      <c r="H701" s="14"/>
    </row>
    <row r="702" spans="8:8" ht="14.25" customHeight="1">
      <c r="H702" s="14"/>
    </row>
    <row r="703" spans="8:8" ht="14.25" customHeight="1">
      <c r="H703" s="14"/>
    </row>
    <row r="704" spans="8:8" ht="14.25" customHeight="1">
      <c r="H704" s="14"/>
    </row>
    <row r="705" spans="8:8" ht="14.25" customHeight="1">
      <c r="H705" s="14"/>
    </row>
    <row r="706" spans="8:8" ht="14.25" customHeight="1">
      <c r="H706" s="14"/>
    </row>
    <row r="707" spans="8:8" ht="14.25" customHeight="1">
      <c r="H707" s="14"/>
    </row>
    <row r="708" spans="8:8" ht="14.25" customHeight="1">
      <c r="H708" s="14"/>
    </row>
    <row r="709" spans="8:8" ht="14.25" customHeight="1">
      <c r="H709" s="14"/>
    </row>
    <row r="710" spans="8:8" ht="14.25" customHeight="1">
      <c r="H710" s="14"/>
    </row>
    <row r="711" spans="8:8" ht="14.25" customHeight="1">
      <c r="H711" s="14"/>
    </row>
    <row r="712" spans="8:8" ht="14.25" customHeight="1">
      <c r="H712" s="14"/>
    </row>
    <row r="713" spans="8:8" ht="14.25" customHeight="1">
      <c r="H713" s="14"/>
    </row>
    <row r="714" spans="8:8" ht="14.25" customHeight="1">
      <c r="H714" s="14"/>
    </row>
    <row r="715" spans="8:8" ht="14.25" customHeight="1">
      <c r="H715" s="14"/>
    </row>
    <row r="716" spans="8:8" ht="14.25" customHeight="1">
      <c r="H716" s="14"/>
    </row>
    <row r="717" spans="8:8" ht="14.25" customHeight="1">
      <c r="H717" s="14"/>
    </row>
    <row r="718" spans="8:8" ht="14.25" customHeight="1">
      <c r="H718" s="14"/>
    </row>
    <row r="719" spans="8:8" ht="14.25" customHeight="1">
      <c r="H719" s="14"/>
    </row>
    <row r="720" spans="8:8" ht="14.25" customHeight="1">
      <c r="H720" s="14"/>
    </row>
    <row r="721" spans="8:8" ht="14.25" customHeight="1">
      <c r="H721" s="14"/>
    </row>
    <row r="722" spans="8:8" ht="14.25" customHeight="1">
      <c r="H722" s="14"/>
    </row>
    <row r="723" spans="8:8" ht="14.25" customHeight="1">
      <c r="H723" s="14"/>
    </row>
    <row r="724" spans="8:8" ht="14.25" customHeight="1">
      <c r="H724" s="14"/>
    </row>
    <row r="725" spans="8:8" ht="14.25" customHeight="1">
      <c r="H725" s="14"/>
    </row>
    <row r="726" spans="8:8" ht="14.25" customHeight="1">
      <c r="H726" s="14"/>
    </row>
    <row r="727" spans="8:8" ht="14.25" customHeight="1">
      <c r="H727" s="14"/>
    </row>
    <row r="728" spans="8:8" ht="14.25" customHeight="1">
      <c r="H728" s="14"/>
    </row>
    <row r="729" spans="8:8" ht="14.25" customHeight="1">
      <c r="H729" s="14"/>
    </row>
    <row r="730" spans="8:8" ht="14.25" customHeight="1">
      <c r="H730" s="14"/>
    </row>
    <row r="731" spans="8:8" ht="14.25" customHeight="1">
      <c r="H731" s="14"/>
    </row>
    <row r="732" spans="8:8" ht="14.25" customHeight="1">
      <c r="H732" s="14"/>
    </row>
    <row r="733" spans="8:8" ht="14.25" customHeight="1">
      <c r="H733" s="14"/>
    </row>
    <row r="734" spans="8:8" ht="14.25" customHeight="1">
      <c r="H734" s="14"/>
    </row>
    <row r="735" spans="8:8" ht="14.25" customHeight="1">
      <c r="H735" s="14"/>
    </row>
    <row r="736" spans="8:8" ht="14.25" customHeight="1">
      <c r="H736" s="14"/>
    </row>
    <row r="737" spans="8:8" ht="14.25" customHeight="1">
      <c r="H737" s="14"/>
    </row>
    <row r="738" spans="8:8" ht="14.25" customHeight="1">
      <c r="H738" s="14"/>
    </row>
    <row r="739" spans="8:8" ht="14.25" customHeight="1">
      <c r="H739" s="14"/>
    </row>
    <row r="740" spans="8:8" ht="14.25" customHeight="1">
      <c r="H740" s="14"/>
    </row>
    <row r="741" spans="8:8" ht="14.25" customHeight="1">
      <c r="H741" s="14"/>
    </row>
    <row r="742" spans="8:8" ht="14.25" customHeight="1">
      <c r="H742" s="14"/>
    </row>
    <row r="743" spans="8:8" ht="14.25" customHeight="1">
      <c r="H743" s="14"/>
    </row>
    <row r="744" spans="8:8" ht="14.25" customHeight="1">
      <c r="H744" s="14"/>
    </row>
    <row r="745" spans="8:8" ht="14.25" customHeight="1">
      <c r="H745" s="14"/>
    </row>
    <row r="746" spans="8:8" ht="14.25" customHeight="1">
      <c r="H746" s="14"/>
    </row>
    <row r="747" spans="8:8" ht="14.25" customHeight="1">
      <c r="H747" s="14"/>
    </row>
    <row r="748" spans="8:8" ht="14.25" customHeight="1">
      <c r="H748" s="14"/>
    </row>
    <row r="749" spans="8:8" ht="14.25" customHeight="1">
      <c r="H749" s="14"/>
    </row>
    <row r="750" spans="8:8" ht="14.25" customHeight="1">
      <c r="H750" s="14"/>
    </row>
    <row r="751" spans="8:8" ht="14.25" customHeight="1">
      <c r="H751" s="14"/>
    </row>
    <row r="752" spans="8:8" ht="14.25" customHeight="1">
      <c r="H752" s="14"/>
    </row>
    <row r="753" spans="8:8" ht="14.25" customHeight="1">
      <c r="H753" s="14"/>
    </row>
    <row r="754" spans="8:8" ht="14.25" customHeight="1">
      <c r="H754" s="14"/>
    </row>
    <row r="755" spans="8:8" ht="14.25" customHeight="1">
      <c r="H755" s="14"/>
    </row>
    <row r="756" spans="8:8" ht="14.25" customHeight="1">
      <c r="H756" s="14"/>
    </row>
    <row r="757" spans="8:8" ht="14.25" customHeight="1">
      <c r="H757" s="14"/>
    </row>
    <row r="758" spans="8:8" ht="14.25" customHeight="1">
      <c r="H758" s="14"/>
    </row>
    <row r="759" spans="8:8" ht="14.25" customHeight="1">
      <c r="H759" s="14"/>
    </row>
    <row r="760" spans="8:8" ht="14.25" customHeight="1">
      <c r="H760" s="14"/>
    </row>
    <row r="761" spans="8:8" ht="14.25" customHeight="1">
      <c r="H761" s="14"/>
    </row>
    <row r="762" spans="8:8" ht="14.25" customHeight="1">
      <c r="H762" s="14"/>
    </row>
    <row r="763" spans="8:8" ht="14.25" customHeight="1">
      <c r="H763" s="14"/>
    </row>
    <row r="764" spans="8:8" ht="14.25" customHeight="1">
      <c r="H764" s="14"/>
    </row>
    <row r="765" spans="8:8" ht="14.25" customHeight="1">
      <c r="H765" s="14"/>
    </row>
    <row r="766" spans="8:8" ht="14.25" customHeight="1">
      <c r="H766" s="14"/>
    </row>
    <row r="767" spans="8:8" ht="14.25" customHeight="1">
      <c r="H767" s="14"/>
    </row>
    <row r="768" spans="8:8" ht="14.25" customHeight="1">
      <c r="H768" s="14"/>
    </row>
    <row r="769" spans="8:8" ht="14.25" customHeight="1">
      <c r="H769" s="14"/>
    </row>
    <row r="770" spans="8:8" ht="14.25" customHeight="1">
      <c r="H770" s="14"/>
    </row>
    <row r="771" spans="8:8" ht="14.25" customHeight="1">
      <c r="H771" s="14"/>
    </row>
    <row r="772" spans="8:8" ht="14.25" customHeight="1">
      <c r="H772" s="14"/>
    </row>
    <row r="773" spans="8:8" ht="14.25" customHeight="1">
      <c r="H773" s="14"/>
    </row>
    <row r="774" spans="8:8" ht="14.25" customHeight="1">
      <c r="H774" s="14"/>
    </row>
    <row r="775" spans="8:8" ht="14.25" customHeight="1">
      <c r="H775" s="14"/>
    </row>
    <row r="776" spans="8:8" ht="14.25" customHeight="1">
      <c r="H776" s="14"/>
    </row>
    <row r="777" spans="8:8" ht="14.25" customHeight="1">
      <c r="H777" s="14"/>
    </row>
    <row r="778" spans="8:8" ht="14.25" customHeight="1">
      <c r="H778" s="14"/>
    </row>
    <row r="779" spans="8:8" ht="14.25" customHeight="1">
      <c r="H779" s="14"/>
    </row>
    <row r="780" spans="8:8" ht="14.25" customHeight="1">
      <c r="H780" s="14"/>
    </row>
    <row r="781" spans="8:8" ht="14.25" customHeight="1">
      <c r="H781" s="14"/>
    </row>
    <row r="782" spans="8:8" ht="14.25" customHeight="1">
      <c r="H782" s="14"/>
    </row>
    <row r="783" spans="8:8" ht="14.25" customHeight="1">
      <c r="H783" s="14"/>
    </row>
    <row r="784" spans="8:8" ht="14.25" customHeight="1">
      <c r="H784" s="14"/>
    </row>
    <row r="785" spans="8:8" ht="14.25" customHeight="1">
      <c r="H785" s="14"/>
    </row>
    <row r="786" spans="8:8" ht="14.25" customHeight="1">
      <c r="H786" s="14"/>
    </row>
    <row r="787" spans="8:8" ht="14.25" customHeight="1">
      <c r="H787" s="14"/>
    </row>
    <row r="788" spans="8:8" ht="14.25" customHeight="1">
      <c r="H788" s="14"/>
    </row>
    <row r="789" spans="8:8" ht="14.25" customHeight="1">
      <c r="H789" s="14"/>
    </row>
    <row r="790" spans="8:8" ht="14.25" customHeight="1">
      <c r="H790" s="14"/>
    </row>
    <row r="791" spans="8:8" ht="14.25" customHeight="1">
      <c r="H791" s="14"/>
    </row>
    <row r="792" spans="8:8" ht="14.25" customHeight="1">
      <c r="H792" s="14"/>
    </row>
    <row r="793" spans="8:8" ht="14.25" customHeight="1">
      <c r="H793" s="14"/>
    </row>
    <row r="794" spans="8:8" ht="14.25" customHeight="1">
      <c r="H794" s="14"/>
    </row>
    <row r="795" spans="8:8" ht="14.25" customHeight="1">
      <c r="H795" s="14"/>
    </row>
    <row r="796" spans="8:8" ht="14.25" customHeight="1">
      <c r="H796" s="14"/>
    </row>
    <row r="797" spans="8:8" ht="14.25" customHeight="1">
      <c r="H797" s="14"/>
    </row>
    <row r="798" spans="8:8" ht="14.25" customHeight="1">
      <c r="H798" s="14"/>
    </row>
    <row r="799" spans="8:8" ht="14.25" customHeight="1">
      <c r="H799" s="14"/>
    </row>
    <row r="800" spans="8:8" ht="14.25" customHeight="1">
      <c r="H800" s="14"/>
    </row>
    <row r="801" spans="8:8" ht="14.25" customHeight="1">
      <c r="H801" s="14"/>
    </row>
    <row r="802" spans="8:8" ht="14.25" customHeight="1">
      <c r="H802" s="14"/>
    </row>
    <row r="803" spans="8:8" ht="14.25" customHeight="1">
      <c r="H803" s="14"/>
    </row>
    <row r="804" spans="8:8" ht="14.25" customHeight="1">
      <c r="H804" s="14"/>
    </row>
    <row r="805" spans="8:8" ht="14.25" customHeight="1">
      <c r="H805" s="14"/>
    </row>
    <row r="806" spans="8:8" ht="14.25" customHeight="1">
      <c r="H806" s="14"/>
    </row>
    <row r="807" spans="8:8" ht="14.25" customHeight="1">
      <c r="H807" s="14"/>
    </row>
    <row r="808" spans="8:8" ht="14.25" customHeight="1">
      <c r="H808" s="14"/>
    </row>
    <row r="809" spans="8:8" ht="14.25" customHeight="1">
      <c r="H809" s="14"/>
    </row>
    <row r="810" spans="8:8" ht="14.25" customHeight="1">
      <c r="H810" s="14"/>
    </row>
    <row r="811" spans="8:8" ht="14.25" customHeight="1">
      <c r="H811" s="14"/>
    </row>
    <row r="812" spans="8:8" ht="14.25" customHeight="1">
      <c r="H812" s="14"/>
    </row>
    <row r="813" spans="8:8" ht="14.25" customHeight="1">
      <c r="H813" s="14"/>
    </row>
    <row r="814" spans="8:8" ht="14.25" customHeight="1">
      <c r="H814" s="14"/>
    </row>
    <row r="815" spans="8:8" ht="14.25" customHeight="1">
      <c r="H815" s="14"/>
    </row>
    <row r="816" spans="8:8" ht="14.25" customHeight="1">
      <c r="H816" s="14"/>
    </row>
    <row r="817" spans="8:8" ht="14.25" customHeight="1">
      <c r="H817" s="14"/>
    </row>
    <row r="818" spans="8:8" ht="14.25" customHeight="1">
      <c r="H818" s="14"/>
    </row>
    <row r="819" spans="8:8" ht="14.25" customHeight="1">
      <c r="H819" s="14"/>
    </row>
    <row r="820" spans="8:8" ht="14.25" customHeight="1">
      <c r="H820" s="14"/>
    </row>
    <row r="821" spans="8:8" ht="14.25" customHeight="1">
      <c r="H821" s="14"/>
    </row>
    <row r="822" spans="8:8" ht="14.25" customHeight="1">
      <c r="H822" s="14"/>
    </row>
    <row r="823" spans="8:8" ht="14.25" customHeight="1">
      <c r="H823" s="14"/>
    </row>
    <row r="824" spans="8:8" ht="14.25" customHeight="1">
      <c r="H824" s="14"/>
    </row>
    <row r="825" spans="8:8" ht="14.25" customHeight="1">
      <c r="H825" s="14"/>
    </row>
    <row r="826" spans="8:8" ht="14.25" customHeight="1">
      <c r="H826" s="14"/>
    </row>
    <row r="827" spans="8:8" ht="14.25" customHeight="1">
      <c r="H827" s="14"/>
    </row>
    <row r="828" spans="8:8" ht="14.25" customHeight="1">
      <c r="H828" s="14"/>
    </row>
    <row r="829" spans="8:8" ht="14.25" customHeight="1">
      <c r="H829" s="14"/>
    </row>
    <row r="830" spans="8:8" ht="14.25" customHeight="1">
      <c r="H830" s="14"/>
    </row>
    <row r="831" spans="8:8" ht="14.25" customHeight="1">
      <c r="H831" s="14"/>
    </row>
    <row r="832" spans="8:8" ht="14.25" customHeight="1">
      <c r="H832" s="14"/>
    </row>
    <row r="833" spans="8:8" ht="14.25" customHeight="1">
      <c r="H833" s="14"/>
    </row>
    <row r="834" spans="8:8" ht="14.25" customHeight="1">
      <c r="H834" s="14"/>
    </row>
    <row r="835" spans="8:8" ht="14.25" customHeight="1">
      <c r="H835" s="14"/>
    </row>
    <row r="836" spans="8:8" ht="14.25" customHeight="1">
      <c r="H836" s="14"/>
    </row>
    <row r="837" spans="8:8" ht="14.25" customHeight="1">
      <c r="H837" s="14"/>
    </row>
    <row r="838" spans="8:8" ht="14.25" customHeight="1">
      <c r="H838" s="14"/>
    </row>
    <row r="839" spans="8:8" ht="14.25" customHeight="1">
      <c r="H839" s="14"/>
    </row>
    <row r="840" spans="8:8" ht="14.25" customHeight="1">
      <c r="H840" s="14"/>
    </row>
    <row r="841" spans="8:8" ht="14.25" customHeight="1">
      <c r="H841" s="14"/>
    </row>
    <row r="842" spans="8:8" ht="14.25" customHeight="1">
      <c r="H842" s="14"/>
    </row>
    <row r="843" spans="8:8" ht="14.25" customHeight="1">
      <c r="H843" s="14"/>
    </row>
    <row r="844" spans="8:8" ht="14.25" customHeight="1">
      <c r="H844" s="14"/>
    </row>
    <row r="845" spans="8:8" ht="14.25" customHeight="1">
      <c r="H845" s="14"/>
    </row>
    <row r="846" spans="8:8" ht="14.25" customHeight="1">
      <c r="H846" s="14"/>
    </row>
    <row r="847" spans="8:8" ht="14.25" customHeight="1">
      <c r="H847" s="14"/>
    </row>
    <row r="848" spans="8:8" ht="14.25" customHeight="1">
      <c r="H848" s="14"/>
    </row>
    <row r="849" spans="8:8" ht="14.25" customHeight="1">
      <c r="H849" s="14"/>
    </row>
    <row r="850" spans="8:8" ht="14.25" customHeight="1">
      <c r="H850" s="14"/>
    </row>
    <row r="851" spans="8:8" ht="14.25" customHeight="1">
      <c r="H851" s="14"/>
    </row>
    <row r="852" spans="8:8" ht="14.25" customHeight="1">
      <c r="H852" s="14"/>
    </row>
    <row r="853" spans="8:8" ht="14.25" customHeight="1">
      <c r="H853" s="14"/>
    </row>
    <row r="854" spans="8:8" ht="14.25" customHeight="1">
      <c r="H854" s="14"/>
    </row>
    <row r="855" spans="8:8" ht="14.25" customHeight="1">
      <c r="H855" s="14"/>
    </row>
    <row r="856" spans="8:8" ht="14.25" customHeight="1">
      <c r="H856" s="14"/>
    </row>
    <row r="857" spans="8:8" ht="14.25" customHeight="1">
      <c r="H857" s="14"/>
    </row>
    <row r="858" spans="8:8" ht="14.25" customHeight="1">
      <c r="H858" s="14"/>
    </row>
    <row r="859" spans="8:8" ht="14.25" customHeight="1">
      <c r="H859" s="14"/>
    </row>
    <row r="860" spans="8:8" ht="14.25" customHeight="1">
      <c r="H860" s="14"/>
    </row>
    <row r="861" spans="8:8" ht="14.25" customHeight="1">
      <c r="H861" s="14"/>
    </row>
    <row r="862" spans="8:8" ht="14.25" customHeight="1">
      <c r="H862" s="14"/>
    </row>
    <row r="863" spans="8:8" ht="14.25" customHeight="1">
      <c r="H863" s="14"/>
    </row>
    <row r="864" spans="8:8" ht="14.25" customHeight="1">
      <c r="H864" s="14"/>
    </row>
    <row r="865" spans="8:8" ht="14.25" customHeight="1">
      <c r="H865" s="14"/>
    </row>
    <row r="866" spans="8:8" ht="14.25" customHeight="1">
      <c r="H866" s="14"/>
    </row>
    <row r="867" spans="8:8" ht="14.25" customHeight="1">
      <c r="H867" s="14"/>
    </row>
    <row r="868" spans="8:8" ht="14.25" customHeight="1">
      <c r="H868" s="14"/>
    </row>
    <row r="869" spans="8:8" ht="14.25" customHeight="1">
      <c r="H869" s="14"/>
    </row>
    <row r="870" spans="8:8" ht="14.25" customHeight="1">
      <c r="H870" s="14"/>
    </row>
    <row r="871" spans="8:8" ht="14.25" customHeight="1">
      <c r="H871" s="14"/>
    </row>
    <row r="872" spans="8:8" ht="14.25" customHeight="1">
      <c r="H872" s="14"/>
    </row>
    <row r="873" spans="8:8" ht="14.25" customHeight="1">
      <c r="H873" s="14"/>
    </row>
    <row r="874" spans="8:8" ht="14.25" customHeight="1">
      <c r="H874" s="14"/>
    </row>
    <row r="875" spans="8:8" ht="14.25" customHeight="1">
      <c r="H875" s="14"/>
    </row>
    <row r="876" spans="8:8" ht="14.25" customHeight="1">
      <c r="H876" s="14"/>
    </row>
    <row r="877" spans="8:8" ht="14.25" customHeight="1">
      <c r="H877" s="14"/>
    </row>
    <row r="878" spans="8:8" ht="14.25" customHeight="1">
      <c r="H878" s="14"/>
    </row>
    <row r="879" spans="8:8" ht="14.25" customHeight="1">
      <c r="H879" s="14"/>
    </row>
    <row r="880" spans="8:8" ht="14.25" customHeight="1">
      <c r="H880" s="14"/>
    </row>
    <row r="881" spans="8:8" ht="14.25" customHeight="1">
      <c r="H881" s="14"/>
    </row>
    <row r="882" spans="8:8" ht="14.25" customHeight="1">
      <c r="H882" s="14"/>
    </row>
    <row r="883" spans="8:8" ht="14.25" customHeight="1">
      <c r="H883" s="14"/>
    </row>
    <row r="884" spans="8:8" ht="14.25" customHeight="1">
      <c r="H884" s="14"/>
    </row>
    <row r="885" spans="8:8" ht="14.25" customHeight="1">
      <c r="H885" s="14"/>
    </row>
    <row r="886" spans="8:8" ht="14.25" customHeight="1">
      <c r="H886" s="14"/>
    </row>
    <row r="887" spans="8:8" ht="14.25" customHeight="1">
      <c r="H887" s="14"/>
    </row>
    <row r="888" spans="8:8" ht="14.25" customHeight="1">
      <c r="H888" s="14"/>
    </row>
    <row r="889" spans="8:8" ht="14.25" customHeight="1">
      <c r="H889" s="14"/>
    </row>
    <row r="890" spans="8:8" ht="14.25" customHeight="1">
      <c r="H890" s="14"/>
    </row>
    <row r="891" spans="8:8" ht="14.25" customHeight="1">
      <c r="H891" s="14"/>
    </row>
    <row r="892" spans="8:8" ht="14.25" customHeight="1">
      <c r="H892" s="14"/>
    </row>
    <row r="893" spans="8:8" ht="14.25" customHeight="1">
      <c r="H893" s="14"/>
    </row>
    <row r="894" spans="8:8" ht="14.25" customHeight="1">
      <c r="H894" s="14"/>
    </row>
    <row r="895" spans="8:8" ht="14.25" customHeight="1">
      <c r="H895" s="14"/>
    </row>
    <row r="896" spans="8:8" ht="14.25" customHeight="1">
      <c r="H896" s="14"/>
    </row>
    <row r="897" spans="8:8" ht="14.25" customHeight="1">
      <c r="H897" s="14"/>
    </row>
    <row r="898" spans="8:8" ht="14.25" customHeight="1">
      <c r="H898" s="14"/>
    </row>
    <row r="899" spans="8:8" ht="14.25" customHeight="1">
      <c r="H899" s="14"/>
    </row>
    <row r="900" spans="8:8" ht="14.25" customHeight="1">
      <c r="H900" s="14"/>
    </row>
    <row r="901" spans="8:8" ht="14.25" customHeight="1">
      <c r="H901" s="14"/>
    </row>
    <row r="902" spans="8:8" ht="14.25" customHeight="1">
      <c r="H902" s="14"/>
    </row>
    <row r="903" spans="8:8" ht="14.25" customHeight="1">
      <c r="H903" s="14"/>
    </row>
    <row r="904" spans="8:8" ht="14.25" customHeight="1">
      <c r="H904" s="14"/>
    </row>
    <row r="905" spans="8:8" ht="14.25" customHeight="1">
      <c r="H905" s="14"/>
    </row>
    <row r="906" spans="8:8" ht="14.25" customHeight="1">
      <c r="H906" s="14"/>
    </row>
    <row r="907" spans="8:8" ht="14.25" customHeight="1">
      <c r="H907" s="14"/>
    </row>
    <row r="908" spans="8:8" ht="14.25" customHeight="1">
      <c r="H908" s="14"/>
    </row>
    <row r="909" spans="8:8" ht="14.25" customHeight="1">
      <c r="H909" s="14"/>
    </row>
    <row r="910" spans="8:8" ht="14.25" customHeight="1">
      <c r="H910" s="14"/>
    </row>
    <row r="911" spans="8:8" ht="14.25" customHeight="1">
      <c r="H911" s="14"/>
    </row>
    <row r="912" spans="8:8" ht="14.25" customHeight="1">
      <c r="H912" s="14"/>
    </row>
    <row r="913" spans="8:8" ht="14.25" customHeight="1">
      <c r="H913" s="14"/>
    </row>
    <row r="914" spans="8:8" ht="14.25" customHeight="1">
      <c r="H914" s="14"/>
    </row>
    <row r="915" spans="8:8" ht="14.25" customHeight="1">
      <c r="H915" s="14"/>
    </row>
    <row r="916" spans="8:8" ht="14.25" customHeight="1">
      <c r="H916" s="14"/>
    </row>
    <row r="917" spans="8:8" ht="14.25" customHeight="1">
      <c r="H917" s="14"/>
    </row>
    <row r="918" spans="8:8" ht="14.25" customHeight="1">
      <c r="H918" s="14"/>
    </row>
    <row r="919" spans="8:8" ht="14.25" customHeight="1">
      <c r="H919" s="14"/>
    </row>
    <row r="920" spans="8:8" ht="14.25" customHeight="1">
      <c r="H920" s="14"/>
    </row>
    <row r="921" spans="8:8" ht="14.25" customHeight="1">
      <c r="H921" s="14"/>
    </row>
    <row r="922" spans="8:8" ht="14.25" customHeight="1">
      <c r="H922" s="14"/>
    </row>
    <row r="923" spans="8:8" ht="14.25" customHeight="1">
      <c r="H923" s="14"/>
    </row>
    <row r="924" spans="8:8" ht="14.25" customHeight="1">
      <c r="H924" s="14"/>
    </row>
    <row r="925" spans="8:8" ht="14.25" customHeight="1">
      <c r="H925" s="14"/>
    </row>
    <row r="926" spans="8:8" ht="14.25" customHeight="1">
      <c r="H926" s="14"/>
    </row>
    <row r="927" spans="8:8" ht="14.25" customHeight="1">
      <c r="H927" s="14"/>
    </row>
    <row r="928" spans="8:8" ht="14.25" customHeight="1">
      <c r="H928" s="14"/>
    </row>
    <row r="929" spans="8:8" ht="14.25" customHeight="1">
      <c r="H929" s="14"/>
    </row>
    <row r="930" spans="8:8" ht="14.25" customHeight="1">
      <c r="H930" s="14"/>
    </row>
    <row r="931" spans="8:8" ht="14.25" customHeight="1">
      <c r="H931" s="14"/>
    </row>
    <row r="932" spans="8:8" ht="14.25" customHeight="1">
      <c r="H932" s="14"/>
    </row>
    <row r="933" spans="8:8" ht="14.25" customHeight="1">
      <c r="H933" s="14"/>
    </row>
    <row r="934" spans="8:8" ht="14.25" customHeight="1">
      <c r="H934" s="14"/>
    </row>
    <row r="935" spans="8:8" ht="14.25" customHeight="1">
      <c r="H935" s="14"/>
    </row>
    <row r="936" spans="8:8" ht="14.25" customHeight="1">
      <c r="H936" s="14"/>
    </row>
    <row r="937" spans="8:8" ht="14.25" customHeight="1">
      <c r="H937" s="14"/>
    </row>
    <row r="938" spans="8:8" ht="14.25" customHeight="1">
      <c r="H938" s="14"/>
    </row>
    <row r="939" spans="8:8" ht="14.25" customHeight="1">
      <c r="H939" s="14"/>
    </row>
    <row r="940" spans="8:8" ht="14.25" customHeight="1">
      <c r="H940" s="14"/>
    </row>
    <row r="941" spans="8:8" ht="14.25" customHeight="1">
      <c r="H941" s="14"/>
    </row>
    <row r="942" spans="8:8" ht="14.25" customHeight="1">
      <c r="H942" s="14"/>
    </row>
    <row r="943" spans="8:8" ht="14.25" customHeight="1">
      <c r="H943" s="14"/>
    </row>
    <row r="944" spans="8:8" ht="14.25" customHeight="1">
      <c r="H944" s="14"/>
    </row>
    <row r="945" spans="8:8" ht="14.25" customHeight="1">
      <c r="H945" s="14"/>
    </row>
    <row r="946" spans="8:8" ht="14.25" customHeight="1">
      <c r="H946" s="14"/>
    </row>
    <row r="947" spans="8:8" ht="14.25" customHeight="1">
      <c r="H947" s="14"/>
    </row>
    <row r="948" spans="8:8" ht="14.25" customHeight="1">
      <c r="H948" s="14"/>
    </row>
    <row r="949" spans="8:8" ht="14.25" customHeight="1">
      <c r="H949" s="14"/>
    </row>
    <row r="950" spans="8:8" ht="14.25" customHeight="1">
      <c r="H950" s="14"/>
    </row>
    <row r="951" spans="8:8" ht="14.25" customHeight="1">
      <c r="H951" s="14"/>
    </row>
    <row r="952" spans="8:8" ht="14.25" customHeight="1">
      <c r="H952" s="14"/>
    </row>
    <row r="953" spans="8:8" ht="14.25" customHeight="1">
      <c r="H953" s="14"/>
    </row>
    <row r="954" spans="8:8" ht="14.25" customHeight="1">
      <c r="H954" s="14"/>
    </row>
    <row r="955" spans="8:8" ht="14.25" customHeight="1">
      <c r="H955" s="14"/>
    </row>
    <row r="956" spans="8:8" ht="14.25" customHeight="1">
      <c r="H956" s="14"/>
    </row>
    <row r="957" spans="8:8" ht="14.25" customHeight="1">
      <c r="H957" s="14"/>
    </row>
    <row r="958" spans="8:8" ht="14.25" customHeight="1">
      <c r="H958" s="14"/>
    </row>
    <row r="959" spans="8:8" ht="14.25" customHeight="1">
      <c r="H959" s="14"/>
    </row>
    <row r="960" spans="8:8" ht="14.25" customHeight="1">
      <c r="H960" s="14"/>
    </row>
    <row r="961" spans="8:8" ht="14.25" customHeight="1">
      <c r="H961" s="14"/>
    </row>
    <row r="962" spans="8:8" ht="14.25" customHeight="1">
      <c r="H962" s="14"/>
    </row>
    <row r="963" spans="8:8" ht="14.25" customHeight="1">
      <c r="H963" s="14"/>
    </row>
    <row r="964" spans="8:8" ht="14.25" customHeight="1">
      <c r="H964" s="14"/>
    </row>
    <row r="965" spans="8:8" ht="14.25" customHeight="1">
      <c r="H965" s="14"/>
    </row>
    <row r="966" spans="8:8" ht="14.25" customHeight="1">
      <c r="H966" s="14"/>
    </row>
    <row r="967" spans="8:8" ht="14.25" customHeight="1">
      <c r="H967" s="14"/>
    </row>
    <row r="968" spans="8:8" ht="14.25" customHeight="1">
      <c r="H968" s="14"/>
    </row>
    <row r="969" spans="8:8" ht="14.25" customHeight="1">
      <c r="H969" s="14"/>
    </row>
    <row r="970" spans="8:8" ht="14.25" customHeight="1">
      <c r="H970" s="14"/>
    </row>
    <row r="971" spans="8:8" ht="14.25" customHeight="1">
      <c r="H971" s="14"/>
    </row>
    <row r="972" spans="8:8" ht="14.25" customHeight="1">
      <c r="H972" s="14"/>
    </row>
    <row r="973" spans="8:8" ht="14.25" customHeight="1">
      <c r="H973" s="14"/>
    </row>
    <row r="974" spans="8:8" ht="14.25" customHeight="1">
      <c r="H974" s="14"/>
    </row>
    <row r="975" spans="8:8" ht="14.25" customHeight="1">
      <c r="H975" s="14"/>
    </row>
    <row r="976" spans="8:8" ht="14.25" customHeight="1">
      <c r="H976" s="14"/>
    </row>
    <row r="977" spans="8:8" ht="14.25" customHeight="1">
      <c r="H977" s="14"/>
    </row>
    <row r="978" spans="8:8" ht="14.25" customHeight="1">
      <c r="H978" s="14"/>
    </row>
    <row r="979" spans="8:8" ht="14.25" customHeight="1">
      <c r="H979" s="14"/>
    </row>
    <row r="980" spans="8:8" ht="14.25" customHeight="1">
      <c r="H980" s="14"/>
    </row>
    <row r="981" spans="8:8" ht="14.25" customHeight="1">
      <c r="H981" s="14"/>
    </row>
    <row r="982" spans="8:8" ht="14.25" customHeight="1">
      <c r="H982" s="14"/>
    </row>
    <row r="983" spans="8:8" ht="14.25" customHeight="1">
      <c r="H983" s="14"/>
    </row>
    <row r="984" spans="8:8" ht="14.25" customHeight="1">
      <c r="H984" s="14"/>
    </row>
    <row r="985" spans="8:8" ht="14.25" customHeight="1">
      <c r="H985" s="14"/>
    </row>
    <row r="986" spans="8:8" ht="14.25" customHeight="1">
      <c r="H986" s="14"/>
    </row>
    <row r="987" spans="8:8" ht="14.25" customHeight="1">
      <c r="H987" s="14"/>
    </row>
    <row r="988" spans="8:8" ht="14.25" customHeight="1">
      <c r="H988" s="14"/>
    </row>
    <row r="989" spans="8:8" ht="14.25" customHeight="1">
      <c r="H989" s="14"/>
    </row>
    <row r="990" spans="8:8" ht="14.25" customHeight="1">
      <c r="H990" s="14"/>
    </row>
    <row r="991" spans="8:8" ht="14.25" customHeight="1">
      <c r="H991" s="14"/>
    </row>
    <row r="992" spans="8:8" ht="14.25" customHeight="1">
      <c r="H992" s="14"/>
    </row>
    <row r="993" spans="8:8" ht="14.25" customHeight="1">
      <c r="H993" s="14"/>
    </row>
    <row r="994" spans="8:8" ht="14.25" customHeight="1">
      <c r="H994" s="14"/>
    </row>
    <row r="995" spans="8:8" ht="14.25" customHeight="1">
      <c r="H995" s="14"/>
    </row>
    <row r="996" spans="8:8" ht="14.25" customHeight="1">
      <c r="H996" s="14"/>
    </row>
    <row r="997" spans="8:8" ht="14.25" customHeight="1">
      <c r="H997" s="14"/>
    </row>
    <row r="998" spans="8:8" ht="14.25" customHeight="1">
      <c r="H998" s="14"/>
    </row>
    <row r="999" spans="8:8" ht="14.25" customHeight="1">
      <c r="H999" s="14"/>
    </row>
    <row r="1000" spans="8:8" ht="14.25" customHeight="1">
      <c r="H1000" s="14"/>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2D2D7-68FC-45D4-B099-B89DF3E957DC}">
  <sheetPr codeName="Sheet3"/>
  <dimension ref="A1"/>
  <sheetViews>
    <sheetView zoomScale="110" zoomScaleNormal="110" workbookViewId="0"/>
  </sheetViews>
  <sheetFormatPr defaultRowHeight="14.5"/>
  <cols>
    <col min="1" max="16384" width="8.7265625" style="114"/>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Z1000"/>
  <sheetViews>
    <sheetView workbookViewId="0"/>
  </sheetViews>
  <sheetFormatPr defaultColWidth="14.453125" defaultRowHeight="15" customHeight="1"/>
  <cols>
    <col min="1" max="1" width="11.6328125" customWidth="1"/>
    <col min="2" max="2" width="13.6328125" customWidth="1"/>
    <col min="3" max="3" width="18.453125" customWidth="1"/>
    <col min="4" max="4" width="12.6328125" customWidth="1"/>
    <col min="5" max="5" width="11.453125" customWidth="1"/>
    <col min="6" max="10" width="8.6328125" customWidth="1"/>
    <col min="11" max="11" width="14.6328125" customWidth="1"/>
    <col min="12" max="26" width="8.6328125" customWidth="1"/>
  </cols>
  <sheetData>
    <row r="1" spans="1:26" ht="14.25" customHeight="1">
      <c r="A1" s="3" t="s">
        <v>29</v>
      </c>
    </row>
    <row r="2" spans="1:26" ht="14.25" customHeight="1">
      <c r="H2" s="16"/>
    </row>
    <row r="3" spans="1:26" ht="14.25" customHeight="1">
      <c r="C3" s="17">
        <f>2.7*0.82</f>
        <v>2.214</v>
      </c>
      <c r="D3" s="18" t="s">
        <v>30</v>
      </c>
    </row>
    <row r="4" spans="1:26" ht="14.25" customHeight="1"/>
    <row r="5" spans="1:26" ht="15" customHeight="1">
      <c r="B5" s="19"/>
      <c r="C5" s="19"/>
      <c r="D5" s="19"/>
      <c r="E5" s="19"/>
      <c r="F5" s="19"/>
      <c r="G5" s="19"/>
      <c r="H5" s="19"/>
      <c r="I5" s="19"/>
      <c r="J5" s="19"/>
      <c r="K5" s="19"/>
    </row>
    <row r="6" spans="1:26" ht="14.25" customHeight="1">
      <c r="A6" s="20" t="s">
        <v>31</v>
      </c>
      <c r="B6" s="19"/>
      <c r="C6" s="19"/>
      <c r="D6" s="19"/>
      <c r="E6" s="19"/>
      <c r="F6" s="19"/>
      <c r="G6" s="19"/>
      <c r="H6" s="19"/>
      <c r="I6" s="19"/>
      <c r="J6" s="19"/>
      <c r="K6" s="19"/>
    </row>
    <row r="7" spans="1:26" ht="14.25" customHeight="1">
      <c r="A7" s="21"/>
      <c r="B7" s="21"/>
      <c r="C7" s="21"/>
      <c r="D7" s="21"/>
      <c r="E7" s="21"/>
      <c r="F7" s="21"/>
      <c r="G7" s="21"/>
      <c r="H7" s="21"/>
      <c r="I7" s="21"/>
      <c r="J7" s="21"/>
      <c r="K7" s="21"/>
    </row>
    <row r="8" spans="1:26" ht="14.25" customHeight="1">
      <c r="C8" s="22">
        <f>18520/18370-1</f>
        <v>8.165487207403288E-3</v>
      </c>
      <c r="D8" s="18" t="s">
        <v>30</v>
      </c>
      <c r="F8" s="16"/>
    </row>
    <row r="9" spans="1:26" ht="14.25" customHeight="1">
      <c r="D9" s="18"/>
      <c r="F9" s="16"/>
    </row>
    <row r="10" spans="1:26" ht="14.25" customHeight="1"/>
    <row r="11" spans="1:26" ht="14.25" customHeight="1">
      <c r="A11" s="3" t="s">
        <v>32</v>
      </c>
      <c r="E11" s="23"/>
      <c r="F11" s="23"/>
      <c r="G11" s="23"/>
      <c r="H11" s="23"/>
      <c r="I11" s="23"/>
      <c r="J11" s="23"/>
      <c r="K11" s="23"/>
      <c r="L11" s="23"/>
    </row>
    <row r="12" spans="1:26" ht="14.25" customHeight="1">
      <c r="E12" s="23"/>
      <c r="F12" s="23"/>
      <c r="G12" s="23"/>
      <c r="H12" s="23"/>
      <c r="I12" s="23"/>
      <c r="J12" s="23"/>
      <c r="K12" s="23"/>
      <c r="L12" s="23"/>
    </row>
    <row r="13" spans="1:26" ht="14.25" customHeight="1">
      <c r="C13" s="22">
        <f>1230/1800</f>
        <v>0.68333333333333335</v>
      </c>
      <c r="D13" s="18" t="s">
        <v>30</v>
      </c>
    </row>
    <row r="14" spans="1:26" ht="14.25" customHeight="1"/>
    <row r="15" spans="1:26" ht="14.25" customHeight="1"/>
    <row r="16" spans="1:26" ht="14.25" customHeight="1">
      <c r="A16" s="24" t="s">
        <v>33</v>
      </c>
      <c r="B16" s="24"/>
      <c r="C16" s="24"/>
      <c r="D16" s="24"/>
      <c r="E16" s="24"/>
      <c r="F16" s="24"/>
      <c r="G16" s="24"/>
      <c r="H16" s="24"/>
      <c r="I16" s="24"/>
      <c r="J16" s="24"/>
      <c r="K16" s="24"/>
      <c r="L16" s="24"/>
      <c r="M16" s="24"/>
      <c r="N16" s="24"/>
      <c r="O16" s="24"/>
      <c r="P16" s="24"/>
      <c r="Q16" s="24"/>
      <c r="R16" s="24"/>
      <c r="S16" s="24"/>
      <c r="T16" s="24"/>
      <c r="U16" s="24"/>
      <c r="V16" s="24"/>
      <c r="W16" s="24"/>
      <c r="X16" s="24"/>
      <c r="Y16" s="24"/>
      <c r="Z16" s="24"/>
    </row>
    <row r="17" spans="1:11" ht="14.25" customHeight="1"/>
    <row r="18" spans="1:11" ht="14.25" customHeight="1">
      <c r="C18" s="22">
        <f>45/39-1</f>
        <v>0.15384615384615374</v>
      </c>
      <c r="D18" s="18" t="s">
        <v>30</v>
      </c>
    </row>
    <row r="19" spans="1:11" ht="14.25" customHeight="1">
      <c r="D19" s="18"/>
    </row>
    <row r="20" spans="1:11" ht="14.25" customHeight="1"/>
    <row r="21" spans="1:11" ht="14.25" customHeight="1">
      <c r="A21" s="3" t="s">
        <v>34</v>
      </c>
    </row>
    <row r="22" spans="1:11" ht="14.25" customHeight="1"/>
    <row r="23" spans="1:11" ht="14.25" customHeight="1">
      <c r="C23" s="17">
        <f>3.1*1.05</f>
        <v>3.2550000000000003</v>
      </c>
      <c r="D23" s="18" t="s">
        <v>30</v>
      </c>
    </row>
    <row r="24" spans="1:11" ht="14.25" customHeight="1">
      <c r="D24" s="18"/>
    </row>
    <row r="25" spans="1:11" ht="14.25" customHeight="1"/>
    <row r="26" spans="1:11" ht="14.25" customHeight="1">
      <c r="A26" s="24" t="s">
        <v>265</v>
      </c>
    </row>
    <row r="27" spans="1:11" ht="14.25" customHeight="1"/>
    <row r="28" spans="1:11" ht="14.25" customHeight="1">
      <c r="C28" s="17">
        <f>75/1.25</f>
        <v>60</v>
      </c>
      <c r="D28" s="18" t="s">
        <v>30</v>
      </c>
    </row>
    <row r="29" spans="1:11" ht="14.25" customHeight="1">
      <c r="C29" s="24"/>
    </row>
    <row r="30" spans="1:11" ht="14.25" customHeight="1"/>
    <row r="31" spans="1:11" ht="14.25" customHeight="1">
      <c r="A31" s="187" t="s">
        <v>35</v>
      </c>
      <c r="B31" s="188"/>
      <c r="C31" s="188"/>
      <c r="D31" s="188"/>
      <c r="E31" s="188"/>
      <c r="F31" s="188"/>
      <c r="G31" s="188"/>
      <c r="H31" s="188"/>
      <c r="I31" s="188"/>
      <c r="J31" s="188"/>
      <c r="K31" s="188"/>
    </row>
    <row r="32" spans="1:11" ht="14.25" customHeight="1">
      <c r="A32" s="188"/>
      <c r="B32" s="188"/>
      <c r="C32" s="188"/>
      <c r="D32" s="188"/>
      <c r="E32" s="188"/>
      <c r="F32" s="188"/>
      <c r="G32" s="188"/>
      <c r="H32" s="188"/>
      <c r="I32" s="188"/>
      <c r="J32" s="188"/>
      <c r="K32" s="188"/>
    </row>
    <row r="33" spans="1:11" ht="14.25" customHeight="1">
      <c r="A33" s="188"/>
      <c r="B33" s="188"/>
      <c r="C33" s="188"/>
      <c r="D33" s="188"/>
      <c r="E33" s="188"/>
      <c r="F33" s="188"/>
      <c r="G33" s="188"/>
      <c r="H33" s="188"/>
      <c r="I33" s="188"/>
      <c r="J33" s="188"/>
      <c r="K33" s="188"/>
    </row>
    <row r="34" spans="1:11" ht="14.25" customHeight="1">
      <c r="C34" s="25">
        <f>ROUNDDOWN(1900/0.8,0)</f>
        <v>2375</v>
      </c>
      <c r="D34" s="25"/>
      <c r="E34" s="18" t="s">
        <v>30</v>
      </c>
    </row>
    <row r="35" spans="1:11" ht="14.25" customHeight="1">
      <c r="E35" s="18"/>
    </row>
    <row r="36" spans="1:11" ht="14.25" customHeight="1"/>
    <row r="37" spans="1:11" ht="14.25" customHeight="1">
      <c r="A37" s="24" t="s">
        <v>36</v>
      </c>
    </row>
    <row r="38" spans="1:11" ht="14.25" customHeight="1"/>
    <row r="39" spans="1:11" ht="14.25" customHeight="1">
      <c r="C39" s="22">
        <f>231/C34</f>
        <v>9.7263157894736843E-2</v>
      </c>
      <c r="D39" s="25"/>
      <c r="E39" s="18" t="s">
        <v>30</v>
      </c>
    </row>
    <row r="40" spans="1:11" ht="14.25" customHeight="1"/>
    <row r="41" spans="1:11" ht="14.25" customHeight="1"/>
    <row r="42" spans="1:11" ht="14.25" customHeight="1">
      <c r="A42" s="26" t="s">
        <v>37</v>
      </c>
      <c r="B42" s="26"/>
      <c r="C42" s="26"/>
      <c r="D42" s="26"/>
      <c r="E42" s="26"/>
      <c r="F42" s="26"/>
      <c r="G42" s="26"/>
      <c r="H42" s="26"/>
      <c r="I42" s="26"/>
    </row>
    <row r="43" spans="1:11" ht="14.25" customHeight="1"/>
    <row r="44" spans="1:11" ht="14.25" customHeight="1">
      <c r="C44" s="22">
        <f>C34/102625</f>
        <v>2.3142509135200974E-2</v>
      </c>
      <c r="D44" s="25"/>
      <c r="E44" s="18" t="s">
        <v>30</v>
      </c>
    </row>
    <row r="45" spans="1:11" ht="14.25" customHeight="1">
      <c r="C45" s="27"/>
      <c r="E45" s="18"/>
    </row>
    <row r="46" spans="1:11" ht="14.25" customHeight="1"/>
    <row r="47" spans="1:11" ht="14.25" customHeight="1">
      <c r="A47" s="187" t="s">
        <v>38</v>
      </c>
      <c r="B47" s="188"/>
      <c r="C47" s="188"/>
      <c r="D47" s="188"/>
      <c r="E47" s="188"/>
      <c r="F47" s="188"/>
      <c r="G47" s="188"/>
      <c r="H47" s="188"/>
      <c r="I47" s="188"/>
      <c r="J47" s="188"/>
    </row>
    <row r="48" spans="1:11" ht="14.25" customHeight="1">
      <c r="A48" s="188"/>
      <c r="B48" s="188"/>
      <c r="C48" s="188"/>
      <c r="D48" s="188"/>
      <c r="E48" s="188"/>
      <c r="F48" s="188"/>
      <c r="G48" s="188"/>
      <c r="H48" s="188"/>
      <c r="I48" s="188"/>
      <c r="J48" s="188"/>
    </row>
    <row r="49" spans="3:5" ht="14.25" customHeight="1"/>
    <row r="50" spans="3:5" ht="14.25" customHeight="1">
      <c r="C50" s="22">
        <f>(127*231)/11350-1</f>
        <v>1.5847577092511012</v>
      </c>
      <c r="D50" s="25"/>
      <c r="E50" s="18" t="s">
        <v>30</v>
      </c>
    </row>
    <row r="51" spans="3:5" ht="14.25" customHeight="1"/>
    <row r="52" spans="3:5" ht="14.25" customHeight="1"/>
    <row r="53" spans="3:5" ht="14.25" customHeight="1"/>
    <row r="54" spans="3:5" ht="14.25" customHeight="1"/>
    <row r="55" spans="3:5" ht="14.25" customHeight="1"/>
    <row r="56" spans="3:5" ht="14.25" customHeight="1"/>
    <row r="57" spans="3:5" ht="14.25" customHeight="1"/>
    <row r="58" spans="3:5" ht="14.25" customHeight="1"/>
    <row r="59" spans="3:5" ht="14.25" customHeight="1"/>
    <row r="60" spans="3:5" ht="14.25" customHeight="1"/>
    <row r="61" spans="3:5" ht="14.25" customHeight="1"/>
    <row r="62" spans="3:5" ht="14.25" customHeight="1"/>
    <row r="63" spans="3:5" ht="14.25" customHeight="1"/>
    <row r="64" spans="3:5"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A31:K33"/>
    <mergeCell ref="A47:J48"/>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F8E93-ED95-467E-B7D8-F02F66C05793}">
  <dimension ref="A1:Z1000"/>
  <sheetViews>
    <sheetView workbookViewId="0">
      <selection activeCell="C10" sqref="C10:C25"/>
    </sheetView>
  </sheetViews>
  <sheetFormatPr defaultColWidth="14.453125" defaultRowHeight="15" customHeight="1"/>
  <cols>
    <col min="1" max="1" width="19.6328125" style="119" customWidth="1"/>
    <col min="2" max="2" width="24.36328125" style="119" customWidth="1"/>
    <col min="3" max="4" width="15.6328125" style="119" customWidth="1"/>
    <col min="5" max="5" width="18.36328125" style="119" customWidth="1"/>
    <col min="6" max="6" width="13.36328125" style="119" customWidth="1"/>
    <col min="7" max="7" width="8.6328125" style="119" customWidth="1"/>
    <col min="8" max="8" width="26.6328125" style="119" customWidth="1"/>
    <col min="9" max="9" width="10.36328125" style="119" customWidth="1"/>
    <col min="10" max="10" width="15.36328125" style="119" customWidth="1"/>
    <col min="11" max="11" width="15" style="119" customWidth="1"/>
    <col min="12" max="26" width="8.6328125" style="119" customWidth="1"/>
    <col min="27" max="16384" width="14.453125" style="119"/>
  </cols>
  <sheetData>
    <row r="1" spans="1:26" ht="14.25" customHeight="1">
      <c r="A1" s="189" t="s">
        <v>263</v>
      </c>
      <c r="B1" s="190"/>
      <c r="C1" s="190"/>
      <c r="D1" s="190"/>
      <c r="E1" s="190"/>
      <c r="F1" s="190"/>
      <c r="G1" s="191"/>
      <c r="H1" s="117"/>
      <c r="I1" s="117"/>
      <c r="J1" s="117"/>
      <c r="K1" s="117"/>
      <c r="L1" s="118"/>
      <c r="M1" s="118"/>
      <c r="N1" s="118"/>
      <c r="O1" s="118"/>
      <c r="P1" s="118"/>
      <c r="Q1" s="118"/>
      <c r="R1" s="118"/>
      <c r="S1" s="118"/>
      <c r="T1" s="118"/>
      <c r="U1" s="118"/>
      <c r="V1" s="118"/>
      <c r="W1" s="118"/>
      <c r="X1" s="118"/>
      <c r="Y1" s="118"/>
      <c r="Z1" s="118"/>
    </row>
    <row r="2" spans="1:26" ht="14.25" customHeight="1">
      <c r="A2" s="192"/>
      <c r="B2" s="193"/>
      <c r="C2" s="193"/>
      <c r="D2" s="193"/>
      <c r="E2" s="193"/>
      <c r="F2" s="193"/>
      <c r="G2" s="194"/>
      <c r="H2" s="120"/>
      <c r="I2" s="117"/>
      <c r="J2" s="117"/>
      <c r="K2" s="117"/>
      <c r="L2" s="118"/>
      <c r="M2" s="118"/>
      <c r="N2" s="118"/>
      <c r="O2" s="118"/>
      <c r="P2" s="118"/>
      <c r="Q2" s="118"/>
      <c r="R2" s="118"/>
      <c r="S2" s="118"/>
      <c r="T2" s="118"/>
      <c r="U2" s="118"/>
      <c r="V2" s="118"/>
      <c r="W2" s="118"/>
      <c r="X2" s="118"/>
      <c r="Y2" s="118"/>
      <c r="Z2" s="118"/>
    </row>
    <row r="3" spans="1:26" ht="14.25" customHeight="1">
      <c r="A3" s="195"/>
      <c r="B3" s="196"/>
      <c r="C3" s="196"/>
      <c r="D3" s="196"/>
      <c r="E3" s="196"/>
      <c r="F3" s="196"/>
      <c r="G3" s="197"/>
      <c r="H3" s="121"/>
      <c r="I3" s="117"/>
      <c r="J3" s="117"/>
      <c r="K3" s="117"/>
      <c r="L3" s="118"/>
      <c r="M3" s="118"/>
      <c r="N3" s="118"/>
      <c r="O3" s="118"/>
      <c r="P3" s="118"/>
      <c r="Q3" s="118"/>
      <c r="R3" s="118"/>
      <c r="S3" s="118"/>
      <c r="T3" s="118"/>
      <c r="U3" s="118"/>
      <c r="V3" s="118"/>
      <c r="W3" s="118"/>
      <c r="X3" s="118"/>
      <c r="Y3" s="118"/>
      <c r="Z3" s="118"/>
    </row>
    <row r="4" spans="1:26" ht="14.25" customHeight="1">
      <c r="A4" s="122" t="s">
        <v>264</v>
      </c>
      <c r="B4" s="123"/>
      <c r="C4" s="118"/>
      <c r="D4" s="118"/>
      <c r="E4" s="118"/>
      <c r="F4" s="118"/>
      <c r="G4" s="118"/>
      <c r="H4" s="124" t="s">
        <v>39</v>
      </c>
      <c r="I4" s="125"/>
      <c r="J4" s="125"/>
      <c r="K4" s="125"/>
      <c r="L4" s="125"/>
      <c r="M4" s="126"/>
      <c r="N4" s="118"/>
      <c r="O4" s="118"/>
      <c r="P4" s="118"/>
      <c r="Q4" s="118"/>
      <c r="R4" s="118"/>
      <c r="S4" s="118"/>
      <c r="T4" s="118"/>
      <c r="U4" s="118"/>
      <c r="V4" s="118"/>
      <c r="W4" s="118"/>
      <c r="X4" s="118"/>
      <c r="Y4" s="118"/>
      <c r="Z4" s="118"/>
    </row>
    <row r="5" spans="1:26" ht="14.25" customHeight="1">
      <c r="A5" s="123"/>
      <c r="B5" s="123"/>
      <c r="C5" s="118"/>
      <c r="D5" s="118"/>
      <c r="E5" s="118"/>
      <c r="F5" s="118"/>
      <c r="G5" s="118"/>
      <c r="H5" s="127" t="s">
        <v>40</v>
      </c>
      <c r="J5" s="128">
        <v>530.9</v>
      </c>
      <c r="K5" s="129"/>
      <c r="L5" s="118"/>
      <c r="M5" s="130"/>
      <c r="N5" s="118"/>
      <c r="O5" s="118"/>
      <c r="P5" s="118"/>
      <c r="Q5" s="118"/>
      <c r="R5" s="118"/>
      <c r="S5" s="118"/>
      <c r="T5" s="118"/>
      <c r="U5" s="118"/>
      <c r="V5" s="118"/>
      <c r="W5" s="118"/>
      <c r="X5" s="118"/>
      <c r="Y5" s="118"/>
      <c r="Z5" s="118"/>
    </row>
    <row r="6" spans="1:26" ht="14.25" customHeight="1">
      <c r="A6" s="118"/>
      <c r="B6" s="123"/>
      <c r="C6" s="118"/>
      <c r="D6" s="118"/>
      <c r="E6" s="118"/>
      <c r="F6" s="118"/>
      <c r="G6" s="118"/>
      <c r="H6" s="131"/>
      <c r="K6" s="118"/>
      <c r="L6" s="118"/>
      <c r="M6" s="130"/>
      <c r="N6" s="118"/>
      <c r="O6" s="118"/>
      <c r="P6" s="118"/>
      <c r="Q6" s="118"/>
      <c r="R6" s="118"/>
      <c r="S6" s="118"/>
      <c r="T6" s="118"/>
      <c r="U6" s="118"/>
      <c r="V6" s="118"/>
      <c r="W6" s="118"/>
      <c r="X6" s="118"/>
      <c r="Y6" s="118"/>
      <c r="Z6" s="118"/>
    </row>
    <row r="7" spans="1:26" ht="14.25" customHeight="1">
      <c r="A7" s="132"/>
      <c r="B7" s="123"/>
      <c r="C7" s="118"/>
      <c r="D7" s="118"/>
      <c r="E7" s="118"/>
      <c r="F7" s="133"/>
      <c r="G7" s="118"/>
      <c r="H7" s="131" t="s">
        <v>254</v>
      </c>
      <c r="J7" s="134">
        <v>331.81</v>
      </c>
      <c r="K7" s="135"/>
      <c r="L7" s="118"/>
      <c r="M7" s="130"/>
      <c r="N7" s="118"/>
      <c r="O7" s="118"/>
      <c r="P7" s="118"/>
      <c r="Q7" s="118"/>
      <c r="R7" s="118"/>
      <c r="S7" s="118"/>
      <c r="T7" s="118"/>
      <c r="U7" s="118"/>
      <c r="V7" s="118"/>
      <c r="W7" s="118"/>
      <c r="X7" s="118"/>
      <c r="Y7" s="118"/>
      <c r="Z7" s="118"/>
    </row>
    <row r="8" spans="1:26" ht="14.25" customHeight="1">
      <c r="A8" s="136"/>
      <c r="B8" s="137"/>
      <c r="C8" s="138"/>
      <c r="D8" s="118"/>
      <c r="E8" s="118"/>
      <c r="F8" s="139"/>
      <c r="G8" s="118"/>
      <c r="H8" s="140" t="s">
        <v>41</v>
      </c>
      <c r="I8" s="141" t="s">
        <v>42</v>
      </c>
      <c r="J8" s="141" t="s">
        <v>255</v>
      </c>
      <c r="K8" s="118"/>
      <c r="L8" s="118"/>
      <c r="M8" s="130"/>
      <c r="N8" s="118"/>
      <c r="O8" s="118"/>
      <c r="P8" s="118"/>
      <c r="Q8" s="118"/>
      <c r="R8" s="118"/>
      <c r="S8" s="118"/>
      <c r="T8" s="118"/>
      <c r="U8" s="118"/>
      <c r="V8" s="118"/>
      <c r="W8" s="118"/>
      <c r="X8" s="118"/>
      <c r="Y8" s="118"/>
      <c r="Z8" s="118"/>
    </row>
    <row r="9" spans="1:26" ht="14.25" customHeight="1">
      <c r="A9" s="142" t="s">
        <v>43</v>
      </c>
      <c r="B9" s="143"/>
      <c r="C9" s="144">
        <v>1400</v>
      </c>
      <c r="D9" s="118"/>
      <c r="E9" s="118"/>
      <c r="F9" s="139"/>
      <c r="G9" s="118"/>
      <c r="H9" s="140" t="s">
        <v>44</v>
      </c>
      <c r="I9" s="141">
        <v>0.7</v>
      </c>
      <c r="J9" s="145">
        <f>ROUND(I9*$J$7,2)</f>
        <v>232.27</v>
      </c>
      <c r="K9" s="118"/>
      <c r="L9" s="118"/>
      <c r="M9" s="130"/>
      <c r="N9" s="118"/>
      <c r="O9" s="118"/>
      <c r="P9" s="118"/>
      <c r="Q9" s="118"/>
      <c r="R9" s="118"/>
      <c r="S9" s="118"/>
      <c r="T9" s="118"/>
      <c r="U9" s="118"/>
      <c r="V9" s="118"/>
      <c r="W9" s="118"/>
      <c r="X9" s="118"/>
      <c r="Y9" s="118"/>
      <c r="Z9" s="118"/>
    </row>
    <row r="10" spans="1:26" ht="14.5">
      <c r="A10" s="146" t="s">
        <v>45</v>
      </c>
      <c r="B10" s="147" t="s">
        <v>46</v>
      </c>
      <c r="C10" s="148">
        <f>15%*C9</f>
        <v>210</v>
      </c>
      <c r="D10" s="118"/>
      <c r="E10" s="118"/>
      <c r="F10" s="118"/>
      <c r="G10" s="118"/>
      <c r="H10" s="140" t="s">
        <v>47</v>
      </c>
      <c r="I10" s="141">
        <v>1</v>
      </c>
      <c r="J10" s="145">
        <f t="shared" ref="J10:J18" si="0">ROUND(I10*$J$7,2)</f>
        <v>331.81</v>
      </c>
      <c r="K10" s="118"/>
      <c r="L10" s="118"/>
      <c r="M10" s="130"/>
      <c r="N10" s="118"/>
      <c r="O10" s="118"/>
      <c r="P10" s="118"/>
      <c r="Q10" s="118"/>
      <c r="R10" s="118"/>
      <c r="S10" s="118"/>
      <c r="T10" s="118"/>
      <c r="U10" s="118"/>
      <c r="V10" s="118"/>
      <c r="W10" s="118"/>
      <c r="X10" s="118"/>
      <c r="Y10" s="118"/>
      <c r="Z10" s="118"/>
    </row>
    <row r="11" spans="1:26" ht="14.5">
      <c r="A11" s="146" t="s">
        <v>48</v>
      </c>
      <c r="B11" s="147" t="s">
        <v>49</v>
      </c>
      <c r="C11" s="148">
        <f>5%*C9</f>
        <v>70</v>
      </c>
      <c r="D11" s="118"/>
      <c r="E11" s="118"/>
      <c r="F11" s="129"/>
      <c r="G11" s="118"/>
      <c r="H11" s="140" t="s">
        <v>50</v>
      </c>
      <c r="I11" s="141">
        <v>1.4</v>
      </c>
      <c r="J11" s="145">
        <f t="shared" si="0"/>
        <v>464.53</v>
      </c>
      <c r="K11" s="118"/>
      <c r="L11" s="118"/>
      <c r="M11" s="130"/>
      <c r="N11" s="118"/>
      <c r="O11" s="118"/>
      <c r="P11" s="118"/>
      <c r="Q11" s="118"/>
      <c r="R11" s="118"/>
      <c r="S11" s="118"/>
      <c r="T11" s="118"/>
      <c r="U11" s="118"/>
      <c r="V11" s="118"/>
      <c r="W11" s="118"/>
      <c r="X11" s="118"/>
      <c r="Y11" s="118"/>
      <c r="Z11" s="118"/>
    </row>
    <row r="12" spans="1:26" ht="29">
      <c r="A12" s="146" t="s">
        <v>51</v>
      </c>
      <c r="B12" s="149" t="s">
        <v>52</v>
      </c>
      <c r="C12" s="148">
        <f>C10+C11</f>
        <v>280</v>
      </c>
      <c r="D12" s="129"/>
      <c r="E12" s="118"/>
      <c r="F12" s="129"/>
      <c r="G12" s="118"/>
      <c r="H12" s="140" t="s">
        <v>53</v>
      </c>
      <c r="I12" s="141">
        <v>1.9</v>
      </c>
      <c r="J12" s="145">
        <f t="shared" si="0"/>
        <v>630.44000000000005</v>
      </c>
      <c r="K12" s="118"/>
      <c r="L12" s="118"/>
      <c r="M12" s="130"/>
      <c r="N12" s="118"/>
      <c r="O12" s="118"/>
      <c r="P12" s="118"/>
      <c r="Q12" s="118"/>
      <c r="R12" s="118"/>
      <c r="S12" s="118"/>
      <c r="T12" s="118"/>
      <c r="U12" s="118"/>
      <c r="V12" s="118"/>
      <c r="W12" s="118"/>
      <c r="X12" s="118"/>
      <c r="Y12" s="118"/>
      <c r="Z12" s="118"/>
    </row>
    <row r="13" spans="1:26" ht="29">
      <c r="A13" s="150" t="s">
        <v>54</v>
      </c>
      <c r="B13" s="151" t="s">
        <v>55</v>
      </c>
      <c r="C13" s="152">
        <f>C9-C12</f>
        <v>1120</v>
      </c>
      <c r="D13" s="118"/>
      <c r="E13" s="118"/>
      <c r="F13" s="129"/>
      <c r="G13" s="118"/>
      <c r="H13" s="140" t="s">
        <v>56</v>
      </c>
      <c r="I13" s="141">
        <v>2.5</v>
      </c>
      <c r="J13" s="145">
        <f t="shared" si="0"/>
        <v>829.53</v>
      </c>
      <c r="K13" s="118"/>
      <c r="L13" s="118"/>
      <c r="M13" s="130"/>
      <c r="N13" s="118"/>
      <c r="O13" s="118"/>
      <c r="P13" s="118"/>
      <c r="Q13" s="118"/>
      <c r="R13" s="118"/>
      <c r="S13" s="118"/>
      <c r="T13" s="118"/>
      <c r="U13" s="118"/>
      <c r="V13" s="118"/>
      <c r="W13" s="118"/>
      <c r="X13" s="118"/>
      <c r="Y13" s="118"/>
      <c r="Z13" s="118"/>
    </row>
    <row r="14" spans="1:26" ht="29">
      <c r="A14" s="153" t="s">
        <v>256</v>
      </c>
      <c r="B14" s="154"/>
      <c r="C14" s="155">
        <f>J5+J9</f>
        <v>763.17</v>
      </c>
      <c r="D14" s="118"/>
      <c r="E14" s="118"/>
      <c r="F14" s="129"/>
      <c r="G14" s="118"/>
      <c r="H14" s="140" t="s">
        <v>57</v>
      </c>
      <c r="I14" s="141">
        <v>3.2</v>
      </c>
      <c r="J14" s="145">
        <f t="shared" si="0"/>
        <v>1061.79</v>
      </c>
      <c r="K14" s="118"/>
      <c r="L14" s="118"/>
      <c r="M14" s="130"/>
      <c r="N14" s="118"/>
      <c r="O14" s="118"/>
      <c r="P14" s="118"/>
      <c r="Q14" s="118"/>
      <c r="R14" s="118"/>
      <c r="S14" s="118"/>
      <c r="T14" s="118"/>
      <c r="U14" s="118"/>
      <c r="V14" s="118"/>
      <c r="W14" s="118"/>
      <c r="X14" s="118"/>
      <c r="Y14" s="118"/>
      <c r="Z14" s="118"/>
    </row>
    <row r="15" spans="1:26" ht="29">
      <c r="A15" s="153" t="s">
        <v>58</v>
      </c>
      <c r="B15" s="156" t="s">
        <v>59</v>
      </c>
      <c r="C15" s="157">
        <f>MIN(C13:C14)</f>
        <v>763.17</v>
      </c>
      <c r="D15" s="118"/>
      <c r="E15" s="118"/>
      <c r="F15" s="129"/>
      <c r="G15" s="118"/>
      <c r="H15" s="140" t="s">
        <v>60</v>
      </c>
      <c r="I15" s="141">
        <v>4</v>
      </c>
      <c r="J15" s="145">
        <f t="shared" si="0"/>
        <v>1327.24</v>
      </c>
      <c r="K15" s="118"/>
      <c r="L15" s="118"/>
      <c r="M15" s="130"/>
      <c r="N15" s="118"/>
      <c r="O15" s="118"/>
      <c r="P15" s="118"/>
      <c r="Q15" s="118"/>
      <c r="R15" s="118"/>
      <c r="S15" s="118"/>
      <c r="T15" s="118"/>
      <c r="U15" s="118"/>
      <c r="V15" s="118"/>
      <c r="W15" s="118"/>
      <c r="X15" s="118"/>
      <c r="Y15" s="118"/>
      <c r="Z15" s="118"/>
    </row>
    <row r="16" spans="1:26" ht="29">
      <c r="A16" s="153" t="s">
        <v>61</v>
      </c>
      <c r="B16" s="156" t="s">
        <v>62</v>
      </c>
      <c r="C16" s="157">
        <f>C14-C15</f>
        <v>0</v>
      </c>
      <c r="D16" s="118"/>
      <c r="E16" s="118"/>
      <c r="F16" s="129"/>
      <c r="G16" s="118"/>
      <c r="H16" s="140" t="s">
        <v>63</v>
      </c>
      <c r="I16" s="141">
        <v>4.9000000000000004</v>
      </c>
      <c r="J16" s="145">
        <f t="shared" si="0"/>
        <v>1625.87</v>
      </c>
      <c r="K16" s="118"/>
      <c r="L16" s="118"/>
      <c r="M16" s="130"/>
      <c r="N16" s="118"/>
      <c r="O16" s="118"/>
      <c r="P16" s="118"/>
      <c r="Q16" s="118"/>
      <c r="R16" s="118"/>
      <c r="S16" s="118"/>
      <c r="T16" s="118"/>
      <c r="U16" s="118"/>
      <c r="V16" s="118"/>
      <c r="W16" s="118"/>
      <c r="X16" s="118"/>
      <c r="Y16" s="118"/>
      <c r="Z16" s="118"/>
    </row>
    <row r="17" spans="1:26" ht="29">
      <c r="A17" s="150" t="s">
        <v>64</v>
      </c>
      <c r="B17" s="151" t="s">
        <v>65</v>
      </c>
      <c r="C17" s="152">
        <f>C13-C15</f>
        <v>356.83000000000004</v>
      </c>
      <c r="D17" s="118"/>
      <c r="E17" s="118"/>
      <c r="F17" s="129"/>
      <c r="G17" s="118"/>
      <c r="H17" s="140" t="s">
        <v>66</v>
      </c>
      <c r="I17" s="141">
        <v>5.9</v>
      </c>
      <c r="J17" s="145">
        <f t="shared" si="0"/>
        <v>1957.68</v>
      </c>
      <c r="K17" s="118"/>
      <c r="L17" s="118"/>
      <c r="M17" s="130"/>
      <c r="N17" s="118"/>
      <c r="O17" s="118"/>
      <c r="P17" s="118"/>
      <c r="Q17" s="118"/>
      <c r="R17" s="118"/>
      <c r="S17" s="118"/>
      <c r="T17" s="118"/>
      <c r="U17" s="118"/>
      <c r="V17" s="118"/>
      <c r="W17" s="118"/>
      <c r="X17" s="118"/>
      <c r="Y17" s="118"/>
      <c r="Z17" s="118"/>
    </row>
    <row r="18" spans="1:26" ht="29">
      <c r="A18" s="158" t="s">
        <v>67</v>
      </c>
      <c r="B18" s="159" t="s">
        <v>257</v>
      </c>
      <c r="C18" s="160">
        <f>20%*C17</f>
        <v>71.366000000000014</v>
      </c>
      <c r="D18" s="118"/>
      <c r="E18" s="118"/>
      <c r="F18" s="129"/>
      <c r="G18" s="118"/>
      <c r="H18" s="161" t="s">
        <v>68</v>
      </c>
      <c r="I18" s="141">
        <v>0.7</v>
      </c>
      <c r="J18" s="145">
        <f t="shared" si="0"/>
        <v>232.27</v>
      </c>
      <c r="K18" s="118"/>
      <c r="L18" s="118"/>
      <c r="M18" s="130"/>
      <c r="N18" s="118"/>
      <c r="O18" s="118"/>
      <c r="P18" s="118"/>
      <c r="Q18" s="118"/>
      <c r="R18" s="118"/>
      <c r="S18" s="118"/>
      <c r="T18" s="118"/>
      <c r="U18" s="118"/>
      <c r="V18" s="118"/>
      <c r="W18" s="118"/>
      <c r="X18" s="118"/>
      <c r="Y18" s="118"/>
      <c r="Z18" s="118"/>
    </row>
    <row r="19" spans="1:26" ht="43.5">
      <c r="A19" s="158" t="s">
        <v>69</v>
      </c>
      <c r="B19" s="159" t="s">
        <v>258</v>
      </c>
      <c r="C19" s="162"/>
      <c r="D19" s="118"/>
      <c r="E19" s="118"/>
      <c r="F19" s="129"/>
      <c r="G19" s="118"/>
      <c r="H19" s="163"/>
      <c r="I19" s="118"/>
      <c r="J19" s="118"/>
      <c r="K19" s="118"/>
      <c r="L19" s="118"/>
      <c r="M19" s="130"/>
      <c r="N19" s="118"/>
      <c r="O19" s="118"/>
      <c r="P19" s="118"/>
      <c r="Q19" s="118"/>
      <c r="R19" s="118"/>
      <c r="S19" s="118"/>
      <c r="T19" s="118"/>
      <c r="U19" s="118"/>
      <c r="V19" s="118"/>
      <c r="W19" s="118"/>
      <c r="X19" s="118"/>
      <c r="Y19" s="118"/>
      <c r="Z19" s="118"/>
    </row>
    <row r="20" spans="1:26" ht="14.5">
      <c r="A20" s="158" t="s">
        <v>70</v>
      </c>
      <c r="B20" s="164"/>
      <c r="C20" s="160">
        <f>C18+C19</f>
        <v>71.366000000000014</v>
      </c>
      <c r="D20" s="118"/>
      <c r="E20" s="118"/>
      <c r="F20" s="129"/>
      <c r="G20" s="118"/>
      <c r="H20" s="163"/>
      <c r="I20" s="118"/>
      <c r="J20" s="118"/>
      <c r="K20" s="118"/>
      <c r="L20" s="118"/>
      <c r="M20" s="130"/>
      <c r="N20" s="118"/>
      <c r="O20" s="118"/>
      <c r="P20" s="118"/>
      <c r="Q20" s="118"/>
      <c r="R20" s="118"/>
      <c r="S20" s="118"/>
      <c r="T20" s="118"/>
      <c r="U20" s="118"/>
      <c r="V20" s="118"/>
      <c r="W20" s="118"/>
      <c r="X20" s="118"/>
      <c r="Y20" s="118"/>
      <c r="Z20" s="118"/>
    </row>
    <row r="21" spans="1:26" ht="14.5">
      <c r="A21" s="158" t="s">
        <v>259</v>
      </c>
      <c r="B21" s="165" t="s">
        <v>260</v>
      </c>
      <c r="C21" s="160">
        <f>18%*C20</f>
        <v>12.845880000000003</v>
      </c>
      <c r="D21" s="118"/>
      <c r="E21" s="118"/>
      <c r="F21" s="129"/>
      <c r="G21" s="118"/>
      <c r="H21" s="131" t="s">
        <v>71</v>
      </c>
      <c r="I21" s="118"/>
      <c r="J21" s="118"/>
      <c r="K21" s="118"/>
      <c r="L21" s="118"/>
      <c r="M21" s="130"/>
      <c r="N21" s="118"/>
      <c r="O21" s="118"/>
      <c r="P21" s="118"/>
      <c r="Q21" s="118"/>
      <c r="R21" s="118"/>
      <c r="S21" s="118"/>
      <c r="T21" s="118"/>
      <c r="U21" s="118"/>
      <c r="V21" s="118"/>
      <c r="W21" s="118"/>
      <c r="X21" s="118"/>
      <c r="Y21" s="118"/>
      <c r="Z21" s="118"/>
    </row>
    <row r="22" spans="1:26" ht="29">
      <c r="A22" s="166" t="s">
        <v>72</v>
      </c>
      <c r="B22" s="166" t="s">
        <v>73</v>
      </c>
      <c r="C22" s="167">
        <f>C13-C20-C21</f>
        <v>1035.7881199999999</v>
      </c>
      <c r="D22" s="118"/>
      <c r="E22" s="118"/>
      <c r="F22" s="118"/>
      <c r="G22" s="118"/>
      <c r="H22" s="131" t="s">
        <v>261</v>
      </c>
      <c r="I22" s="118"/>
      <c r="J22" s="118"/>
      <c r="K22" s="118"/>
      <c r="L22" s="118"/>
      <c r="M22" s="130"/>
      <c r="N22" s="118"/>
      <c r="O22" s="118"/>
      <c r="P22" s="118"/>
      <c r="Q22" s="118"/>
      <c r="R22" s="118"/>
      <c r="S22" s="118"/>
      <c r="T22" s="118"/>
      <c r="U22" s="118"/>
      <c r="V22" s="118"/>
      <c r="W22" s="118"/>
      <c r="X22" s="118"/>
      <c r="Y22" s="118"/>
      <c r="Z22" s="118"/>
    </row>
    <row r="23" spans="1:26" ht="29">
      <c r="A23" s="146" t="s">
        <v>74</v>
      </c>
      <c r="B23" s="147" t="s">
        <v>75</v>
      </c>
      <c r="C23" s="148">
        <f>16.5%*C9</f>
        <v>231</v>
      </c>
      <c r="D23" s="118"/>
      <c r="E23" s="118"/>
      <c r="F23" s="129"/>
      <c r="G23" s="118"/>
      <c r="H23" s="168" t="s">
        <v>262</v>
      </c>
      <c r="I23" s="169"/>
      <c r="J23" s="169"/>
      <c r="K23" s="169"/>
      <c r="L23" s="169"/>
      <c r="M23" s="170"/>
      <c r="N23" s="118"/>
      <c r="O23" s="118"/>
      <c r="P23" s="118"/>
      <c r="Q23" s="118"/>
      <c r="R23" s="118"/>
      <c r="S23" s="118"/>
      <c r="T23" s="118"/>
      <c r="U23" s="118"/>
      <c r="V23" s="118"/>
      <c r="W23" s="118"/>
      <c r="X23" s="118"/>
      <c r="Y23" s="118"/>
      <c r="Z23" s="118"/>
    </row>
    <row r="24" spans="1:26" ht="29">
      <c r="A24" s="142" t="s">
        <v>76</v>
      </c>
      <c r="B24" s="171" t="s">
        <v>77</v>
      </c>
      <c r="C24" s="144">
        <f>C9+C23</f>
        <v>1631</v>
      </c>
      <c r="D24" s="118"/>
      <c r="E24" s="118"/>
      <c r="F24" s="129"/>
      <c r="G24" s="118"/>
      <c r="H24" s="118"/>
      <c r="I24" s="118"/>
      <c r="J24" s="118"/>
      <c r="K24" s="118"/>
      <c r="L24" s="118"/>
      <c r="M24" s="118"/>
      <c r="N24" s="118"/>
      <c r="O24" s="118"/>
      <c r="P24" s="118"/>
      <c r="Q24" s="118"/>
      <c r="R24" s="118"/>
      <c r="S24" s="118"/>
      <c r="T24" s="118"/>
      <c r="U24" s="118"/>
      <c r="V24" s="118"/>
      <c r="W24" s="118"/>
      <c r="X24" s="118"/>
      <c r="Y24" s="118"/>
      <c r="Z24" s="118"/>
    </row>
    <row r="25" spans="1:26" ht="14.5">
      <c r="A25" s="150" t="s">
        <v>78</v>
      </c>
      <c r="B25" s="172" t="s">
        <v>79</v>
      </c>
      <c r="C25" s="173">
        <f>C22/C24</f>
        <v>0.63506322501532797</v>
      </c>
      <c r="D25" s="118"/>
      <c r="E25" s="118"/>
      <c r="F25" s="129"/>
      <c r="G25" s="118"/>
      <c r="H25" s="198" t="s">
        <v>80</v>
      </c>
      <c r="I25" s="199"/>
      <c r="J25" s="199"/>
      <c r="K25" s="199"/>
      <c r="L25" s="199"/>
      <c r="M25" s="200"/>
      <c r="N25" s="118"/>
      <c r="O25" s="118"/>
      <c r="P25" s="118"/>
      <c r="Q25" s="118"/>
      <c r="R25" s="118"/>
      <c r="S25" s="118"/>
      <c r="T25" s="118"/>
      <c r="U25" s="118"/>
      <c r="V25" s="118"/>
      <c r="W25" s="118"/>
      <c r="X25" s="118"/>
      <c r="Y25" s="118"/>
      <c r="Z25" s="118"/>
    </row>
    <row r="26" spans="1:26" ht="14.5">
      <c r="A26" s="118"/>
      <c r="B26" s="118"/>
      <c r="C26" s="118"/>
      <c r="D26" s="118"/>
      <c r="E26" s="118"/>
      <c r="F26" s="118"/>
      <c r="G26" s="118"/>
      <c r="H26" s="163" t="s">
        <v>81</v>
      </c>
      <c r="I26" s="118"/>
      <c r="J26" s="118"/>
      <c r="K26" s="118"/>
      <c r="L26" s="118"/>
      <c r="M26" s="130"/>
      <c r="N26" s="118"/>
      <c r="O26" s="118"/>
      <c r="P26" s="118"/>
      <c r="Q26" s="118"/>
      <c r="R26" s="118"/>
      <c r="S26" s="118"/>
      <c r="T26" s="118"/>
      <c r="U26" s="118"/>
      <c r="V26" s="118"/>
      <c r="W26" s="118"/>
      <c r="X26" s="118"/>
      <c r="Y26" s="118"/>
      <c r="Z26" s="118"/>
    </row>
    <row r="27" spans="1:26" ht="14.5">
      <c r="A27" s="122"/>
      <c r="B27" s="118"/>
      <c r="C27" s="118"/>
      <c r="D27" s="118"/>
      <c r="E27" s="118"/>
      <c r="F27" s="118"/>
      <c r="G27" s="118"/>
      <c r="H27" s="163"/>
      <c r="I27" s="118"/>
      <c r="J27" s="118"/>
      <c r="K27" s="118"/>
      <c r="L27" s="118"/>
      <c r="M27" s="130"/>
      <c r="N27" s="118"/>
      <c r="O27" s="118"/>
      <c r="P27" s="118"/>
      <c r="Q27" s="118"/>
      <c r="R27" s="118"/>
      <c r="S27" s="118"/>
      <c r="T27" s="118"/>
      <c r="U27" s="118"/>
      <c r="V27" s="118"/>
      <c r="W27" s="118"/>
      <c r="X27" s="118"/>
      <c r="Y27" s="118"/>
      <c r="Z27" s="118"/>
    </row>
    <row r="28" spans="1:26" ht="14.5">
      <c r="A28" s="174"/>
      <c r="B28" s="118"/>
      <c r="C28" s="118"/>
      <c r="D28" s="118"/>
      <c r="E28" s="118"/>
      <c r="F28" s="118"/>
      <c r="G28" s="118"/>
      <c r="H28" s="175"/>
      <c r="I28" s="169"/>
      <c r="J28" s="169"/>
      <c r="K28" s="169"/>
      <c r="L28" s="169"/>
      <c r="M28" s="170"/>
      <c r="N28" s="118"/>
      <c r="O28" s="118"/>
      <c r="P28" s="118"/>
      <c r="Q28" s="118"/>
      <c r="R28" s="118"/>
      <c r="S28" s="118"/>
      <c r="T28" s="118"/>
      <c r="U28" s="118"/>
      <c r="V28" s="118"/>
      <c r="W28" s="118"/>
      <c r="X28" s="118"/>
      <c r="Y28" s="118"/>
      <c r="Z28" s="118"/>
    </row>
    <row r="29" spans="1:26" ht="14.5">
      <c r="A29" s="118"/>
      <c r="B29" s="118"/>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row>
    <row r="30" spans="1:26" ht="14.25" customHeight="1">
      <c r="A30" s="118"/>
      <c r="B30" s="118"/>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row>
    <row r="31" spans="1:26" ht="14.25" customHeight="1">
      <c r="A31" s="118"/>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row>
    <row r="32" spans="1:26" ht="14.25" customHeight="1">
      <c r="A32" s="118"/>
      <c r="B32" s="118"/>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row>
    <row r="33" spans="1:26" ht="14.25" customHeight="1">
      <c r="A33" s="118"/>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row>
    <row r="34" spans="1:26" ht="14.25" customHeight="1">
      <c r="A34" s="118"/>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row>
    <row r="35" spans="1:26" ht="14.25" customHeight="1">
      <c r="A35" s="118"/>
      <c r="B35" s="118"/>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row>
    <row r="36" spans="1:26" ht="14.25" customHeight="1">
      <c r="A36" s="118"/>
      <c r="B36" s="118"/>
      <c r="C36" s="118"/>
      <c r="D36" s="118"/>
      <c r="E36" s="118"/>
      <c r="F36" s="118"/>
      <c r="G36" s="118"/>
      <c r="H36" s="118"/>
      <c r="I36" s="118"/>
      <c r="J36" s="118"/>
      <c r="K36" s="118"/>
      <c r="L36" s="118"/>
      <c r="M36" s="118"/>
      <c r="N36" s="118"/>
      <c r="O36" s="118"/>
      <c r="P36" s="118"/>
      <c r="Q36" s="118"/>
      <c r="R36" s="118"/>
      <c r="S36" s="118"/>
      <c r="T36" s="118"/>
      <c r="U36" s="118"/>
      <c r="V36" s="118"/>
      <c r="W36" s="118"/>
      <c r="X36" s="118"/>
      <c r="Y36" s="118"/>
      <c r="Z36" s="118"/>
    </row>
    <row r="37" spans="1:26" ht="14.25" customHeight="1">
      <c r="A37" s="118"/>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row>
    <row r="38" spans="1:26" ht="14.25" customHeight="1">
      <c r="A38" s="118"/>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row>
    <row r="39" spans="1:26" ht="14.25" customHeight="1">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row>
    <row r="40" spans="1:26" ht="14.25" customHeight="1">
      <c r="A40" s="118"/>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row>
    <row r="41" spans="1:26" ht="14.25" customHeight="1">
      <c r="A41" s="118"/>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row>
    <row r="42" spans="1:26" ht="14.25" customHeight="1">
      <c r="A42" s="118"/>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row>
    <row r="43" spans="1:26" ht="14.25" customHeight="1">
      <c r="A43" s="118"/>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row>
    <row r="44" spans="1:26" ht="14.25" customHeight="1">
      <c r="A44" s="118"/>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row>
    <row r="45" spans="1:26" ht="14.25" customHeight="1">
      <c r="A45" s="118"/>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row>
    <row r="46" spans="1:26" ht="14.25" customHeight="1">
      <c r="A46" s="118"/>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row>
    <row r="47" spans="1:26" ht="14.25" customHeight="1">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row>
    <row r="48" spans="1:26" ht="14.25" customHeight="1">
      <c r="A48" s="118"/>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row>
    <row r="49" spans="1:26" ht="14.25" customHeight="1">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row>
    <row r="50" spans="1:26" ht="14.25" customHeight="1">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row>
    <row r="51" spans="1:26" ht="14.25" customHeight="1">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row>
    <row r="52" spans="1:26" ht="14.25" customHeight="1">
      <c r="A52" s="118"/>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row>
    <row r="53" spans="1:26" ht="14.25" customHeight="1">
      <c r="A53" s="118"/>
      <c r="B53" s="118"/>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row>
    <row r="54" spans="1:26" ht="14.25" customHeight="1">
      <c r="A54" s="118"/>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row>
    <row r="55" spans="1:26" ht="14.25" customHeight="1">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row>
    <row r="56" spans="1:26" ht="14.25" customHeight="1">
      <c r="A56" s="118"/>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row>
    <row r="57" spans="1:26" ht="14.25" customHeight="1">
      <c r="A57" s="118"/>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row>
    <row r="58" spans="1:26" ht="14.25" customHeight="1">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row r="59" spans="1:26" ht="14.25" customHeight="1">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row>
    <row r="60" spans="1:26" ht="14.25" customHeight="1">
      <c r="A60" s="118"/>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row>
    <row r="61" spans="1:26" ht="14.25" customHeight="1">
      <c r="A61" s="118"/>
      <c r="B61" s="118"/>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row>
    <row r="62" spans="1:26" ht="14.25" customHeight="1">
      <c r="A62" s="118"/>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row>
    <row r="63" spans="1:26" ht="14.25" customHeight="1">
      <c r="A63" s="118"/>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row>
    <row r="64" spans="1:26" ht="14.25" customHeight="1">
      <c r="A64" s="118"/>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row>
    <row r="65" spans="1:26" ht="14.25" customHeight="1">
      <c r="A65" s="118"/>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row>
    <row r="66" spans="1:26" ht="14.25" customHeight="1">
      <c r="A66" s="118"/>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row>
    <row r="67" spans="1:26" ht="14.25" customHeight="1">
      <c r="A67" s="118"/>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row>
    <row r="68" spans="1:26" ht="14.25" customHeight="1">
      <c r="A68" s="118"/>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row>
    <row r="69" spans="1:26" ht="14.25" customHeight="1">
      <c r="A69" s="118"/>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row>
    <row r="70" spans="1:26" ht="14.25" customHeight="1">
      <c r="A70" s="118"/>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row>
    <row r="71" spans="1:26" ht="14.25" customHeight="1">
      <c r="A71" s="118"/>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row>
    <row r="72" spans="1:26" ht="14.25" customHeight="1">
      <c r="A72" s="118"/>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row>
    <row r="73" spans="1:26" ht="14.25" customHeight="1">
      <c r="A73" s="118"/>
      <c r="B73" s="118"/>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row>
    <row r="74" spans="1:26" ht="14.25" customHeight="1">
      <c r="A74" s="118"/>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row>
    <row r="75" spans="1:26" ht="14.25" customHeight="1">
      <c r="A75" s="118"/>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row>
    <row r="76" spans="1:26" ht="14.25" customHeight="1">
      <c r="A76" s="118"/>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row>
    <row r="77" spans="1:26" ht="14.25" customHeight="1">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row>
    <row r="78" spans="1:26" ht="14.25" customHeight="1">
      <c r="A78" s="118"/>
      <c r="B78" s="118"/>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row>
    <row r="79" spans="1:26" ht="14.25" customHeight="1">
      <c r="A79" s="118"/>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row>
    <row r="80" spans="1:26" ht="14.25" customHeight="1">
      <c r="A80" s="118"/>
      <c r="B80" s="118"/>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row>
    <row r="81" spans="1:26" ht="14.25" customHeight="1">
      <c r="A81" s="118"/>
      <c r="B81" s="118"/>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row>
    <row r="82" spans="1:26" ht="14.25" customHeight="1">
      <c r="A82" s="118"/>
      <c r="B82" s="118"/>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row>
    <row r="83" spans="1:26" ht="14.25" customHeight="1">
      <c r="A83" s="118"/>
      <c r="B83" s="118"/>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row>
    <row r="84" spans="1:26" ht="14.25" customHeight="1">
      <c r="A84" s="118"/>
      <c r="B84" s="118"/>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row>
    <row r="85" spans="1:26" ht="14.25" customHeight="1">
      <c r="A85" s="118"/>
      <c r="B85" s="118"/>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row>
    <row r="86" spans="1:26" ht="14.25" customHeight="1">
      <c r="A86" s="118"/>
      <c r="B86" s="118"/>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row>
    <row r="87" spans="1:26" ht="14.25" customHeight="1">
      <c r="A87" s="118"/>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row>
    <row r="88" spans="1:26" ht="14.25" customHeight="1">
      <c r="A88" s="118"/>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row>
    <row r="89" spans="1:26" ht="14.25" customHeight="1">
      <c r="A89" s="118"/>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row>
    <row r="90" spans="1:26" ht="14.25" customHeight="1">
      <c r="A90" s="118"/>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row>
    <row r="91" spans="1:26" ht="14.25" customHeight="1">
      <c r="A91" s="118"/>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row>
    <row r="92" spans="1:26" ht="14.25" customHeight="1">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row>
    <row r="93" spans="1:26" ht="14.25" customHeight="1">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row>
    <row r="94" spans="1:26" ht="14.25" customHeight="1">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row>
    <row r="95" spans="1:26" ht="14.25" customHeight="1">
      <c r="A95" s="118"/>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row>
    <row r="96" spans="1:26" ht="14.25" customHeight="1">
      <c r="A96" s="118"/>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row>
    <row r="97" spans="1:26" ht="14.25" customHeight="1">
      <c r="A97" s="118"/>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row>
    <row r="98" spans="1:26" ht="14.25" customHeight="1">
      <c r="A98" s="118"/>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row>
    <row r="99" spans="1:26" ht="14.25" customHeight="1">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row>
    <row r="100" spans="1:26" ht="14.25" customHeight="1">
      <c r="A100" s="118"/>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row>
    <row r="101" spans="1:26" ht="14.25" customHeight="1">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row>
    <row r="102" spans="1:26" ht="14.25" customHeight="1">
      <c r="A102" s="118"/>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row>
    <row r="103" spans="1:26" ht="14.25" customHeight="1">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row>
    <row r="104" spans="1:26" ht="14.25" customHeight="1">
      <c r="A104" s="118"/>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row>
    <row r="105" spans="1:26" ht="14.25" customHeight="1">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row>
    <row r="106" spans="1:26" ht="14.25" customHeight="1">
      <c r="A106" s="118"/>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row>
    <row r="107" spans="1:26" ht="14.25" customHeight="1">
      <c r="A107" s="118"/>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row>
    <row r="108" spans="1:26" ht="14.25" customHeight="1">
      <c r="A108" s="118"/>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row>
    <row r="109" spans="1:26" ht="14.25" customHeight="1">
      <c r="A109" s="118"/>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row>
    <row r="110" spans="1:26" ht="14.25" customHeight="1">
      <c r="A110" s="118"/>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row>
    <row r="111" spans="1:26" ht="14.25" customHeight="1">
      <c r="A111" s="118"/>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row>
    <row r="112" spans="1:26" ht="14.25" customHeight="1">
      <c r="A112" s="118"/>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row>
    <row r="113" spans="1:26" ht="14.25" customHeight="1">
      <c r="A113" s="118"/>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row>
    <row r="114" spans="1:26" ht="14.25" customHeight="1">
      <c r="A114" s="118"/>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row>
    <row r="115" spans="1:26" ht="14.25" customHeight="1">
      <c r="A115" s="118"/>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row>
    <row r="116" spans="1:26" ht="14.25" customHeight="1">
      <c r="A116" s="118"/>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row>
    <row r="117" spans="1:26" ht="14.25" customHeight="1">
      <c r="A117" s="118"/>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row>
    <row r="118" spans="1:26" ht="14.25" customHeight="1">
      <c r="A118" s="118"/>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row>
    <row r="119" spans="1:26" ht="14.25" customHeight="1">
      <c r="A119" s="118"/>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row>
    <row r="120" spans="1:26" ht="14.25" customHeight="1">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row>
    <row r="121" spans="1:26" ht="14.25" customHeight="1">
      <c r="A121" s="118"/>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row>
    <row r="122" spans="1:26" ht="14.25" customHeight="1">
      <c r="A122" s="118"/>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row>
    <row r="123" spans="1:26" ht="14.25" customHeight="1">
      <c r="A123" s="118"/>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row>
    <row r="124" spans="1:26" ht="14.25" customHeight="1">
      <c r="A124" s="118"/>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row>
    <row r="125" spans="1:26" ht="14.25" customHeight="1">
      <c r="A125" s="118"/>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row>
    <row r="126" spans="1:26" ht="14.25" customHeight="1">
      <c r="A126" s="118"/>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row>
    <row r="127" spans="1:26" ht="14.25" customHeight="1">
      <c r="A127" s="118"/>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row>
    <row r="128" spans="1:26" ht="14.25" customHeight="1">
      <c r="A128" s="118"/>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row>
    <row r="129" spans="1:26" ht="14.25" customHeight="1">
      <c r="A129" s="118"/>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row>
    <row r="130" spans="1:26" ht="14.25" customHeight="1">
      <c r="A130" s="118"/>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row>
    <row r="131" spans="1:26" ht="14.25" customHeight="1">
      <c r="A131" s="118"/>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row>
    <row r="132" spans="1:26" ht="14.25" customHeight="1">
      <c r="A132" s="118"/>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row>
    <row r="133" spans="1:26" ht="14.25" customHeight="1">
      <c r="A133" s="118"/>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row>
    <row r="134" spans="1:26" ht="14.25" customHeight="1">
      <c r="A134" s="118"/>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row>
    <row r="135" spans="1:26" ht="14.25" customHeight="1">
      <c r="A135" s="118"/>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row>
    <row r="136" spans="1:26" ht="14.25" customHeight="1">
      <c r="A136" s="118"/>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row>
    <row r="137" spans="1:26" ht="14.25" customHeight="1">
      <c r="A137" s="118"/>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row>
    <row r="138" spans="1:26" ht="14.25" customHeight="1">
      <c r="A138" s="118"/>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row>
    <row r="139" spans="1:26" ht="14.25" customHeight="1">
      <c r="A139" s="118"/>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row>
    <row r="140" spans="1:26" ht="14.25" customHeight="1">
      <c r="A140" s="118"/>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row>
    <row r="141" spans="1:26" ht="14.25" customHeight="1">
      <c r="A141" s="118"/>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row>
    <row r="142" spans="1:26" ht="14.25" customHeight="1">
      <c r="A142" s="118"/>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row>
    <row r="143" spans="1:26" ht="14.25" customHeight="1">
      <c r="A143" s="118"/>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row>
    <row r="144" spans="1:26" ht="14.25" customHeight="1">
      <c r="A144" s="118"/>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row>
    <row r="145" spans="1:26" ht="14.25" customHeight="1">
      <c r="A145" s="118"/>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row>
    <row r="146" spans="1:26" ht="14.25" customHeight="1">
      <c r="A146" s="118"/>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row>
    <row r="147" spans="1:26" ht="14.25" customHeight="1">
      <c r="A147" s="118"/>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row>
    <row r="148" spans="1:26" ht="14.25" customHeight="1">
      <c r="A148" s="118"/>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row>
    <row r="149" spans="1:26" ht="14.25" customHeight="1">
      <c r="A149" s="118"/>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row>
    <row r="150" spans="1:26" ht="14.25" customHeight="1">
      <c r="A150" s="118"/>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row>
    <row r="151" spans="1:26" ht="14.25" customHeight="1">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row>
    <row r="152" spans="1:26" ht="14.25" customHeight="1">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row>
    <row r="153" spans="1:26" ht="14.25" customHeight="1">
      <c r="A153" s="118"/>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row>
    <row r="154" spans="1:26" ht="14.25" customHeight="1">
      <c r="A154" s="118"/>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row>
    <row r="155" spans="1:26" ht="14.25" customHeight="1">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row>
    <row r="156" spans="1:26" ht="14.25" customHeight="1">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row>
    <row r="157" spans="1:26" ht="14.25" customHeight="1">
      <c r="A157" s="118"/>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row>
    <row r="158" spans="1:26" ht="14.25" customHeight="1">
      <c r="A158" s="118"/>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row>
    <row r="159" spans="1:26" ht="14.25" customHeight="1">
      <c r="A159" s="118"/>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row>
    <row r="160" spans="1:26" ht="14.25" customHeight="1">
      <c r="A160" s="118"/>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row>
    <row r="161" spans="1:26" ht="14.25" customHeight="1">
      <c r="A161" s="118"/>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row>
    <row r="162" spans="1:26" ht="14.25" customHeight="1">
      <c r="A162" s="118"/>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row>
    <row r="163" spans="1:26" ht="14.25" customHeight="1">
      <c r="A163" s="118"/>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row>
    <row r="164" spans="1:26" ht="14.25" customHeight="1">
      <c r="A164" s="118"/>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row>
    <row r="165" spans="1:26" ht="14.25" customHeight="1">
      <c r="A165" s="118"/>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row>
    <row r="166" spans="1:26" ht="14.25" customHeight="1">
      <c r="A166" s="118"/>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row>
    <row r="167" spans="1:26" ht="14.25" customHeight="1">
      <c r="A167" s="118"/>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row>
    <row r="168" spans="1:26" ht="14.25" customHeight="1">
      <c r="A168" s="118"/>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row>
    <row r="169" spans="1:26" ht="14.25" customHeight="1">
      <c r="A169" s="118"/>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row>
    <row r="170" spans="1:26" ht="14.25" customHeight="1">
      <c r="A170" s="118"/>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row>
    <row r="171" spans="1:26" ht="14.25" customHeight="1">
      <c r="A171" s="118"/>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row>
    <row r="172" spans="1:26" ht="14.25" customHeight="1">
      <c r="A172" s="118"/>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row>
    <row r="173" spans="1:26" ht="14.25" customHeight="1">
      <c r="A173" s="118"/>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row>
    <row r="174" spans="1:26" ht="14.25" customHeight="1">
      <c r="A174" s="118"/>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row>
    <row r="175" spans="1:26" ht="14.25" customHeight="1">
      <c r="A175" s="118"/>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row>
    <row r="176" spans="1:26" ht="14.25" customHeight="1">
      <c r="A176" s="118"/>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row>
    <row r="177" spans="1:26" ht="14.25" customHeight="1">
      <c r="A177" s="118"/>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row>
    <row r="178" spans="1:26" ht="14.25" customHeight="1">
      <c r="A178" s="118"/>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row>
    <row r="179" spans="1:26" ht="14.25" customHeight="1">
      <c r="A179" s="118"/>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row>
    <row r="180" spans="1:26" ht="14.25" customHeight="1">
      <c r="A180" s="118"/>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row>
    <row r="181" spans="1:26" ht="14.25" customHeight="1">
      <c r="A181" s="118"/>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row>
    <row r="182" spans="1:26" ht="14.25" customHeight="1">
      <c r="A182" s="118"/>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row>
    <row r="183" spans="1:26" ht="14.25" customHeight="1">
      <c r="A183" s="118"/>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row>
    <row r="184" spans="1:26" ht="14.25" customHeight="1">
      <c r="A184" s="118"/>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row>
    <row r="185" spans="1:26" ht="14.25" customHeight="1">
      <c r="A185" s="118"/>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row>
    <row r="186" spans="1:26" ht="14.25" customHeight="1">
      <c r="A186" s="118"/>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row>
    <row r="187" spans="1:26" ht="14.25" customHeight="1">
      <c r="A187" s="118"/>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row>
    <row r="188" spans="1:26" ht="14.25" customHeight="1">
      <c r="A188" s="118"/>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row>
    <row r="189" spans="1:26" ht="14.25" customHeight="1">
      <c r="A189" s="118"/>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row>
    <row r="190" spans="1:26" ht="14.25" customHeight="1">
      <c r="A190" s="118"/>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row>
    <row r="191" spans="1:26" ht="14.25" customHeight="1">
      <c r="A191" s="118"/>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row>
    <row r="192" spans="1:26" ht="14.25" customHeight="1">
      <c r="A192" s="118"/>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row>
    <row r="193" spans="1:26" ht="14.25" customHeight="1">
      <c r="A193" s="118"/>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row>
    <row r="194" spans="1:26" ht="14.25" customHeight="1">
      <c r="A194" s="118"/>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row>
    <row r="195" spans="1:26" ht="14.25" customHeight="1">
      <c r="A195" s="118"/>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row>
    <row r="196" spans="1:26" ht="14.25" customHeight="1">
      <c r="A196" s="118"/>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row>
    <row r="197" spans="1:26" ht="14.25" customHeight="1">
      <c r="A197" s="118"/>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row>
    <row r="198" spans="1:26" ht="14.25" customHeight="1">
      <c r="A198" s="118"/>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row>
    <row r="199" spans="1:26" ht="14.25" customHeight="1">
      <c r="A199" s="118"/>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row>
    <row r="200" spans="1:26" ht="14.25" customHeight="1">
      <c r="A200" s="118"/>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row>
    <row r="201" spans="1:26" ht="14.25" customHeight="1">
      <c r="A201" s="118"/>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row>
    <row r="202" spans="1:26" ht="14.25" customHeight="1">
      <c r="A202" s="118"/>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row>
    <row r="203" spans="1:26" ht="14.25" customHeight="1">
      <c r="A203" s="118"/>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row>
    <row r="204" spans="1:26" ht="14.25" customHeight="1">
      <c r="A204" s="118"/>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row>
    <row r="205" spans="1:26" ht="14.25" customHeight="1">
      <c r="A205" s="118"/>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row>
    <row r="206" spans="1:26" ht="14.25" customHeight="1">
      <c r="A206" s="118"/>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row>
    <row r="207" spans="1:26" ht="14.25" customHeight="1">
      <c r="A207" s="118"/>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row>
    <row r="208" spans="1:26" ht="14.25" customHeight="1">
      <c r="A208" s="118"/>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row>
    <row r="209" spans="1:26" ht="14.25" customHeight="1">
      <c r="A209" s="118"/>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row>
    <row r="210" spans="1:26" ht="14.25" customHeight="1">
      <c r="A210" s="118"/>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row>
    <row r="211" spans="1:26" ht="14.25" customHeight="1">
      <c r="A211" s="118"/>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row>
    <row r="212" spans="1:26" ht="14.25" customHeight="1">
      <c r="A212" s="118"/>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row>
    <row r="213" spans="1:26" ht="14.25" customHeight="1">
      <c r="A213" s="118"/>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row>
    <row r="214" spans="1:26" ht="14.25" customHeight="1">
      <c r="A214" s="118"/>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row>
    <row r="215" spans="1:26" ht="14.25" customHeight="1">
      <c r="A215" s="118"/>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row>
    <row r="216" spans="1:26" ht="14.25" customHeight="1">
      <c r="A216" s="118"/>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row>
    <row r="217" spans="1:26" ht="14.25" customHeight="1">
      <c r="A217" s="118"/>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row>
    <row r="218" spans="1:26" ht="14.25" customHeight="1">
      <c r="A218" s="118"/>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row>
    <row r="219" spans="1:26" ht="14.25" customHeight="1">
      <c r="A219" s="118"/>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row>
    <row r="220" spans="1:26" ht="14.25" customHeight="1">
      <c r="A220" s="118"/>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row>
    <row r="221" spans="1:26" ht="14.25" customHeight="1">
      <c r="A221" s="118"/>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row>
    <row r="222" spans="1:26" ht="14.25" customHeight="1">
      <c r="A222" s="118"/>
      <c r="B222" s="118"/>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row>
    <row r="223" spans="1:26" ht="14.25" customHeight="1">
      <c r="A223" s="118"/>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row>
    <row r="224" spans="1:26" ht="14.25" customHeight="1">
      <c r="A224" s="118"/>
      <c r="B224" s="118"/>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row>
    <row r="225" spans="1:26" ht="14.25" customHeight="1">
      <c r="A225" s="118"/>
      <c r="B225" s="118"/>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row>
    <row r="226" spans="1:26" ht="14.25" customHeight="1">
      <c r="A226" s="118"/>
      <c r="B226" s="118"/>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row>
    <row r="227" spans="1:26" ht="14.25" customHeight="1">
      <c r="A227" s="118"/>
      <c r="B227" s="118"/>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row>
    <row r="228" spans="1:26" ht="14.25" customHeight="1">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row>
    <row r="229" spans="1:26" ht="14.25" customHeight="1">
      <c r="A229" s="118"/>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row>
    <row r="230" spans="1:26" ht="14.25" customHeight="1">
      <c r="A230" s="118"/>
      <c r="B230" s="118"/>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row>
    <row r="231" spans="1:26" ht="14.25" customHeight="1">
      <c r="A231" s="118"/>
      <c r="B231" s="118"/>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row>
    <row r="232" spans="1:26" ht="14.25" customHeight="1">
      <c r="A232" s="118"/>
      <c r="B232" s="118"/>
      <c r="C232" s="118"/>
      <c r="D232" s="118"/>
      <c r="E232" s="118"/>
      <c r="F232" s="118"/>
      <c r="G232" s="118"/>
      <c r="H232" s="118"/>
      <c r="I232" s="118"/>
      <c r="J232" s="118"/>
      <c r="K232" s="118"/>
      <c r="L232" s="118"/>
      <c r="M232" s="118"/>
      <c r="N232" s="118"/>
      <c r="O232" s="118"/>
      <c r="P232" s="118"/>
      <c r="Q232" s="118"/>
      <c r="R232" s="118"/>
      <c r="S232" s="118"/>
      <c r="T232" s="118"/>
      <c r="U232" s="118"/>
      <c r="V232" s="118"/>
      <c r="W232" s="118"/>
      <c r="X232" s="118"/>
      <c r="Y232" s="118"/>
      <c r="Z232" s="118"/>
    </row>
    <row r="233" spans="1:26" ht="14.25" customHeight="1">
      <c r="A233" s="118"/>
      <c r="B233" s="118"/>
      <c r="C233" s="118"/>
      <c r="D233" s="118"/>
      <c r="E233" s="118"/>
      <c r="F233" s="118"/>
      <c r="G233" s="118"/>
      <c r="H233" s="118"/>
      <c r="I233" s="118"/>
      <c r="J233" s="118"/>
      <c r="K233" s="118"/>
      <c r="L233" s="118"/>
      <c r="M233" s="118"/>
      <c r="N233" s="118"/>
      <c r="O233" s="118"/>
      <c r="P233" s="118"/>
      <c r="Q233" s="118"/>
      <c r="R233" s="118"/>
      <c r="S233" s="118"/>
      <c r="T233" s="118"/>
      <c r="U233" s="118"/>
      <c r="V233" s="118"/>
      <c r="W233" s="118"/>
      <c r="X233" s="118"/>
      <c r="Y233" s="118"/>
      <c r="Z233" s="118"/>
    </row>
    <row r="234" spans="1:26" ht="14.25" customHeight="1">
      <c r="A234" s="118"/>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row>
    <row r="235" spans="1:26" ht="14.25" customHeight="1">
      <c r="A235" s="118"/>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row>
    <row r="236" spans="1:26" ht="14.25" customHeight="1">
      <c r="A236" s="118"/>
      <c r="B236" s="118"/>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row>
    <row r="237" spans="1:26" ht="14.25" customHeight="1">
      <c r="A237" s="118"/>
      <c r="B237" s="118"/>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row>
    <row r="238" spans="1:26" ht="14.25" customHeight="1">
      <c r="A238" s="118"/>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row>
    <row r="239" spans="1:26" ht="14.25" customHeight="1">
      <c r="A239" s="118"/>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row>
    <row r="240" spans="1:26" ht="14.25" customHeight="1">
      <c r="A240" s="118"/>
      <c r="B240" s="118"/>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row>
    <row r="241" spans="1:26" ht="14.25" customHeight="1">
      <c r="A241" s="118"/>
      <c r="B241" s="118"/>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row>
    <row r="242" spans="1:26" ht="14.25" customHeight="1">
      <c r="A242" s="118"/>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row>
    <row r="243" spans="1:26" ht="14.25" customHeight="1">
      <c r="A243" s="118"/>
      <c r="B243" s="118"/>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row>
    <row r="244" spans="1:26" ht="14.25" customHeight="1">
      <c r="A244" s="118"/>
      <c r="B244" s="118"/>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row>
    <row r="245" spans="1:26" ht="14.25" customHeight="1">
      <c r="A245" s="118"/>
      <c r="B245" s="118"/>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row>
    <row r="246" spans="1:26" ht="14.25" customHeight="1">
      <c r="A246" s="118"/>
      <c r="B246" s="118"/>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row>
    <row r="247" spans="1:26" ht="14.25" customHeight="1">
      <c r="A247" s="118"/>
      <c r="B247" s="118"/>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row>
    <row r="248" spans="1:26" ht="14.25" customHeight="1">
      <c r="A248" s="118"/>
      <c r="B248" s="118"/>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row>
    <row r="249" spans="1:26" ht="14.25" customHeight="1">
      <c r="A249" s="118"/>
      <c r="B249" s="118"/>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row>
    <row r="250" spans="1:26" ht="14.25" customHeight="1">
      <c r="A250" s="118"/>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row>
    <row r="251" spans="1:26" ht="14.25" customHeight="1">
      <c r="A251" s="118"/>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row>
    <row r="252" spans="1:26" ht="14.25" customHeight="1">
      <c r="A252" s="118"/>
      <c r="B252" s="118"/>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row>
    <row r="253" spans="1:26" ht="14.25" customHeight="1">
      <c r="A253" s="118"/>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row>
    <row r="254" spans="1:26" ht="14.25" customHeight="1">
      <c r="A254" s="118"/>
      <c r="B254" s="118"/>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row>
    <row r="255" spans="1:26" ht="14.25" customHeight="1">
      <c r="A255" s="118"/>
      <c r="B255" s="118"/>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row>
    <row r="256" spans="1:26" ht="14.25" customHeight="1">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row>
    <row r="257" spans="1:26" ht="14.25" customHeight="1">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row>
    <row r="258" spans="1:26" ht="14.25" customHeight="1">
      <c r="A258" s="118"/>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row>
    <row r="259" spans="1:26" ht="14.25" customHeight="1">
      <c r="A259" s="118"/>
      <c r="B259" s="118"/>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row>
    <row r="260" spans="1:26" ht="14.25" customHeight="1">
      <c r="A260" s="118"/>
      <c r="B260" s="118"/>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row>
    <row r="261" spans="1:26" ht="14.25" customHeight="1">
      <c r="A261" s="118"/>
      <c r="B261" s="118"/>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row>
    <row r="262" spans="1:26" ht="14.25" customHeight="1">
      <c r="A262" s="118"/>
      <c r="B262" s="118"/>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row>
    <row r="263" spans="1:26" ht="14.25"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row>
    <row r="264" spans="1:26" ht="14.25" customHeight="1">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row>
    <row r="265" spans="1:26" ht="14.25" customHeight="1">
      <c r="A265" s="118"/>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row>
    <row r="266" spans="1:26" ht="14.25" customHeight="1">
      <c r="A266" s="118"/>
      <c r="B266" s="118"/>
      <c r="C266" s="118"/>
      <c r="D266" s="118"/>
      <c r="E266" s="118"/>
      <c r="F266" s="118"/>
      <c r="G266" s="118"/>
      <c r="H266" s="118"/>
      <c r="I266" s="118"/>
      <c r="J266" s="118"/>
      <c r="K266" s="118"/>
      <c r="L266" s="118"/>
      <c r="M266" s="118"/>
      <c r="N266" s="118"/>
      <c r="O266" s="118"/>
      <c r="P266" s="118"/>
      <c r="Q266" s="118"/>
      <c r="R266" s="118"/>
      <c r="S266" s="118"/>
      <c r="T266" s="118"/>
      <c r="U266" s="118"/>
      <c r="V266" s="118"/>
      <c r="W266" s="118"/>
      <c r="X266" s="118"/>
      <c r="Y266" s="118"/>
      <c r="Z266" s="118"/>
    </row>
    <row r="267" spans="1:26" ht="14.25" customHeight="1">
      <c r="A267" s="118"/>
      <c r="B267" s="118"/>
      <c r="C267" s="118"/>
      <c r="D267" s="118"/>
      <c r="E267" s="118"/>
      <c r="F267" s="118"/>
      <c r="G267" s="118"/>
      <c r="H267" s="118"/>
      <c r="I267" s="118"/>
      <c r="J267" s="118"/>
      <c r="K267" s="118"/>
      <c r="L267" s="118"/>
      <c r="M267" s="118"/>
      <c r="N267" s="118"/>
      <c r="O267" s="118"/>
      <c r="P267" s="118"/>
      <c r="Q267" s="118"/>
      <c r="R267" s="118"/>
      <c r="S267" s="118"/>
      <c r="T267" s="118"/>
      <c r="U267" s="118"/>
      <c r="V267" s="118"/>
      <c r="W267" s="118"/>
      <c r="X267" s="118"/>
      <c r="Y267" s="118"/>
      <c r="Z267" s="118"/>
    </row>
    <row r="268" spans="1:26" ht="14.25" customHeight="1">
      <c r="A268" s="118"/>
      <c r="B268" s="118"/>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row>
    <row r="269" spans="1:26" ht="14.25" customHeight="1">
      <c r="A269" s="118"/>
      <c r="B269" s="118"/>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row>
    <row r="270" spans="1:26" ht="14.25" customHeight="1">
      <c r="A270" s="118"/>
      <c r="B270" s="118"/>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row>
    <row r="271" spans="1:26" ht="14.25" customHeight="1">
      <c r="A271" s="118"/>
      <c r="B271" s="118"/>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row>
    <row r="272" spans="1:26" ht="14.25" customHeight="1">
      <c r="A272" s="118"/>
      <c r="B272" s="118"/>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row>
    <row r="273" spans="1:26" ht="14.25" customHeight="1">
      <c r="A273" s="118"/>
      <c r="B273" s="118"/>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row>
    <row r="274" spans="1:26" ht="14.25" customHeight="1">
      <c r="A274" s="118"/>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row>
    <row r="275" spans="1:26" ht="14.25" customHeight="1">
      <c r="A275" s="118"/>
      <c r="B275" s="118"/>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row>
    <row r="276" spans="1:26" ht="14.25" customHeight="1">
      <c r="A276" s="118"/>
      <c r="B276" s="118"/>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row>
    <row r="277" spans="1:26" ht="14.25" customHeight="1">
      <c r="A277" s="118"/>
      <c r="B277" s="118"/>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row>
    <row r="278" spans="1:26" ht="14.25" customHeight="1">
      <c r="A278" s="118"/>
      <c r="B278" s="118"/>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row>
    <row r="279" spans="1:26" ht="14.25" customHeight="1">
      <c r="A279" s="118"/>
      <c r="B279" s="118"/>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row>
    <row r="280" spans="1:26" ht="14.25" customHeight="1">
      <c r="A280" s="118"/>
      <c r="B280" s="118"/>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row>
    <row r="281" spans="1:26" ht="14.25" customHeight="1">
      <c r="A281" s="118"/>
      <c r="B281" s="118"/>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row>
    <row r="282" spans="1:26" ht="14.25" customHeight="1">
      <c r="A282" s="118"/>
      <c r="B282" s="118"/>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row>
    <row r="283" spans="1:26" ht="14.25" customHeight="1">
      <c r="A283" s="118"/>
      <c r="B283" s="118"/>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row>
    <row r="284" spans="1:26" ht="14.25" customHeight="1">
      <c r="A284" s="118"/>
      <c r="B284" s="118"/>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row>
    <row r="285" spans="1:26" ht="14.25" customHeight="1">
      <c r="A285" s="118"/>
      <c r="B285" s="118"/>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row>
    <row r="286" spans="1:26" ht="14.25" customHeight="1">
      <c r="A286" s="118"/>
      <c r="B286" s="118"/>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row>
    <row r="287" spans="1:26" ht="14.25" customHeight="1">
      <c r="A287" s="118"/>
      <c r="B287" s="118"/>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row>
    <row r="288" spans="1:26" ht="14.25" customHeight="1">
      <c r="A288" s="118"/>
      <c r="B288" s="118"/>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row>
    <row r="289" spans="1:26" ht="14.25" customHeight="1">
      <c r="A289" s="118"/>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row>
    <row r="290" spans="1:26" ht="14.25" customHeight="1">
      <c r="A290" s="118"/>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row>
    <row r="291" spans="1:26" ht="14.25" customHeight="1">
      <c r="A291" s="118"/>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row>
    <row r="292" spans="1:26" ht="14.25" customHeight="1">
      <c r="A292" s="118"/>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row>
    <row r="293" spans="1:26" ht="14.25" customHeight="1">
      <c r="A293" s="118"/>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row>
    <row r="294" spans="1:26" ht="14.25" customHeight="1">
      <c r="A294" s="118"/>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row>
    <row r="295" spans="1:26" ht="14.25" customHeight="1">
      <c r="A295" s="118"/>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row>
    <row r="296" spans="1:26" ht="14.25" customHeight="1">
      <c r="A296" s="118"/>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row>
    <row r="297" spans="1:26" ht="14.25" customHeight="1">
      <c r="A297" s="118"/>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row>
    <row r="298" spans="1:26" ht="14.25" customHeight="1">
      <c r="A298" s="118"/>
      <c r="B298" s="118"/>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row>
    <row r="299" spans="1:26" ht="14.25"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row>
    <row r="300" spans="1:26" ht="14.25"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118"/>
      <c r="X300" s="118"/>
      <c r="Y300" s="118"/>
      <c r="Z300" s="118"/>
    </row>
    <row r="301" spans="1:26" ht="14.25" customHeight="1">
      <c r="A301" s="118"/>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row>
    <row r="302" spans="1:26" ht="14.25" customHeight="1">
      <c r="A302" s="118"/>
      <c r="B302" s="118"/>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row>
    <row r="303" spans="1:26" ht="14.25" customHeight="1">
      <c r="A303" s="118"/>
      <c r="B303" s="118"/>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row>
    <row r="304" spans="1:26" ht="14.25" customHeight="1">
      <c r="A304" s="118"/>
      <c r="B304" s="118"/>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row>
    <row r="305" spans="1:26" ht="14.25" customHeight="1">
      <c r="A305" s="118"/>
      <c r="B305" s="118"/>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row>
    <row r="306" spans="1:26" ht="14.25" customHeight="1">
      <c r="A306" s="118"/>
      <c r="B306" s="118"/>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row>
    <row r="307" spans="1:26" ht="14.25" customHeight="1">
      <c r="A307" s="118"/>
      <c r="B307" s="118"/>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row>
    <row r="308" spans="1:26" ht="14.25" customHeight="1">
      <c r="A308" s="118"/>
      <c r="B308" s="118"/>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row>
    <row r="309" spans="1:26" ht="14.25" customHeight="1">
      <c r="A309" s="118"/>
      <c r="B309" s="118"/>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row>
    <row r="310" spans="1:26" ht="14.25" customHeight="1">
      <c r="A310" s="118"/>
      <c r="B310" s="118"/>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row>
    <row r="311" spans="1:26" ht="14.25" customHeight="1">
      <c r="A311" s="118"/>
      <c r="B311" s="118"/>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row>
    <row r="312" spans="1:26" ht="14.25" customHeight="1">
      <c r="A312" s="118"/>
      <c r="B312" s="118"/>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row>
    <row r="313" spans="1:26" ht="14.25" customHeight="1">
      <c r="A313" s="118"/>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row>
    <row r="314" spans="1:26" ht="14.25" customHeight="1">
      <c r="A314" s="118"/>
      <c r="B314" s="118"/>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row>
    <row r="315" spans="1:26" ht="14.25" customHeight="1">
      <c r="A315" s="118"/>
      <c r="B315" s="118"/>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row>
    <row r="316" spans="1:26" ht="14.25" customHeight="1">
      <c r="A316" s="118"/>
      <c r="B316" s="118"/>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row>
    <row r="317" spans="1:26" ht="14.25" customHeight="1">
      <c r="A317" s="118"/>
      <c r="B317" s="118"/>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row>
    <row r="318" spans="1:26" ht="14.25" customHeight="1">
      <c r="A318" s="118"/>
      <c r="B318" s="118"/>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row>
    <row r="319" spans="1:26" ht="14.25" customHeight="1">
      <c r="A319" s="118"/>
      <c r="B319" s="118"/>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row>
    <row r="320" spans="1:26" ht="14.25" customHeight="1">
      <c r="A320" s="118"/>
      <c r="B320" s="118"/>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row>
    <row r="321" spans="1:26" ht="14.25" customHeight="1">
      <c r="A321" s="118"/>
      <c r="B321" s="118"/>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row>
    <row r="322" spans="1:26" ht="14.25" customHeight="1">
      <c r="A322" s="118"/>
      <c r="B322" s="118"/>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row>
    <row r="323" spans="1:26" ht="14.25" customHeight="1">
      <c r="A323" s="118"/>
      <c r="B323" s="118"/>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row>
    <row r="324" spans="1:26" ht="14.25" customHeight="1">
      <c r="A324" s="118"/>
      <c r="B324" s="118"/>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row>
    <row r="325" spans="1:26" ht="14.25" customHeight="1">
      <c r="A325" s="118"/>
      <c r="B325" s="118"/>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row>
    <row r="326" spans="1:26" ht="14.25" customHeight="1">
      <c r="A326" s="118"/>
      <c r="B326" s="118"/>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row>
    <row r="327" spans="1:26" ht="14.25" customHeight="1">
      <c r="A327" s="118"/>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row>
    <row r="328" spans="1:26" ht="14.25" customHeight="1">
      <c r="A328" s="118"/>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row>
    <row r="329" spans="1:26" ht="14.25" customHeight="1">
      <c r="A329" s="118"/>
      <c r="B329" s="118"/>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row>
    <row r="330" spans="1:26" ht="14.25" customHeight="1">
      <c r="A330" s="118"/>
      <c r="B330" s="118"/>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row>
    <row r="331" spans="1:26" ht="14.25" customHeight="1">
      <c r="A331" s="118"/>
      <c r="B331" s="118"/>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row>
    <row r="332" spans="1:26" ht="14.25" customHeight="1">
      <c r="A332" s="118"/>
      <c r="B332" s="118"/>
      <c r="C332" s="118"/>
      <c r="D332" s="118"/>
      <c r="E332" s="118"/>
      <c r="F332" s="118"/>
      <c r="G332" s="118"/>
      <c r="H332" s="118"/>
      <c r="I332" s="118"/>
      <c r="J332" s="118"/>
      <c r="K332" s="118"/>
      <c r="L332" s="118"/>
      <c r="M332" s="118"/>
      <c r="N332" s="118"/>
      <c r="O332" s="118"/>
      <c r="P332" s="118"/>
      <c r="Q332" s="118"/>
      <c r="R332" s="118"/>
      <c r="S332" s="118"/>
      <c r="T332" s="118"/>
      <c r="U332" s="118"/>
      <c r="V332" s="118"/>
      <c r="W332" s="118"/>
      <c r="X332" s="118"/>
      <c r="Y332" s="118"/>
      <c r="Z332" s="118"/>
    </row>
    <row r="333" spans="1:26" ht="14.25" customHeight="1">
      <c r="A333" s="118"/>
      <c r="B333" s="118"/>
      <c r="C333" s="118"/>
      <c r="D333" s="118"/>
      <c r="E333" s="118"/>
      <c r="F333" s="118"/>
      <c r="G333" s="118"/>
      <c r="H333" s="118"/>
      <c r="I333" s="118"/>
      <c r="J333" s="118"/>
      <c r="K333" s="118"/>
      <c r="L333" s="118"/>
      <c r="M333" s="118"/>
      <c r="N333" s="118"/>
      <c r="O333" s="118"/>
      <c r="P333" s="118"/>
      <c r="Q333" s="118"/>
      <c r="R333" s="118"/>
      <c r="S333" s="118"/>
      <c r="T333" s="118"/>
      <c r="U333" s="118"/>
      <c r="V333" s="118"/>
      <c r="W333" s="118"/>
      <c r="X333" s="118"/>
      <c r="Y333" s="118"/>
      <c r="Z333" s="118"/>
    </row>
    <row r="334" spans="1:26" ht="14.25" customHeight="1">
      <c r="A334" s="118"/>
      <c r="B334" s="118"/>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row>
    <row r="335" spans="1:26" ht="14.25" customHeight="1">
      <c r="A335" s="118"/>
      <c r="B335" s="118"/>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row>
    <row r="336" spans="1:26" ht="14.25" customHeight="1">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row>
    <row r="337" spans="1:26" ht="14.25" customHeight="1">
      <c r="A337" s="118"/>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row>
    <row r="338" spans="1:26" ht="14.25" customHeight="1">
      <c r="A338" s="118"/>
      <c r="B338" s="118"/>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row>
    <row r="339" spans="1:26" ht="14.25" customHeight="1">
      <c r="A339" s="118"/>
      <c r="B339" s="118"/>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row>
    <row r="340" spans="1:26" ht="14.25" customHeight="1">
      <c r="A340" s="118"/>
      <c r="B340" s="118"/>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row>
    <row r="341" spans="1:26" ht="14.25" customHeight="1">
      <c r="A341" s="118"/>
      <c r="B341" s="118"/>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row>
    <row r="342" spans="1:26" ht="14.25" customHeight="1">
      <c r="A342" s="118"/>
      <c r="B342" s="118"/>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row>
    <row r="343" spans="1:26" ht="14.25" customHeight="1">
      <c r="A343" s="118"/>
      <c r="B343" s="118"/>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row>
    <row r="344" spans="1:26" ht="14.25" customHeight="1">
      <c r="A344" s="118"/>
      <c r="B344" s="118"/>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row>
    <row r="345" spans="1:26" ht="14.25" customHeight="1">
      <c r="A345" s="118"/>
      <c r="B345" s="118"/>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row>
    <row r="346" spans="1:26" ht="14.25" customHeight="1">
      <c r="A346" s="118"/>
      <c r="B346" s="118"/>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row>
    <row r="347" spans="1:26" ht="14.25" customHeight="1">
      <c r="A347" s="118"/>
      <c r="B347" s="118"/>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row>
    <row r="348" spans="1:26" ht="14.25" customHeight="1">
      <c r="A348" s="118"/>
      <c r="B348" s="118"/>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row>
    <row r="349" spans="1:26" ht="14.25" customHeight="1">
      <c r="A349" s="118"/>
      <c r="B349" s="118"/>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row>
    <row r="350" spans="1:26" ht="14.25" customHeight="1">
      <c r="A350" s="118"/>
      <c r="B350" s="118"/>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row>
    <row r="351" spans="1:26" ht="14.25" customHeight="1">
      <c r="A351" s="118"/>
      <c r="B351" s="118"/>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row>
    <row r="352" spans="1:26" ht="14.25" customHeight="1">
      <c r="A352" s="118"/>
      <c r="B352" s="118"/>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row>
    <row r="353" spans="1:26" ht="14.25" customHeight="1">
      <c r="A353" s="118"/>
      <c r="B353" s="118"/>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row>
    <row r="354" spans="1:26" ht="14.25" customHeight="1">
      <c r="A354" s="118"/>
      <c r="B354" s="118"/>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row>
    <row r="355" spans="1:26" ht="14.25" customHeight="1">
      <c r="A355" s="118"/>
      <c r="B355" s="118"/>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row>
    <row r="356" spans="1:26" ht="14.25" customHeight="1">
      <c r="A356" s="118"/>
      <c r="B356" s="118"/>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row>
    <row r="357" spans="1:26" ht="14.25" customHeight="1">
      <c r="A357" s="118"/>
      <c r="B357" s="118"/>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row>
    <row r="358" spans="1:26" ht="14.25" customHeight="1">
      <c r="A358" s="118"/>
      <c r="B358" s="118"/>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row>
    <row r="359" spans="1:26" ht="14.25" customHeight="1">
      <c r="A359" s="118"/>
      <c r="B359" s="118"/>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row>
    <row r="360" spans="1:26" ht="14.25" customHeight="1">
      <c r="A360" s="118"/>
      <c r="B360" s="118"/>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row>
    <row r="361" spans="1:26" ht="14.25" customHeight="1">
      <c r="A361" s="118"/>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row>
    <row r="362" spans="1:26" ht="14.25" customHeight="1">
      <c r="A362" s="118"/>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row>
    <row r="363" spans="1:26" ht="14.25" customHeight="1">
      <c r="A363" s="118"/>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row>
    <row r="364" spans="1:26" ht="14.25" customHeight="1">
      <c r="A364" s="118"/>
      <c r="B364" s="118"/>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row>
    <row r="365" spans="1:26" ht="14.25" customHeight="1">
      <c r="A365" s="118"/>
      <c r="B365" s="118"/>
      <c r="C365" s="118"/>
      <c r="D365" s="118"/>
      <c r="E365" s="118"/>
      <c r="F365" s="118"/>
      <c r="G365" s="118"/>
      <c r="H365" s="118"/>
      <c r="I365" s="118"/>
      <c r="J365" s="118"/>
      <c r="K365" s="118"/>
      <c r="L365" s="118"/>
      <c r="M365" s="118"/>
      <c r="N365" s="118"/>
      <c r="O365" s="118"/>
      <c r="P365" s="118"/>
      <c r="Q365" s="118"/>
      <c r="R365" s="118"/>
      <c r="S365" s="118"/>
      <c r="T365" s="118"/>
      <c r="U365" s="118"/>
      <c r="V365" s="118"/>
      <c r="W365" s="118"/>
      <c r="X365" s="118"/>
      <c r="Y365" s="118"/>
      <c r="Z365" s="118"/>
    </row>
    <row r="366" spans="1:26" ht="14.25" customHeight="1">
      <c r="A366" s="118"/>
      <c r="B366" s="118"/>
      <c r="C366" s="118"/>
      <c r="D366" s="118"/>
      <c r="E366" s="118"/>
      <c r="F366" s="118"/>
      <c r="G366" s="118"/>
      <c r="H366" s="118"/>
      <c r="I366" s="118"/>
      <c r="J366" s="118"/>
      <c r="K366" s="118"/>
      <c r="L366" s="118"/>
      <c r="M366" s="118"/>
      <c r="N366" s="118"/>
      <c r="O366" s="118"/>
      <c r="P366" s="118"/>
      <c r="Q366" s="118"/>
      <c r="R366" s="118"/>
      <c r="S366" s="118"/>
      <c r="T366" s="118"/>
      <c r="U366" s="118"/>
      <c r="V366" s="118"/>
      <c r="W366" s="118"/>
      <c r="X366" s="118"/>
      <c r="Y366" s="118"/>
      <c r="Z366" s="118"/>
    </row>
    <row r="367" spans="1:26" ht="14.25" customHeight="1">
      <c r="A367" s="118"/>
      <c r="B367" s="118"/>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row>
    <row r="368" spans="1:26" ht="14.25" customHeight="1">
      <c r="A368" s="118"/>
      <c r="B368" s="118"/>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row>
    <row r="369" spans="1:26" ht="14.25" customHeight="1">
      <c r="A369" s="118"/>
      <c r="B369" s="118"/>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row>
    <row r="370" spans="1:26" ht="14.25" customHeight="1">
      <c r="A370" s="118"/>
      <c r="B370" s="118"/>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row>
    <row r="371" spans="1:26" ht="14.25" customHeight="1">
      <c r="A371" s="118"/>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row>
    <row r="372" spans="1:26" ht="14.25" customHeight="1">
      <c r="A372" s="118"/>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row>
    <row r="373" spans="1:26" ht="14.25" customHeight="1">
      <c r="A373" s="118"/>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row>
    <row r="374" spans="1:26" ht="14.25" customHeight="1">
      <c r="A374" s="118"/>
      <c r="B374" s="118"/>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row>
    <row r="375" spans="1:26" ht="14.25" customHeight="1">
      <c r="A375" s="118"/>
      <c r="B375" s="118"/>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row>
    <row r="376" spans="1:26" ht="14.25" customHeight="1">
      <c r="A376" s="118"/>
      <c r="B376" s="118"/>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row>
    <row r="377" spans="1:26" ht="14.25" customHeight="1">
      <c r="A377" s="118"/>
      <c r="B377" s="118"/>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row>
    <row r="378" spans="1:26" ht="14.25" customHeight="1">
      <c r="A378" s="118"/>
      <c r="B378" s="118"/>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row>
    <row r="379" spans="1:26" ht="14.25" customHeight="1">
      <c r="A379" s="118"/>
      <c r="B379" s="118"/>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row>
    <row r="380" spans="1:26" ht="14.25" customHeight="1">
      <c r="A380" s="118"/>
      <c r="B380" s="118"/>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row>
    <row r="381" spans="1:26" ht="14.25" customHeight="1">
      <c r="A381" s="118"/>
      <c r="B381" s="118"/>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row>
    <row r="382" spans="1:26" ht="14.25" customHeight="1">
      <c r="A382" s="118"/>
      <c r="B382" s="118"/>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row>
    <row r="383" spans="1:26" ht="14.25" customHeight="1">
      <c r="A383" s="118"/>
      <c r="B383" s="118"/>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row>
    <row r="384" spans="1:26" ht="14.25" customHeight="1">
      <c r="A384" s="118"/>
      <c r="B384" s="118"/>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row>
    <row r="385" spans="1:26" ht="14.25" customHeight="1">
      <c r="A385" s="118"/>
      <c r="B385" s="118"/>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row>
    <row r="386" spans="1:26" ht="14.25" customHeight="1">
      <c r="A386" s="118"/>
      <c r="B386" s="118"/>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row>
    <row r="387" spans="1:26" ht="14.25" customHeight="1">
      <c r="A387" s="118"/>
      <c r="B387" s="118"/>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row>
    <row r="388" spans="1:26" ht="14.25" customHeight="1">
      <c r="A388" s="118"/>
      <c r="B388" s="118"/>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row>
    <row r="389" spans="1:26" ht="14.25" customHeight="1">
      <c r="A389" s="118"/>
      <c r="B389" s="118"/>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row>
    <row r="390" spans="1:26" ht="14.25" customHeight="1">
      <c r="A390" s="118"/>
      <c r="B390" s="118"/>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row>
    <row r="391" spans="1:26" ht="14.25" customHeight="1">
      <c r="A391" s="118"/>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row>
    <row r="392" spans="1:26" ht="14.25" customHeight="1">
      <c r="A392" s="118"/>
      <c r="B392" s="118"/>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row>
    <row r="393" spans="1:26" ht="14.25" customHeight="1">
      <c r="A393" s="118"/>
      <c r="B393" s="118"/>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row>
    <row r="394" spans="1:26" ht="14.25" customHeight="1">
      <c r="A394" s="118"/>
      <c r="B394" s="118"/>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row>
    <row r="395" spans="1:26" ht="14.25" customHeight="1">
      <c r="A395" s="118"/>
      <c r="B395" s="118"/>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row>
    <row r="396" spans="1:26" ht="14.25" customHeight="1">
      <c r="A396" s="118"/>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row>
    <row r="397" spans="1:26" ht="14.25" customHeight="1">
      <c r="A397" s="118"/>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row>
    <row r="398" spans="1:26" ht="14.25" customHeight="1">
      <c r="A398" s="118"/>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118"/>
      <c r="X398" s="118"/>
      <c r="Y398" s="118"/>
      <c r="Z398" s="118"/>
    </row>
    <row r="399" spans="1:26" ht="14.25" customHeight="1">
      <c r="A399" s="118"/>
      <c r="B399" s="118"/>
      <c r="C399" s="118"/>
      <c r="D399" s="118"/>
      <c r="E399" s="118"/>
      <c r="F399" s="118"/>
      <c r="G399" s="118"/>
      <c r="H399" s="118"/>
      <c r="I399" s="118"/>
      <c r="J399" s="118"/>
      <c r="K399" s="118"/>
      <c r="L399" s="118"/>
      <c r="M399" s="118"/>
      <c r="N399" s="118"/>
      <c r="O399" s="118"/>
      <c r="P399" s="118"/>
      <c r="Q399" s="118"/>
      <c r="R399" s="118"/>
      <c r="S399" s="118"/>
      <c r="T399" s="118"/>
      <c r="U399" s="118"/>
      <c r="V399" s="118"/>
      <c r="W399" s="118"/>
      <c r="X399" s="118"/>
      <c r="Y399" s="118"/>
      <c r="Z399" s="118"/>
    </row>
    <row r="400" spans="1:26" ht="14.25" customHeight="1">
      <c r="A400" s="118"/>
      <c r="B400" s="118"/>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row>
    <row r="401" spans="1:26" ht="14.25" customHeight="1">
      <c r="A401" s="118"/>
      <c r="B401" s="118"/>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row>
    <row r="402" spans="1:26" ht="14.25" customHeight="1">
      <c r="A402" s="118"/>
      <c r="B402" s="118"/>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row>
    <row r="403" spans="1:26" ht="14.25" customHeight="1">
      <c r="A403" s="118"/>
      <c r="B403" s="118"/>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row>
    <row r="404" spans="1:26" ht="14.25" customHeight="1">
      <c r="A404" s="118"/>
      <c r="B404" s="118"/>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row>
    <row r="405" spans="1:26" ht="14.25" customHeight="1">
      <c r="A405" s="118"/>
      <c r="B405" s="118"/>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row>
    <row r="406" spans="1:26" ht="14.25" customHeight="1">
      <c r="A406" s="118"/>
      <c r="B406" s="118"/>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row>
    <row r="407" spans="1:26" ht="14.25" customHeight="1">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row>
    <row r="408" spans="1:26" ht="14.25" customHeight="1">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row>
    <row r="409" spans="1:26" ht="14.25" customHeight="1">
      <c r="A409" s="118"/>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row>
    <row r="410" spans="1:26" ht="14.25" customHeight="1">
      <c r="A410" s="118"/>
      <c r="B410" s="118"/>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row>
    <row r="411" spans="1:26" ht="14.25" customHeight="1">
      <c r="A411" s="118"/>
      <c r="B411" s="118"/>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row>
    <row r="412" spans="1:26" ht="14.25" customHeight="1">
      <c r="A412" s="118"/>
      <c r="B412" s="118"/>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row>
    <row r="413" spans="1:26" ht="14.25" customHeight="1">
      <c r="A413" s="118"/>
      <c r="B413" s="118"/>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row>
    <row r="414" spans="1:26" ht="14.25" customHeight="1">
      <c r="A414" s="118"/>
      <c r="B414" s="118"/>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row>
    <row r="415" spans="1:26" ht="14.25" customHeight="1">
      <c r="A415" s="118"/>
      <c r="B415" s="118"/>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row>
    <row r="416" spans="1:26" ht="14.25" customHeight="1">
      <c r="A416" s="118"/>
      <c r="B416" s="118"/>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row>
    <row r="417" spans="1:26" ht="14.25" customHeight="1">
      <c r="A417" s="118"/>
      <c r="B417" s="118"/>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row>
    <row r="418" spans="1:26" ht="14.25" customHeight="1">
      <c r="A418" s="118"/>
      <c r="B418" s="118"/>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row>
    <row r="419" spans="1:26" ht="14.25" customHeight="1">
      <c r="A419" s="118"/>
      <c r="B419" s="118"/>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row>
    <row r="420" spans="1:26" ht="14.25" customHeight="1">
      <c r="A420" s="118"/>
      <c r="B420" s="118"/>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row>
    <row r="421" spans="1:26" ht="14.25" customHeight="1">
      <c r="A421" s="118"/>
      <c r="B421" s="118"/>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row>
    <row r="422" spans="1:26" ht="14.25" customHeight="1">
      <c r="A422" s="118"/>
      <c r="B422" s="118"/>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row>
    <row r="423" spans="1:26" ht="14.25" customHeight="1">
      <c r="A423" s="118"/>
      <c r="B423" s="118"/>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row>
    <row r="424" spans="1:26" ht="14.25" customHeight="1">
      <c r="A424" s="118"/>
      <c r="B424" s="118"/>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row>
    <row r="425" spans="1:26" ht="14.25" customHeight="1">
      <c r="A425" s="118"/>
      <c r="B425" s="118"/>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row>
    <row r="426" spans="1:26" ht="14.25" customHeight="1">
      <c r="A426" s="118"/>
      <c r="B426" s="118"/>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row>
    <row r="427" spans="1:26" ht="14.25" customHeight="1">
      <c r="A427" s="118"/>
      <c r="B427" s="118"/>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row>
    <row r="428" spans="1:26" ht="14.25" customHeight="1">
      <c r="A428" s="118"/>
      <c r="B428" s="118"/>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row>
    <row r="429" spans="1:26" ht="14.25" customHeight="1">
      <c r="A429" s="118"/>
      <c r="B429" s="118"/>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row>
    <row r="430" spans="1:26" ht="14.25" customHeight="1">
      <c r="A430" s="118"/>
      <c r="B430" s="118"/>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row>
    <row r="431" spans="1:26" ht="14.25" customHeight="1">
      <c r="A431" s="118"/>
      <c r="B431" s="118"/>
      <c r="C431" s="118"/>
      <c r="D431" s="118"/>
      <c r="E431" s="118"/>
      <c r="F431" s="118"/>
      <c r="G431" s="118"/>
      <c r="H431" s="118"/>
      <c r="I431" s="118"/>
      <c r="J431" s="118"/>
      <c r="K431" s="118"/>
      <c r="L431" s="118"/>
      <c r="M431" s="118"/>
      <c r="N431" s="118"/>
      <c r="O431" s="118"/>
      <c r="P431" s="118"/>
      <c r="Q431" s="118"/>
      <c r="R431" s="118"/>
      <c r="S431" s="118"/>
      <c r="T431" s="118"/>
      <c r="U431" s="118"/>
      <c r="V431" s="118"/>
      <c r="W431" s="118"/>
      <c r="X431" s="118"/>
      <c r="Y431" s="118"/>
      <c r="Z431" s="118"/>
    </row>
    <row r="432" spans="1:26" ht="14.25" customHeight="1">
      <c r="A432" s="118"/>
      <c r="B432" s="118"/>
      <c r="C432" s="118"/>
      <c r="D432" s="118"/>
      <c r="E432" s="118"/>
      <c r="F432" s="118"/>
      <c r="G432" s="118"/>
      <c r="H432" s="118"/>
      <c r="I432" s="118"/>
      <c r="J432" s="118"/>
      <c r="K432" s="118"/>
      <c r="L432" s="118"/>
      <c r="M432" s="118"/>
      <c r="N432" s="118"/>
      <c r="O432" s="118"/>
      <c r="P432" s="118"/>
      <c r="Q432" s="118"/>
      <c r="R432" s="118"/>
      <c r="S432" s="118"/>
      <c r="T432" s="118"/>
      <c r="U432" s="118"/>
      <c r="V432" s="118"/>
      <c r="W432" s="118"/>
      <c r="X432" s="118"/>
      <c r="Y432" s="118"/>
      <c r="Z432" s="118"/>
    </row>
    <row r="433" spans="1:26" ht="14.25" customHeight="1">
      <c r="A433" s="118"/>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row>
    <row r="434" spans="1:26" ht="14.25" customHeight="1">
      <c r="A434" s="118"/>
      <c r="B434" s="118"/>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row>
    <row r="435" spans="1:26" ht="14.25" customHeight="1">
      <c r="A435" s="118"/>
      <c r="B435" s="118"/>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row>
    <row r="436" spans="1:26" ht="14.25" customHeight="1">
      <c r="A436" s="118"/>
      <c r="B436" s="118"/>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row>
    <row r="437" spans="1:26" ht="14.25" customHeight="1">
      <c r="A437" s="118"/>
      <c r="B437" s="118"/>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row>
    <row r="438" spans="1:26" ht="14.25" customHeight="1">
      <c r="A438" s="118"/>
      <c r="B438" s="118"/>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row>
    <row r="439" spans="1:26" ht="14.25" customHeight="1">
      <c r="A439" s="118"/>
      <c r="B439" s="118"/>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row>
    <row r="440" spans="1:26" ht="14.25" customHeight="1">
      <c r="A440" s="118"/>
      <c r="B440" s="118"/>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row>
    <row r="441" spans="1:26" ht="14.25" customHeight="1">
      <c r="A441" s="118"/>
      <c r="B441" s="118"/>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row>
    <row r="442" spans="1:26" ht="14.25" customHeight="1">
      <c r="A442" s="118"/>
      <c r="B442" s="118"/>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row>
    <row r="443" spans="1:26" ht="14.25" customHeight="1">
      <c r="A443" s="118"/>
      <c r="B443" s="118"/>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row>
    <row r="444" spans="1:26" ht="14.25" customHeight="1">
      <c r="A444" s="118"/>
      <c r="B444" s="118"/>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row>
    <row r="445" spans="1:26" ht="14.25" customHeight="1">
      <c r="A445" s="118"/>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row>
    <row r="446" spans="1:26" ht="14.25" customHeight="1">
      <c r="A446" s="118"/>
      <c r="B446" s="118"/>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row>
    <row r="447" spans="1:26" ht="14.25" customHeight="1">
      <c r="A447" s="118"/>
      <c r="B447" s="118"/>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row>
    <row r="448" spans="1:26" ht="14.25" customHeight="1">
      <c r="A448" s="118"/>
      <c r="B448" s="118"/>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row>
    <row r="449" spans="1:26" ht="14.25" customHeight="1">
      <c r="A449" s="118"/>
      <c r="B449" s="118"/>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row>
    <row r="450" spans="1:26" ht="14.25" customHeight="1">
      <c r="A450" s="118"/>
      <c r="B450" s="118"/>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row>
    <row r="451" spans="1:26" ht="14.25" customHeight="1">
      <c r="A451" s="118"/>
      <c r="B451" s="118"/>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row>
    <row r="452" spans="1:26" ht="14.25" customHeight="1">
      <c r="A452" s="118"/>
      <c r="B452" s="118"/>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row>
    <row r="453" spans="1:26" ht="14.25" customHeight="1">
      <c r="A453" s="118"/>
      <c r="B453" s="118"/>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row>
    <row r="454" spans="1:26" ht="14.25" customHeight="1">
      <c r="A454" s="118"/>
      <c r="B454" s="118"/>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row>
    <row r="455" spans="1:26" ht="14.25" customHeight="1">
      <c r="A455" s="118"/>
      <c r="B455" s="118"/>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row>
    <row r="456" spans="1:26" ht="14.25" customHeight="1">
      <c r="A456" s="118"/>
      <c r="B456" s="118"/>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row>
    <row r="457" spans="1:26" ht="14.25" customHeight="1">
      <c r="A457" s="118"/>
      <c r="B457" s="118"/>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row>
    <row r="458" spans="1:26" ht="14.25" customHeight="1">
      <c r="A458" s="118"/>
      <c r="B458" s="118"/>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row>
    <row r="459" spans="1:26" ht="14.25" customHeight="1">
      <c r="A459" s="118"/>
      <c r="B459" s="118"/>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row>
    <row r="460" spans="1:26" ht="14.25" customHeight="1">
      <c r="A460" s="118"/>
      <c r="B460" s="118"/>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row>
    <row r="461" spans="1:26" ht="14.25" customHeight="1">
      <c r="A461" s="118"/>
      <c r="B461" s="118"/>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row>
    <row r="462" spans="1:26" ht="14.25" customHeight="1">
      <c r="A462" s="118"/>
      <c r="B462" s="118"/>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row>
    <row r="463" spans="1:26" ht="14.25" customHeight="1">
      <c r="A463" s="118"/>
      <c r="B463" s="118"/>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row>
    <row r="464" spans="1:26" ht="14.25" customHeight="1">
      <c r="A464" s="118"/>
      <c r="B464" s="118"/>
      <c r="C464" s="118"/>
      <c r="D464" s="118"/>
      <c r="E464" s="118"/>
      <c r="F464" s="118"/>
      <c r="G464" s="118"/>
      <c r="H464" s="118"/>
      <c r="I464" s="118"/>
      <c r="J464" s="118"/>
      <c r="K464" s="118"/>
      <c r="L464" s="118"/>
      <c r="M464" s="118"/>
      <c r="N464" s="118"/>
      <c r="O464" s="118"/>
      <c r="P464" s="118"/>
      <c r="Q464" s="118"/>
      <c r="R464" s="118"/>
      <c r="S464" s="118"/>
      <c r="T464" s="118"/>
      <c r="U464" s="118"/>
      <c r="V464" s="118"/>
      <c r="W464" s="118"/>
      <c r="X464" s="118"/>
      <c r="Y464" s="118"/>
      <c r="Z464" s="118"/>
    </row>
    <row r="465" spans="1:26" ht="14.25" customHeight="1">
      <c r="A465" s="118"/>
      <c r="B465" s="118"/>
      <c r="C465" s="118"/>
      <c r="D465" s="118"/>
      <c r="E465" s="118"/>
      <c r="F465" s="118"/>
      <c r="G465" s="118"/>
      <c r="H465" s="118"/>
      <c r="I465" s="118"/>
      <c r="J465" s="118"/>
      <c r="K465" s="118"/>
      <c r="L465" s="118"/>
      <c r="M465" s="118"/>
      <c r="N465" s="118"/>
      <c r="O465" s="118"/>
      <c r="P465" s="118"/>
      <c r="Q465" s="118"/>
      <c r="R465" s="118"/>
      <c r="S465" s="118"/>
      <c r="T465" s="118"/>
      <c r="U465" s="118"/>
      <c r="V465" s="118"/>
      <c r="W465" s="118"/>
      <c r="X465" s="118"/>
      <c r="Y465" s="118"/>
      <c r="Z465" s="118"/>
    </row>
    <row r="466" spans="1:26" ht="14.25" customHeight="1">
      <c r="A466" s="118"/>
      <c r="B466" s="118"/>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row>
    <row r="467" spans="1:26" ht="14.25" customHeight="1">
      <c r="A467" s="118"/>
      <c r="B467" s="118"/>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row>
    <row r="468" spans="1:26" ht="14.25" customHeight="1">
      <c r="A468" s="118"/>
      <c r="B468" s="118"/>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row>
    <row r="469" spans="1:26" ht="14.25" customHeight="1">
      <c r="A469" s="118"/>
      <c r="B469" s="118"/>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row>
    <row r="470" spans="1:26" ht="14.25" customHeight="1">
      <c r="A470" s="118"/>
      <c r="B470" s="118"/>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row>
    <row r="471" spans="1:26" ht="14.25" customHeight="1">
      <c r="A471" s="118"/>
      <c r="B471" s="118"/>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row>
    <row r="472" spans="1:26" ht="14.25" customHeight="1">
      <c r="A472" s="118"/>
      <c r="B472" s="118"/>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row>
    <row r="473" spans="1:26" ht="14.25" customHeight="1">
      <c r="A473" s="118"/>
      <c r="B473" s="118"/>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row>
    <row r="474" spans="1:26" ht="14.25" customHeight="1">
      <c r="A474" s="118"/>
      <c r="B474" s="118"/>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row>
    <row r="475" spans="1:26" ht="14.25" customHeight="1">
      <c r="A475" s="118"/>
      <c r="B475" s="118"/>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row>
    <row r="476" spans="1:26" ht="14.25" customHeight="1">
      <c r="A476" s="118"/>
      <c r="B476" s="118"/>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row>
    <row r="477" spans="1:26" ht="14.25" customHeight="1">
      <c r="A477" s="118"/>
      <c r="B477" s="118"/>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row>
    <row r="478" spans="1:26" ht="14.25" customHeight="1">
      <c r="A478" s="118"/>
      <c r="B478" s="118"/>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row>
    <row r="479" spans="1:26" ht="14.25" customHeight="1">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row>
    <row r="480" spans="1:26" ht="14.25" customHeight="1">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row>
    <row r="481" spans="1:26" ht="14.25" customHeight="1">
      <c r="A481" s="118"/>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row>
    <row r="482" spans="1:26" ht="14.25" customHeight="1">
      <c r="A482" s="118"/>
      <c r="B482" s="118"/>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row>
    <row r="483" spans="1:26" ht="14.25" customHeight="1">
      <c r="A483" s="118"/>
      <c r="B483" s="118"/>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row>
    <row r="484" spans="1:26" ht="14.25" customHeight="1">
      <c r="A484" s="118"/>
      <c r="B484" s="118"/>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row>
    <row r="485" spans="1:26" ht="14.25" customHeight="1">
      <c r="A485" s="118"/>
      <c r="B485" s="118"/>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row>
    <row r="486" spans="1:26" ht="14.25" customHeight="1">
      <c r="A486" s="118"/>
      <c r="B486" s="118"/>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row>
    <row r="487" spans="1:26" ht="14.25" customHeight="1">
      <c r="A487" s="118"/>
      <c r="B487" s="118"/>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row>
    <row r="488" spans="1:26" ht="14.25" customHeight="1">
      <c r="A488" s="118"/>
      <c r="B488" s="118"/>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row>
    <row r="489" spans="1:26" ht="14.25" customHeight="1">
      <c r="A489" s="118"/>
      <c r="B489" s="118"/>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row>
    <row r="490" spans="1:26" ht="14.25" customHeight="1">
      <c r="A490" s="118"/>
      <c r="B490" s="118"/>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row>
    <row r="491" spans="1:26" ht="14.25" customHeight="1">
      <c r="A491" s="118"/>
      <c r="B491" s="118"/>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row>
    <row r="492" spans="1:26" ht="14.25" customHeight="1">
      <c r="A492" s="118"/>
      <c r="B492" s="118"/>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row>
    <row r="493" spans="1:26" ht="14.25" customHeight="1">
      <c r="A493" s="118"/>
      <c r="B493" s="118"/>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row>
    <row r="494" spans="1:26" ht="14.25" customHeight="1">
      <c r="A494" s="118"/>
      <c r="B494" s="118"/>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row>
    <row r="495" spans="1:26" ht="14.25" customHeight="1">
      <c r="A495" s="118"/>
      <c r="B495" s="118"/>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row>
    <row r="496" spans="1:26" ht="14.25" customHeight="1">
      <c r="A496" s="118"/>
      <c r="B496" s="118"/>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row>
    <row r="497" spans="1:26" ht="14.25" customHeight="1">
      <c r="A497" s="118"/>
      <c r="B497" s="118"/>
      <c r="C497" s="118"/>
      <c r="D497" s="118"/>
      <c r="E497" s="118"/>
      <c r="F497" s="118"/>
      <c r="G497" s="118"/>
      <c r="H497" s="118"/>
      <c r="I497" s="118"/>
      <c r="J497" s="118"/>
      <c r="K497" s="118"/>
      <c r="L497" s="118"/>
      <c r="M497" s="118"/>
      <c r="N497" s="118"/>
      <c r="O497" s="118"/>
      <c r="P497" s="118"/>
      <c r="Q497" s="118"/>
      <c r="R497" s="118"/>
      <c r="S497" s="118"/>
      <c r="T497" s="118"/>
      <c r="U497" s="118"/>
      <c r="V497" s="118"/>
      <c r="W497" s="118"/>
      <c r="X497" s="118"/>
      <c r="Y497" s="118"/>
      <c r="Z497" s="118"/>
    </row>
    <row r="498" spans="1:26" ht="14.25" customHeight="1">
      <c r="A498" s="118"/>
      <c r="B498" s="118"/>
      <c r="C498" s="118"/>
      <c r="D498" s="118"/>
      <c r="E498" s="118"/>
      <c r="F498" s="118"/>
      <c r="G498" s="118"/>
      <c r="H498" s="118"/>
      <c r="I498" s="118"/>
      <c r="J498" s="118"/>
      <c r="K498" s="118"/>
      <c r="L498" s="118"/>
      <c r="M498" s="118"/>
      <c r="N498" s="118"/>
      <c r="O498" s="118"/>
      <c r="P498" s="118"/>
      <c r="Q498" s="118"/>
      <c r="R498" s="118"/>
      <c r="S498" s="118"/>
      <c r="T498" s="118"/>
      <c r="U498" s="118"/>
      <c r="V498" s="118"/>
      <c r="W498" s="118"/>
      <c r="X498" s="118"/>
      <c r="Y498" s="118"/>
      <c r="Z498" s="118"/>
    </row>
    <row r="499" spans="1:26" ht="14.25" customHeight="1">
      <c r="A499" s="118"/>
      <c r="B499" s="118"/>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row>
    <row r="500" spans="1:26" ht="14.25" customHeight="1">
      <c r="A500" s="118"/>
      <c r="B500" s="118"/>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row>
    <row r="501" spans="1:26" ht="14.25" customHeight="1">
      <c r="A501" s="118"/>
      <c r="B501" s="118"/>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row>
    <row r="502" spans="1:26" ht="14.25" customHeight="1">
      <c r="A502" s="118"/>
      <c r="B502" s="118"/>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row>
    <row r="503" spans="1:26" ht="14.25" customHeight="1">
      <c r="A503" s="118"/>
      <c r="B503" s="118"/>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row>
    <row r="504" spans="1:26" ht="14.25" customHeight="1">
      <c r="A504" s="118"/>
      <c r="B504" s="118"/>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row>
    <row r="505" spans="1:26" ht="14.25" customHeight="1">
      <c r="A505" s="118"/>
      <c r="B505" s="118"/>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row>
    <row r="506" spans="1:26" ht="14.25" customHeight="1">
      <c r="A506" s="118"/>
      <c r="B506" s="118"/>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row>
    <row r="507" spans="1:26" ht="14.25" customHeight="1">
      <c r="A507" s="118"/>
      <c r="B507" s="118"/>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row>
    <row r="508" spans="1:26" ht="14.25" customHeight="1">
      <c r="A508" s="118"/>
      <c r="B508" s="118"/>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row>
    <row r="509" spans="1:26" ht="14.25" customHeight="1">
      <c r="A509" s="118"/>
      <c r="B509" s="118"/>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row>
    <row r="510" spans="1:26" ht="14.25" customHeight="1">
      <c r="A510" s="118"/>
      <c r="B510" s="118"/>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row>
    <row r="511" spans="1:26" ht="14.25" customHeight="1">
      <c r="A511" s="118"/>
      <c r="B511" s="118"/>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row>
    <row r="512" spans="1:26" ht="14.25" customHeight="1">
      <c r="A512" s="118"/>
      <c r="B512" s="118"/>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row>
    <row r="513" spans="1:26" ht="14.25" customHeight="1">
      <c r="A513" s="118"/>
      <c r="B513" s="118"/>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row>
    <row r="514" spans="1:26" ht="14.25" customHeight="1">
      <c r="A514" s="118"/>
      <c r="B514" s="118"/>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row>
    <row r="515" spans="1:26" ht="14.25" customHeight="1">
      <c r="A515" s="118"/>
      <c r="B515" s="118"/>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row>
    <row r="516" spans="1:26" ht="14.25" customHeight="1">
      <c r="A516" s="118"/>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row>
    <row r="517" spans="1:26" ht="14.25" customHeight="1">
      <c r="A517" s="118"/>
      <c r="B517" s="118"/>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row>
    <row r="518" spans="1:26" ht="14.25" customHeight="1">
      <c r="A518" s="118"/>
      <c r="B518" s="118"/>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row>
    <row r="519" spans="1:26" ht="14.25" customHeight="1">
      <c r="A519" s="118"/>
      <c r="B519" s="118"/>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row>
    <row r="520" spans="1:26" ht="14.25" customHeight="1">
      <c r="A520" s="118"/>
      <c r="B520" s="118"/>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row>
    <row r="521" spans="1:26" ht="14.25" customHeight="1">
      <c r="A521" s="118"/>
      <c r="B521" s="118"/>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row>
    <row r="522" spans="1:26" ht="14.25" customHeight="1">
      <c r="A522" s="118"/>
      <c r="B522" s="118"/>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row>
    <row r="523" spans="1:26" ht="14.25" customHeight="1">
      <c r="A523" s="118"/>
      <c r="B523" s="118"/>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row>
    <row r="524" spans="1:26" ht="14.25" customHeight="1">
      <c r="A524" s="118"/>
      <c r="B524" s="118"/>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row>
    <row r="525" spans="1:26" ht="14.25" customHeight="1">
      <c r="A525" s="118"/>
      <c r="B525" s="118"/>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row>
    <row r="526" spans="1:26" ht="14.25" customHeight="1">
      <c r="A526" s="118"/>
      <c r="B526" s="118"/>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row>
    <row r="527" spans="1:26" ht="14.25" customHeight="1">
      <c r="A527" s="118"/>
      <c r="B527" s="118"/>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row>
    <row r="528" spans="1:26" ht="14.25" customHeight="1">
      <c r="A528" s="118"/>
      <c r="B528" s="118"/>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row>
    <row r="529" spans="1:26" ht="14.25" customHeight="1">
      <c r="A529" s="118"/>
      <c r="B529" s="118"/>
      <c r="C529" s="118"/>
      <c r="D529" s="118"/>
      <c r="E529" s="118"/>
      <c r="F529" s="118"/>
      <c r="G529" s="118"/>
      <c r="H529" s="118"/>
      <c r="I529" s="118"/>
      <c r="J529" s="118"/>
      <c r="K529" s="118"/>
      <c r="L529" s="118"/>
      <c r="M529" s="118"/>
      <c r="N529" s="118"/>
      <c r="O529" s="118"/>
      <c r="P529" s="118"/>
      <c r="Q529" s="118"/>
      <c r="R529" s="118"/>
      <c r="S529" s="118"/>
      <c r="T529" s="118"/>
      <c r="U529" s="118"/>
      <c r="V529" s="118"/>
      <c r="W529" s="118"/>
      <c r="X529" s="118"/>
      <c r="Y529" s="118"/>
      <c r="Z529" s="118"/>
    </row>
    <row r="530" spans="1:26" ht="14.25" customHeight="1">
      <c r="A530" s="118"/>
      <c r="B530" s="118"/>
      <c r="C530" s="118"/>
      <c r="D530" s="118"/>
      <c r="E530" s="118"/>
      <c r="F530" s="118"/>
      <c r="G530" s="118"/>
      <c r="H530" s="118"/>
      <c r="I530" s="118"/>
      <c r="J530" s="118"/>
      <c r="K530" s="118"/>
      <c r="L530" s="118"/>
      <c r="M530" s="118"/>
      <c r="N530" s="118"/>
      <c r="O530" s="118"/>
      <c r="P530" s="118"/>
      <c r="Q530" s="118"/>
      <c r="R530" s="118"/>
      <c r="S530" s="118"/>
      <c r="T530" s="118"/>
      <c r="U530" s="118"/>
      <c r="V530" s="118"/>
      <c r="W530" s="118"/>
      <c r="X530" s="118"/>
      <c r="Y530" s="118"/>
      <c r="Z530" s="118"/>
    </row>
    <row r="531" spans="1:26" ht="14.25" customHeight="1">
      <c r="A531" s="118"/>
      <c r="B531" s="118"/>
      <c r="C531" s="118"/>
      <c r="D531" s="118"/>
      <c r="E531" s="118"/>
      <c r="F531" s="118"/>
      <c r="G531" s="118"/>
      <c r="H531" s="118"/>
      <c r="I531" s="118"/>
      <c r="J531" s="118"/>
      <c r="K531" s="118"/>
      <c r="L531" s="118"/>
      <c r="M531" s="118"/>
      <c r="N531" s="118"/>
      <c r="O531" s="118"/>
      <c r="P531" s="118"/>
      <c r="Q531" s="118"/>
      <c r="R531" s="118"/>
      <c r="S531" s="118"/>
      <c r="T531" s="118"/>
      <c r="U531" s="118"/>
      <c r="V531" s="118"/>
      <c r="W531" s="118"/>
      <c r="X531" s="118"/>
      <c r="Y531" s="118"/>
      <c r="Z531" s="118"/>
    </row>
    <row r="532" spans="1:26" ht="14.25" customHeight="1">
      <c r="A532" s="118"/>
      <c r="B532" s="118"/>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row>
    <row r="533" spans="1:26" ht="14.25" customHeight="1">
      <c r="A533" s="118"/>
      <c r="B533" s="118"/>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row>
    <row r="534" spans="1:26" ht="14.25" customHeight="1">
      <c r="A534" s="118"/>
      <c r="B534" s="118"/>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row>
    <row r="535" spans="1:26" ht="14.25" customHeight="1">
      <c r="A535" s="118"/>
      <c r="B535" s="118"/>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row>
    <row r="536" spans="1:26" ht="14.25" customHeight="1">
      <c r="A536" s="118"/>
      <c r="B536" s="118"/>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row>
    <row r="537" spans="1:26" ht="14.25" customHeight="1">
      <c r="A537" s="118"/>
      <c r="B537" s="118"/>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row>
    <row r="538" spans="1:26" ht="14.25" customHeight="1">
      <c r="A538" s="118"/>
      <c r="B538" s="118"/>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row>
    <row r="539" spans="1:26" ht="14.25" customHeight="1">
      <c r="A539" s="118"/>
      <c r="B539" s="118"/>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row>
    <row r="540" spans="1:26" ht="14.25" customHeight="1">
      <c r="A540" s="118"/>
      <c r="B540" s="118"/>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row>
    <row r="541" spans="1:26" ht="14.25" customHeight="1">
      <c r="A541" s="118"/>
      <c r="B541" s="118"/>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row>
    <row r="542" spans="1:26" ht="14.25" customHeight="1">
      <c r="A542" s="118"/>
      <c r="B542" s="118"/>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row>
    <row r="543" spans="1:26" ht="14.25" customHeight="1">
      <c r="A543" s="118"/>
      <c r="B543" s="118"/>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row>
    <row r="544" spans="1:26" ht="14.25" customHeight="1">
      <c r="A544" s="118"/>
      <c r="B544" s="118"/>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row>
    <row r="545" spans="1:26" ht="14.25" customHeight="1">
      <c r="A545" s="118"/>
      <c r="B545" s="118"/>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row>
    <row r="546" spans="1:26" ht="14.25" customHeight="1">
      <c r="A546" s="118"/>
      <c r="B546" s="118"/>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row>
    <row r="547" spans="1:26" ht="14.25" customHeight="1">
      <c r="A547" s="118"/>
      <c r="B547" s="118"/>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row>
    <row r="548" spans="1:26" ht="14.25" customHeight="1">
      <c r="A548" s="118"/>
      <c r="B548" s="118"/>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row>
    <row r="549" spans="1:26" ht="14.25" customHeight="1">
      <c r="A549" s="118"/>
      <c r="B549" s="118"/>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row>
    <row r="550" spans="1:26" ht="14.25" customHeight="1">
      <c r="A550" s="118"/>
      <c r="B550" s="118"/>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row>
    <row r="551" spans="1:26" ht="14.25" customHeight="1">
      <c r="A551" s="118"/>
      <c r="B551" s="118"/>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row>
    <row r="552" spans="1:26" ht="14.25" customHeight="1">
      <c r="A552" s="118"/>
      <c r="B552" s="118"/>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row>
    <row r="553" spans="1:26" ht="14.25" customHeight="1">
      <c r="A553" s="118"/>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row>
    <row r="554" spans="1:26" ht="14.25" customHeight="1">
      <c r="A554" s="118"/>
      <c r="B554" s="118"/>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row>
    <row r="555" spans="1:26" ht="14.25" customHeight="1">
      <c r="A555" s="118"/>
      <c r="B555" s="118"/>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row>
    <row r="556" spans="1:26" ht="14.25" customHeight="1">
      <c r="A556" s="118"/>
      <c r="B556" s="118"/>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row>
    <row r="557" spans="1:26" ht="14.25" customHeight="1">
      <c r="A557" s="118"/>
      <c r="B557" s="118"/>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row>
    <row r="558" spans="1:26" ht="14.25" customHeight="1">
      <c r="A558" s="118"/>
      <c r="B558" s="118"/>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row>
    <row r="559" spans="1:26" ht="14.25" customHeight="1">
      <c r="A559" s="118"/>
      <c r="B559" s="118"/>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row>
    <row r="560" spans="1:26" ht="14.25" customHeight="1">
      <c r="A560" s="118"/>
      <c r="B560" s="118"/>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row>
    <row r="561" spans="1:26" ht="14.25" customHeight="1">
      <c r="A561" s="118"/>
      <c r="B561" s="118"/>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row>
    <row r="562" spans="1:26" ht="14.25" customHeight="1">
      <c r="A562" s="118"/>
      <c r="B562" s="118"/>
      <c r="C562" s="118"/>
      <c r="D562" s="118"/>
      <c r="E562" s="118"/>
      <c r="F562" s="118"/>
      <c r="G562" s="118"/>
      <c r="H562" s="118"/>
      <c r="I562" s="118"/>
      <c r="J562" s="118"/>
      <c r="K562" s="118"/>
      <c r="L562" s="118"/>
      <c r="M562" s="118"/>
      <c r="N562" s="118"/>
      <c r="O562" s="118"/>
      <c r="P562" s="118"/>
      <c r="Q562" s="118"/>
      <c r="R562" s="118"/>
      <c r="S562" s="118"/>
      <c r="T562" s="118"/>
      <c r="U562" s="118"/>
      <c r="V562" s="118"/>
      <c r="W562" s="118"/>
      <c r="X562" s="118"/>
      <c r="Y562" s="118"/>
      <c r="Z562" s="118"/>
    </row>
    <row r="563" spans="1:26" ht="14.25" customHeight="1">
      <c r="A563" s="118"/>
      <c r="B563" s="118"/>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row>
    <row r="564" spans="1:26" ht="14.25" customHeight="1">
      <c r="A564" s="118"/>
      <c r="B564" s="118"/>
      <c r="C564" s="118"/>
      <c r="D564" s="118"/>
      <c r="E564" s="118"/>
      <c r="F564" s="118"/>
      <c r="G564" s="118"/>
      <c r="H564" s="118"/>
      <c r="I564" s="118"/>
      <c r="J564" s="118"/>
      <c r="K564" s="118"/>
      <c r="L564" s="118"/>
      <c r="M564" s="118"/>
      <c r="N564" s="118"/>
      <c r="O564" s="118"/>
      <c r="P564" s="118"/>
      <c r="Q564" s="118"/>
      <c r="R564" s="118"/>
      <c r="S564" s="118"/>
      <c r="T564" s="118"/>
      <c r="U564" s="118"/>
      <c r="V564" s="118"/>
      <c r="W564" s="118"/>
      <c r="X564" s="118"/>
      <c r="Y564" s="118"/>
      <c r="Z564" s="118"/>
    </row>
    <row r="565" spans="1:26" ht="14.25" customHeight="1">
      <c r="A565" s="118"/>
      <c r="B565" s="118"/>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row>
    <row r="566" spans="1:26" ht="14.25" customHeight="1">
      <c r="A566" s="118"/>
      <c r="B566" s="118"/>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row>
    <row r="567" spans="1:26" ht="14.25" customHeight="1">
      <c r="A567" s="118"/>
      <c r="B567" s="118"/>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row>
    <row r="568" spans="1:26" ht="14.25" customHeight="1">
      <c r="A568" s="118"/>
      <c r="B568" s="118"/>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row>
    <row r="569" spans="1:26" ht="14.25" customHeight="1">
      <c r="A569" s="118"/>
      <c r="B569" s="118"/>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row>
    <row r="570" spans="1:26" ht="14.25" customHeight="1">
      <c r="A570" s="118"/>
      <c r="B570" s="118"/>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row>
    <row r="571" spans="1:26" ht="14.25" customHeight="1">
      <c r="A571" s="118"/>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row>
    <row r="572" spans="1:26" ht="14.25" customHeight="1">
      <c r="A572" s="118"/>
      <c r="B572" s="118"/>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row>
    <row r="573" spans="1:26" ht="14.25" customHeight="1">
      <c r="A573" s="118"/>
      <c r="B573" s="118"/>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row>
    <row r="574" spans="1:26" ht="14.25" customHeight="1">
      <c r="A574" s="118"/>
      <c r="B574" s="118"/>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row>
    <row r="575" spans="1:26" ht="14.25" customHeight="1">
      <c r="A575" s="118"/>
      <c r="B575" s="118"/>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row>
    <row r="576" spans="1:26" ht="14.25" customHeight="1">
      <c r="A576" s="118"/>
      <c r="B576" s="118"/>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row>
    <row r="577" spans="1:26" ht="14.25" customHeight="1">
      <c r="A577" s="118"/>
      <c r="B577" s="118"/>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row>
    <row r="578" spans="1:26" ht="14.25" customHeight="1">
      <c r="A578" s="118"/>
      <c r="B578" s="118"/>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row>
    <row r="579" spans="1:26" ht="14.25" customHeight="1">
      <c r="A579" s="118"/>
      <c r="B579" s="118"/>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row>
    <row r="580" spans="1:26" ht="14.25" customHeight="1">
      <c r="A580" s="118"/>
      <c r="B580" s="118"/>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row>
    <row r="581" spans="1:26" ht="14.25" customHeight="1">
      <c r="A581" s="118"/>
      <c r="B581" s="118"/>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row>
    <row r="582" spans="1:26" ht="14.25" customHeight="1">
      <c r="A582" s="118"/>
      <c r="B582" s="118"/>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row>
    <row r="583" spans="1:26" ht="14.25" customHeight="1">
      <c r="A583" s="118"/>
      <c r="B583" s="118"/>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row>
    <row r="584" spans="1:26" ht="14.25" customHeight="1">
      <c r="A584" s="118"/>
      <c r="B584" s="118"/>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row>
    <row r="585" spans="1:26" ht="14.25" customHeight="1">
      <c r="A585" s="118"/>
      <c r="B585" s="118"/>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row>
    <row r="586" spans="1:26" ht="14.25" customHeight="1">
      <c r="A586" s="118"/>
      <c r="B586" s="118"/>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row>
    <row r="587" spans="1:26" ht="14.25" customHeight="1">
      <c r="A587" s="118"/>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row>
    <row r="588" spans="1:26" ht="14.25" customHeight="1">
      <c r="A588" s="118"/>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row>
    <row r="589" spans="1:26" ht="14.25" customHeight="1">
      <c r="A589" s="118"/>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row>
    <row r="590" spans="1:26" ht="14.25" customHeight="1">
      <c r="A590" s="118"/>
      <c r="B590" s="118"/>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row>
    <row r="591" spans="1:26" ht="14.25" customHeight="1">
      <c r="A591" s="118"/>
      <c r="B591" s="118"/>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row>
    <row r="592" spans="1:26" ht="14.25" customHeight="1">
      <c r="A592" s="118"/>
      <c r="B592" s="118"/>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row>
    <row r="593" spans="1:26" ht="14.25" customHeight="1">
      <c r="A593" s="118"/>
      <c r="B593" s="118"/>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row>
    <row r="594" spans="1:26" ht="14.25" customHeight="1">
      <c r="A594" s="118"/>
      <c r="B594" s="118"/>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row>
    <row r="595" spans="1:26" ht="14.25" customHeight="1">
      <c r="A595" s="118"/>
      <c r="B595" s="118"/>
      <c r="C595" s="118"/>
      <c r="D595" s="118"/>
      <c r="E595" s="118"/>
      <c r="F595" s="118"/>
      <c r="G595" s="118"/>
      <c r="H595" s="118"/>
      <c r="I595" s="118"/>
      <c r="J595" s="118"/>
      <c r="K595" s="118"/>
      <c r="L595" s="118"/>
      <c r="M595" s="118"/>
      <c r="N595" s="118"/>
      <c r="O595" s="118"/>
      <c r="P595" s="118"/>
      <c r="Q595" s="118"/>
      <c r="R595" s="118"/>
      <c r="S595" s="118"/>
      <c r="T595" s="118"/>
      <c r="U595" s="118"/>
      <c r="V595" s="118"/>
      <c r="W595" s="118"/>
      <c r="X595" s="118"/>
      <c r="Y595" s="118"/>
      <c r="Z595" s="118"/>
    </row>
    <row r="596" spans="1:26" ht="14.25" customHeight="1">
      <c r="A596" s="118"/>
      <c r="B596" s="118"/>
      <c r="C596" s="118"/>
      <c r="D596" s="118"/>
      <c r="E596" s="118"/>
      <c r="F596" s="118"/>
      <c r="G596" s="118"/>
      <c r="H596" s="118"/>
      <c r="I596" s="118"/>
      <c r="J596" s="118"/>
      <c r="K596" s="118"/>
      <c r="L596" s="118"/>
      <c r="M596" s="118"/>
      <c r="N596" s="118"/>
      <c r="O596" s="118"/>
      <c r="P596" s="118"/>
      <c r="Q596" s="118"/>
      <c r="R596" s="118"/>
      <c r="S596" s="118"/>
      <c r="T596" s="118"/>
      <c r="U596" s="118"/>
      <c r="V596" s="118"/>
      <c r="W596" s="118"/>
      <c r="X596" s="118"/>
      <c r="Y596" s="118"/>
      <c r="Z596" s="118"/>
    </row>
    <row r="597" spans="1:26" ht="14.25" customHeight="1">
      <c r="A597" s="118"/>
      <c r="B597" s="118"/>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row>
    <row r="598" spans="1:26" ht="14.25" customHeight="1">
      <c r="A598" s="118"/>
      <c r="B598" s="118"/>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row>
    <row r="599" spans="1:26" ht="14.25" customHeight="1">
      <c r="A599" s="118"/>
      <c r="B599" s="118"/>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row>
    <row r="600" spans="1:26" ht="14.25" customHeight="1">
      <c r="A600" s="118"/>
      <c r="B600" s="118"/>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row>
    <row r="601" spans="1:26" ht="14.25" customHeight="1">
      <c r="A601" s="118"/>
      <c r="B601" s="118"/>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row>
    <row r="602" spans="1:26" ht="14.25" customHeight="1">
      <c r="A602" s="118"/>
      <c r="B602" s="118"/>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row>
    <row r="603" spans="1:26" ht="14.25" customHeight="1">
      <c r="A603" s="118"/>
      <c r="B603" s="118"/>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row>
    <row r="604" spans="1:26" ht="14.25" customHeight="1">
      <c r="A604" s="118"/>
      <c r="B604" s="118"/>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row>
    <row r="605" spans="1:26" ht="14.25" customHeight="1">
      <c r="A605" s="118"/>
      <c r="B605" s="118"/>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row>
    <row r="606" spans="1:26" ht="14.25" customHeight="1">
      <c r="A606" s="118"/>
      <c r="B606" s="118"/>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row>
    <row r="607" spans="1:26" ht="14.25" customHeight="1">
      <c r="A607" s="118"/>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row>
    <row r="608" spans="1:26" ht="14.25" customHeight="1">
      <c r="A608" s="118"/>
      <c r="B608" s="118"/>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row>
    <row r="609" spans="1:26" ht="14.25" customHeight="1">
      <c r="A609" s="118"/>
      <c r="B609" s="118"/>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row>
    <row r="610" spans="1:26" ht="14.25" customHeight="1">
      <c r="A610" s="118"/>
      <c r="B610" s="118"/>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row>
    <row r="611" spans="1:26" ht="14.25" customHeight="1">
      <c r="A611" s="118"/>
      <c r="B611" s="118"/>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row>
    <row r="612" spans="1:26" ht="14.25" customHeight="1">
      <c r="A612" s="118"/>
      <c r="B612" s="118"/>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row>
    <row r="613" spans="1:26" ht="14.25" customHeight="1">
      <c r="A613" s="118"/>
      <c r="B613" s="118"/>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row>
    <row r="614" spans="1:26" ht="14.25" customHeight="1">
      <c r="A614" s="118"/>
      <c r="B614" s="118"/>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row>
    <row r="615" spans="1:26" ht="14.25" customHeight="1">
      <c r="A615" s="118"/>
      <c r="B615" s="118"/>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row>
    <row r="616" spans="1:26" ht="14.25" customHeight="1">
      <c r="A616" s="118"/>
      <c r="B616" s="118"/>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row>
    <row r="617" spans="1:26" ht="14.25" customHeight="1">
      <c r="A617" s="118"/>
      <c r="B617" s="118"/>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row>
    <row r="618" spans="1:26" ht="14.25" customHeight="1">
      <c r="A618" s="118"/>
      <c r="B618" s="118"/>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row>
    <row r="619" spans="1:26" ht="14.25" customHeight="1">
      <c r="A619" s="118"/>
      <c r="B619" s="118"/>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row>
    <row r="620" spans="1:26" ht="14.25" customHeight="1">
      <c r="A620" s="118"/>
      <c r="B620" s="118"/>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row>
    <row r="621" spans="1:26" ht="14.25" customHeight="1">
      <c r="A621" s="118"/>
      <c r="B621" s="118"/>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row>
    <row r="622" spans="1:26" ht="14.25" customHeight="1">
      <c r="A622" s="118"/>
      <c r="B622" s="118"/>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row>
    <row r="623" spans="1:26" ht="14.25" customHeight="1">
      <c r="A623" s="118"/>
      <c r="B623" s="118"/>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row>
    <row r="624" spans="1:26" ht="14.25" customHeight="1">
      <c r="A624" s="118"/>
      <c r="B624" s="118"/>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row>
    <row r="625" spans="1:26" ht="14.25" customHeight="1">
      <c r="A625" s="118"/>
      <c r="B625" s="118"/>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row>
    <row r="626" spans="1:26" ht="14.25" customHeight="1">
      <c r="A626" s="118"/>
      <c r="B626" s="118"/>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row>
    <row r="627" spans="1:26" ht="14.25" customHeight="1">
      <c r="A627" s="118"/>
      <c r="B627" s="118"/>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row>
    <row r="628" spans="1:26" ht="14.25" customHeight="1">
      <c r="A628" s="118"/>
      <c r="B628" s="118"/>
      <c r="C628" s="118"/>
      <c r="D628" s="118"/>
      <c r="E628" s="118"/>
      <c r="F628" s="118"/>
      <c r="G628" s="118"/>
      <c r="H628" s="118"/>
      <c r="I628" s="118"/>
      <c r="J628" s="118"/>
      <c r="K628" s="118"/>
      <c r="L628" s="118"/>
      <c r="M628" s="118"/>
      <c r="N628" s="118"/>
      <c r="O628" s="118"/>
      <c r="P628" s="118"/>
      <c r="Q628" s="118"/>
      <c r="R628" s="118"/>
      <c r="S628" s="118"/>
      <c r="T628" s="118"/>
      <c r="U628" s="118"/>
      <c r="V628" s="118"/>
      <c r="W628" s="118"/>
      <c r="X628" s="118"/>
      <c r="Y628" s="118"/>
      <c r="Z628" s="118"/>
    </row>
    <row r="629" spans="1:26" ht="14.25" customHeight="1">
      <c r="A629" s="118"/>
      <c r="B629" s="118"/>
      <c r="C629" s="118"/>
      <c r="D629" s="118"/>
      <c r="E629" s="118"/>
      <c r="F629" s="118"/>
      <c r="G629" s="118"/>
      <c r="H629" s="118"/>
      <c r="I629" s="118"/>
      <c r="J629" s="118"/>
      <c r="K629" s="118"/>
      <c r="L629" s="118"/>
      <c r="M629" s="118"/>
      <c r="N629" s="118"/>
      <c r="O629" s="118"/>
      <c r="P629" s="118"/>
      <c r="Q629" s="118"/>
      <c r="R629" s="118"/>
      <c r="S629" s="118"/>
      <c r="T629" s="118"/>
      <c r="U629" s="118"/>
      <c r="V629" s="118"/>
      <c r="W629" s="118"/>
      <c r="X629" s="118"/>
      <c r="Y629" s="118"/>
      <c r="Z629" s="118"/>
    </row>
    <row r="630" spans="1:26" ht="14.25" customHeight="1">
      <c r="A630" s="118"/>
      <c r="B630" s="118"/>
      <c r="C630" s="118"/>
      <c r="D630" s="118"/>
      <c r="E630" s="118"/>
      <c r="F630" s="118"/>
      <c r="G630" s="118"/>
      <c r="H630" s="118"/>
      <c r="I630" s="118"/>
      <c r="J630" s="118"/>
      <c r="K630" s="118"/>
      <c r="L630" s="118"/>
      <c r="M630" s="118"/>
      <c r="N630" s="118"/>
      <c r="O630" s="118"/>
      <c r="P630" s="118"/>
      <c r="Q630" s="118"/>
      <c r="R630" s="118"/>
      <c r="S630" s="118"/>
      <c r="T630" s="118"/>
      <c r="U630" s="118"/>
      <c r="V630" s="118"/>
      <c r="W630" s="118"/>
      <c r="X630" s="118"/>
      <c r="Y630" s="118"/>
      <c r="Z630" s="118"/>
    </row>
    <row r="631" spans="1:26" ht="14.25" customHeight="1">
      <c r="A631" s="118"/>
      <c r="B631" s="118"/>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row>
    <row r="632" spans="1:26" ht="14.25" customHeight="1">
      <c r="A632" s="118"/>
      <c r="B632" s="118"/>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row>
    <row r="633" spans="1:26" ht="14.25" customHeight="1">
      <c r="A633" s="118"/>
      <c r="B633" s="118"/>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row>
    <row r="634" spans="1:26" ht="14.25" customHeight="1">
      <c r="A634" s="118"/>
      <c r="B634" s="118"/>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row>
    <row r="635" spans="1:26" ht="14.25" customHeight="1">
      <c r="A635" s="118"/>
      <c r="B635" s="118"/>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row>
    <row r="636" spans="1:26" ht="14.25" customHeight="1">
      <c r="A636" s="118"/>
      <c r="B636" s="118"/>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row>
    <row r="637" spans="1:26" ht="14.25" customHeight="1">
      <c r="A637" s="118"/>
      <c r="B637" s="118"/>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row>
    <row r="638" spans="1:26" ht="14.25" customHeight="1">
      <c r="A638" s="118"/>
      <c r="B638" s="118"/>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row>
    <row r="639" spans="1:26" ht="14.25" customHeight="1">
      <c r="A639" s="118"/>
      <c r="B639" s="118"/>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row>
    <row r="640" spans="1:26" ht="14.25" customHeight="1">
      <c r="A640" s="118"/>
      <c r="B640" s="118"/>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row>
    <row r="641" spans="1:26" ht="14.25" customHeight="1">
      <c r="A641" s="118"/>
      <c r="B641" s="118"/>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row>
    <row r="642" spans="1:26" ht="14.25" customHeight="1">
      <c r="A642" s="118"/>
      <c r="B642" s="118"/>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row>
    <row r="643" spans="1:26" ht="14.25" customHeight="1">
      <c r="A643" s="118"/>
      <c r="B643" s="118"/>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row>
    <row r="644" spans="1:26" ht="14.25" customHeight="1">
      <c r="A644" s="118"/>
      <c r="B644" s="118"/>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row>
    <row r="645" spans="1:26" ht="14.25" customHeight="1">
      <c r="A645" s="118"/>
      <c r="B645" s="118"/>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row>
    <row r="646" spans="1:26" ht="14.25" customHeight="1">
      <c r="A646" s="118"/>
      <c r="B646" s="118"/>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row>
    <row r="647" spans="1:26" ht="14.25" customHeight="1">
      <c r="A647" s="118"/>
      <c r="B647" s="118"/>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row>
    <row r="648" spans="1:26" ht="14.25" customHeight="1">
      <c r="A648" s="118"/>
      <c r="B648" s="118"/>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row>
    <row r="649" spans="1:26" ht="14.25" customHeight="1">
      <c r="A649" s="118"/>
      <c r="B649" s="118"/>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row>
    <row r="650" spans="1:26" ht="14.25" customHeight="1">
      <c r="A650" s="118"/>
      <c r="B650" s="118"/>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row>
    <row r="651" spans="1:26" ht="14.25" customHeight="1">
      <c r="A651" s="118"/>
      <c r="B651" s="118"/>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row>
    <row r="652" spans="1:26" ht="14.25" customHeight="1">
      <c r="A652" s="118"/>
      <c r="B652" s="118"/>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row>
    <row r="653" spans="1:26" ht="14.25" customHeight="1">
      <c r="A653" s="118"/>
      <c r="B653" s="118"/>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row>
    <row r="654" spans="1:26" ht="14.25" customHeight="1">
      <c r="A654" s="118"/>
      <c r="B654" s="118"/>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row>
    <row r="655" spans="1:26" ht="14.25" customHeight="1">
      <c r="A655" s="118"/>
      <c r="B655" s="118"/>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row>
    <row r="656" spans="1:26" ht="14.25" customHeight="1">
      <c r="A656" s="118"/>
      <c r="B656" s="118"/>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row>
    <row r="657" spans="1:26" ht="14.25" customHeight="1">
      <c r="A657" s="118"/>
      <c r="B657" s="118"/>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row>
    <row r="658" spans="1:26" ht="14.25" customHeight="1">
      <c r="A658" s="118"/>
      <c r="B658" s="118"/>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row>
    <row r="659" spans="1:26" ht="14.25" customHeight="1">
      <c r="A659" s="118"/>
      <c r="B659" s="118"/>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row>
    <row r="660" spans="1:26" ht="14.25" customHeight="1">
      <c r="A660" s="118"/>
      <c r="B660" s="118"/>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row>
    <row r="661" spans="1:26" ht="14.25" customHeight="1">
      <c r="A661" s="118"/>
      <c r="B661" s="118"/>
      <c r="C661" s="118"/>
      <c r="D661" s="118"/>
      <c r="E661" s="118"/>
      <c r="F661" s="118"/>
      <c r="G661" s="118"/>
      <c r="H661" s="118"/>
      <c r="I661" s="118"/>
      <c r="J661" s="118"/>
      <c r="K661" s="118"/>
      <c r="L661" s="118"/>
      <c r="M661" s="118"/>
      <c r="N661" s="118"/>
      <c r="O661" s="118"/>
      <c r="P661" s="118"/>
      <c r="Q661" s="118"/>
      <c r="R661" s="118"/>
      <c r="S661" s="118"/>
      <c r="T661" s="118"/>
      <c r="U661" s="118"/>
      <c r="V661" s="118"/>
      <c r="W661" s="118"/>
      <c r="X661" s="118"/>
      <c r="Y661" s="118"/>
      <c r="Z661" s="118"/>
    </row>
    <row r="662" spans="1:26" ht="14.25" customHeight="1">
      <c r="A662" s="118"/>
      <c r="B662" s="118"/>
      <c r="C662" s="118"/>
      <c r="D662" s="118"/>
      <c r="E662" s="118"/>
      <c r="F662" s="118"/>
      <c r="G662" s="118"/>
      <c r="H662" s="118"/>
      <c r="I662" s="118"/>
      <c r="J662" s="118"/>
      <c r="K662" s="118"/>
      <c r="L662" s="118"/>
      <c r="M662" s="118"/>
      <c r="N662" s="118"/>
      <c r="O662" s="118"/>
      <c r="P662" s="118"/>
      <c r="Q662" s="118"/>
      <c r="R662" s="118"/>
      <c r="S662" s="118"/>
      <c r="T662" s="118"/>
      <c r="U662" s="118"/>
      <c r="V662" s="118"/>
      <c r="W662" s="118"/>
      <c r="X662" s="118"/>
      <c r="Y662" s="118"/>
      <c r="Z662" s="118"/>
    </row>
    <row r="663" spans="1:26" ht="14.25" customHeight="1">
      <c r="A663" s="118"/>
      <c r="B663" s="118"/>
      <c r="C663" s="118"/>
      <c r="D663" s="118"/>
      <c r="E663" s="118"/>
      <c r="F663" s="118"/>
      <c r="G663" s="118"/>
      <c r="H663" s="118"/>
      <c r="I663" s="118"/>
      <c r="J663" s="118"/>
      <c r="K663" s="118"/>
      <c r="L663" s="118"/>
      <c r="M663" s="118"/>
      <c r="N663" s="118"/>
      <c r="O663" s="118"/>
      <c r="P663" s="118"/>
      <c r="Q663" s="118"/>
      <c r="R663" s="118"/>
      <c r="S663" s="118"/>
      <c r="T663" s="118"/>
      <c r="U663" s="118"/>
      <c r="V663" s="118"/>
      <c r="W663" s="118"/>
      <c r="X663" s="118"/>
      <c r="Y663" s="118"/>
      <c r="Z663" s="118"/>
    </row>
    <row r="664" spans="1:26" ht="14.25" customHeight="1">
      <c r="A664" s="118"/>
      <c r="B664" s="118"/>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row>
    <row r="665" spans="1:26" ht="14.25" customHeight="1">
      <c r="A665" s="118"/>
      <c r="B665" s="118"/>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row>
    <row r="666" spans="1:26" ht="14.25" customHeight="1">
      <c r="A666" s="118"/>
      <c r="B666" s="118"/>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row>
    <row r="667" spans="1:26" ht="14.25" customHeight="1">
      <c r="A667" s="118"/>
      <c r="B667" s="118"/>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row>
    <row r="668" spans="1:26" ht="14.25" customHeight="1">
      <c r="A668" s="118"/>
      <c r="B668" s="118"/>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row>
    <row r="669" spans="1:26" ht="14.25" customHeight="1">
      <c r="A669" s="118"/>
      <c r="B669" s="118"/>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row>
    <row r="670" spans="1:26" ht="14.25" customHeight="1">
      <c r="A670" s="118"/>
      <c r="B670" s="118"/>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row>
    <row r="671" spans="1:26" ht="14.25" customHeight="1">
      <c r="A671" s="118"/>
      <c r="B671" s="118"/>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row>
    <row r="672" spans="1:26" ht="14.25" customHeight="1">
      <c r="A672" s="118"/>
      <c r="B672" s="118"/>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row>
    <row r="673" spans="1:26" ht="14.25" customHeight="1">
      <c r="A673" s="118"/>
      <c r="B673" s="118"/>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row>
    <row r="674" spans="1:26" ht="14.25" customHeight="1">
      <c r="A674" s="118"/>
      <c r="B674" s="118"/>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row>
    <row r="675" spans="1:26" ht="14.25" customHeight="1">
      <c r="A675" s="118"/>
      <c r="B675" s="118"/>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row>
    <row r="676" spans="1:26" ht="14.25" customHeight="1">
      <c r="A676" s="118"/>
      <c r="B676" s="118"/>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row>
    <row r="677" spans="1:26" ht="14.25" customHeight="1">
      <c r="A677" s="118"/>
      <c r="B677" s="118"/>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row>
    <row r="678" spans="1:26" ht="14.25" customHeight="1">
      <c r="A678" s="118"/>
      <c r="B678" s="118"/>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row>
    <row r="679" spans="1:26" ht="14.25" customHeight="1">
      <c r="A679" s="118"/>
      <c r="B679" s="118"/>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row>
    <row r="680" spans="1:26" ht="14.25" customHeight="1">
      <c r="A680" s="118"/>
      <c r="B680" s="118"/>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row>
    <row r="681" spans="1:26" ht="14.25" customHeight="1">
      <c r="A681" s="118"/>
      <c r="B681" s="118"/>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row>
    <row r="682" spans="1:26" ht="14.25" customHeight="1">
      <c r="A682" s="118"/>
      <c r="B682" s="118"/>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row>
    <row r="683" spans="1:26" ht="14.25" customHeight="1">
      <c r="A683" s="118"/>
      <c r="B683" s="118"/>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row>
    <row r="684" spans="1:26" ht="14.25" customHeight="1">
      <c r="A684" s="118"/>
      <c r="B684" s="118"/>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row>
    <row r="685" spans="1:26" ht="14.25" customHeight="1">
      <c r="A685" s="118"/>
      <c r="B685" s="118"/>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row>
    <row r="686" spans="1:26" ht="14.25" customHeight="1">
      <c r="A686" s="118"/>
      <c r="B686" s="118"/>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row>
    <row r="687" spans="1:26" ht="14.25" customHeight="1">
      <c r="A687" s="118"/>
      <c r="B687" s="118"/>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row>
    <row r="688" spans="1:26" ht="14.25" customHeight="1">
      <c r="A688" s="118"/>
      <c r="B688" s="118"/>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row>
    <row r="689" spans="1:26" ht="14.25" customHeight="1">
      <c r="A689" s="118"/>
      <c r="B689" s="118"/>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row>
    <row r="690" spans="1:26" ht="14.25" customHeight="1">
      <c r="A690" s="118"/>
      <c r="B690" s="118"/>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row>
    <row r="691" spans="1:26" ht="14.25" customHeight="1">
      <c r="A691" s="118"/>
      <c r="B691" s="118"/>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row>
    <row r="692" spans="1:26" ht="14.25" customHeight="1">
      <c r="A692" s="118"/>
      <c r="B692" s="118"/>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row>
    <row r="693" spans="1:26" ht="14.25" customHeight="1">
      <c r="A693" s="118"/>
      <c r="B693" s="118"/>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row>
    <row r="694" spans="1:26" ht="14.25" customHeight="1">
      <c r="A694" s="118"/>
      <c r="B694" s="118"/>
      <c r="C694" s="118"/>
      <c r="D694" s="118"/>
      <c r="E694" s="118"/>
      <c r="F694" s="118"/>
      <c r="G694" s="118"/>
      <c r="H694" s="118"/>
      <c r="I694" s="118"/>
      <c r="J694" s="118"/>
      <c r="K694" s="118"/>
      <c r="L694" s="118"/>
      <c r="M694" s="118"/>
      <c r="N694" s="118"/>
      <c r="O694" s="118"/>
      <c r="P694" s="118"/>
      <c r="Q694" s="118"/>
      <c r="R694" s="118"/>
      <c r="S694" s="118"/>
      <c r="T694" s="118"/>
      <c r="U694" s="118"/>
      <c r="V694" s="118"/>
      <c r="W694" s="118"/>
      <c r="X694" s="118"/>
      <c r="Y694" s="118"/>
      <c r="Z694" s="118"/>
    </row>
    <row r="695" spans="1:26" ht="14.25" customHeight="1">
      <c r="A695" s="118"/>
      <c r="B695" s="118"/>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row>
    <row r="696" spans="1:26" ht="14.25" customHeight="1">
      <c r="A696" s="118"/>
      <c r="B696" s="118"/>
      <c r="C696" s="118"/>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row>
    <row r="697" spans="1:26" ht="14.25" customHeight="1">
      <c r="A697" s="118"/>
      <c r="B697" s="118"/>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row>
    <row r="698" spans="1:26" ht="14.25" customHeight="1">
      <c r="A698" s="118"/>
      <c r="B698" s="118"/>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row>
    <row r="699" spans="1:26" ht="14.25" customHeight="1">
      <c r="A699" s="118"/>
      <c r="B699" s="118"/>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row>
    <row r="700" spans="1:26" ht="14.25" customHeight="1">
      <c r="A700" s="118"/>
      <c r="B700" s="118"/>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row>
    <row r="701" spans="1:26" ht="14.25" customHeight="1">
      <c r="A701" s="118"/>
      <c r="B701" s="118"/>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row>
    <row r="702" spans="1:26" ht="14.25" customHeight="1">
      <c r="A702" s="118"/>
      <c r="B702" s="118"/>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row>
    <row r="703" spans="1:26" ht="14.25" customHeight="1">
      <c r="A703" s="118"/>
      <c r="B703" s="118"/>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row>
    <row r="704" spans="1:26" ht="14.25" customHeight="1">
      <c r="A704" s="118"/>
      <c r="B704" s="118"/>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row>
    <row r="705" spans="1:26" ht="14.25" customHeight="1">
      <c r="A705" s="118"/>
      <c r="B705" s="118"/>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row>
    <row r="706" spans="1:26" ht="14.25" customHeight="1">
      <c r="A706" s="118"/>
      <c r="B706" s="118"/>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row>
    <row r="707" spans="1:26" ht="14.25" customHeight="1">
      <c r="A707" s="118"/>
      <c r="B707" s="118"/>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row>
    <row r="708" spans="1:26" ht="14.25" customHeight="1">
      <c r="A708" s="118"/>
      <c r="B708" s="118"/>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row>
    <row r="709" spans="1:26" ht="14.25" customHeight="1">
      <c r="A709" s="118"/>
      <c r="B709" s="118"/>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row>
    <row r="710" spans="1:26" ht="14.25" customHeight="1">
      <c r="A710" s="118"/>
      <c r="B710" s="118"/>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row>
    <row r="711" spans="1:26" ht="14.25" customHeight="1">
      <c r="A711" s="118"/>
      <c r="B711" s="118"/>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row>
    <row r="712" spans="1:26" ht="14.25" customHeight="1">
      <c r="A712" s="118"/>
      <c r="B712" s="118"/>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row>
    <row r="713" spans="1:26" ht="14.25" customHeight="1">
      <c r="A713" s="118"/>
      <c r="B713" s="118"/>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row>
    <row r="714" spans="1:26" ht="14.25" customHeight="1">
      <c r="A714" s="118"/>
      <c r="B714" s="118"/>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row>
    <row r="715" spans="1:26" ht="14.25" customHeight="1">
      <c r="A715" s="118"/>
      <c r="B715" s="118"/>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row>
    <row r="716" spans="1:26" ht="14.25" customHeight="1">
      <c r="A716" s="118"/>
      <c r="B716" s="118"/>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row>
    <row r="717" spans="1:26" ht="14.25" customHeight="1">
      <c r="A717" s="118"/>
      <c r="B717" s="118"/>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row>
    <row r="718" spans="1:26" ht="14.25" customHeight="1">
      <c r="A718" s="118"/>
      <c r="B718" s="118"/>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row>
    <row r="719" spans="1:26" ht="14.25" customHeight="1">
      <c r="A719" s="118"/>
      <c r="B719" s="118"/>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row>
    <row r="720" spans="1:26" ht="14.25" customHeight="1">
      <c r="A720" s="118"/>
      <c r="B720" s="118"/>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row>
    <row r="721" spans="1:26" ht="14.25" customHeight="1">
      <c r="A721" s="118"/>
      <c r="B721" s="118"/>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row>
    <row r="722" spans="1:26" ht="14.25" customHeight="1">
      <c r="A722" s="118"/>
      <c r="B722" s="118"/>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row>
    <row r="723" spans="1:26" ht="14.25" customHeight="1">
      <c r="A723" s="118"/>
      <c r="B723" s="118"/>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row>
    <row r="724" spans="1:26" ht="14.25" customHeight="1">
      <c r="A724" s="118"/>
      <c r="B724" s="118"/>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row>
    <row r="725" spans="1:26" ht="14.25" customHeight="1">
      <c r="A725" s="118"/>
      <c r="B725" s="118"/>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row>
    <row r="726" spans="1:26" ht="14.25" customHeight="1">
      <c r="A726" s="118"/>
      <c r="B726" s="118"/>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row>
    <row r="727" spans="1:26" ht="14.25" customHeight="1">
      <c r="A727" s="118"/>
      <c r="B727" s="118"/>
      <c r="C727" s="118"/>
      <c r="D727" s="118"/>
      <c r="E727" s="118"/>
      <c r="F727" s="118"/>
      <c r="G727" s="118"/>
      <c r="H727" s="118"/>
      <c r="I727" s="118"/>
      <c r="J727" s="118"/>
      <c r="K727" s="118"/>
      <c r="L727" s="118"/>
      <c r="M727" s="118"/>
      <c r="N727" s="118"/>
      <c r="O727" s="118"/>
      <c r="P727" s="118"/>
      <c r="Q727" s="118"/>
      <c r="R727" s="118"/>
      <c r="S727" s="118"/>
      <c r="T727" s="118"/>
      <c r="U727" s="118"/>
      <c r="V727" s="118"/>
      <c r="W727" s="118"/>
      <c r="X727" s="118"/>
      <c r="Y727" s="118"/>
      <c r="Z727" s="118"/>
    </row>
    <row r="728" spans="1:26" ht="14.25" customHeight="1">
      <c r="A728" s="118"/>
      <c r="B728" s="118"/>
      <c r="C728" s="118"/>
      <c r="D728" s="118"/>
      <c r="E728" s="118"/>
      <c r="F728" s="118"/>
      <c r="G728" s="118"/>
      <c r="H728" s="118"/>
      <c r="I728" s="118"/>
      <c r="J728" s="118"/>
      <c r="K728" s="118"/>
      <c r="L728" s="118"/>
      <c r="M728" s="118"/>
      <c r="N728" s="118"/>
      <c r="O728" s="118"/>
      <c r="P728" s="118"/>
      <c r="Q728" s="118"/>
      <c r="R728" s="118"/>
      <c r="S728" s="118"/>
      <c r="T728" s="118"/>
      <c r="U728" s="118"/>
      <c r="V728" s="118"/>
      <c r="W728" s="118"/>
      <c r="X728" s="118"/>
      <c r="Y728" s="118"/>
      <c r="Z728" s="118"/>
    </row>
    <row r="729" spans="1:26" ht="14.25" customHeight="1">
      <c r="A729" s="118"/>
      <c r="B729" s="118"/>
      <c r="C729" s="118"/>
      <c r="D729" s="118"/>
      <c r="E729" s="118"/>
      <c r="F729" s="118"/>
      <c r="G729" s="118"/>
      <c r="H729" s="118"/>
      <c r="I729" s="118"/>
      <c r="J729" s="118"/>
      <c r="K729" s="118"/>
      <c r="L729" s="118"/>
      <c r="M729" s="118"/>
      <c r="N729" s="118"/>
      <c r="O729" s="118"/>
      <c r="P729" s="118"/>
      <c r="Q729" s="118"/>
      <c r="R729" s="118"/>
      <c r="S729" s="118"/>
      <c r="T729" s="118"/>
      <c r="U729" s="118"/>
      <c r="V729" s="118"/>
      <c r="W729" s="118"/>
      <c r="X729" s="118"/>
      <c r="Y729" s="118"/>
      <c r="Z729" s="118"/>
    </row>
    <row r="730" spans="1:26" ht="14.25" customHeight="1">
      <c r="A730" s="118"/>
      <c r="B730" s="118"/>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row>
    <row r="731" spans="1:26" ht="14.25" customHeight="1">
      <c r="A731" s="118"/>
      <c r="B731" s="118"/>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row>
    <row r="732" spans="1:26" ht="14.25" customHeight="1">
      <c r="A732" s="118"/>
      <c r="B732" s="118"/>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row>
    <row r="733" spans="1:26" ht="14.25" customHeight="1">
      <c r="A733" s="118"/>
      <c r="B733" s="118"/>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row>
    <row r="734" spans="1:26" ht="14.25" customHeight="1">
      <c r="A734" s="118"/>
      <c r="B734" s="118"/>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row>
    <row r="735" spans="1:26" ht="14.25" customHeight="1">
      <c r="A735" s="118"/>
      <c r="B735" s="118"/>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row>
    <row r="736" spans="1:26" ht="14.25" customHeight="1">
      <c r="A736" s="118"/>
      <c r="B736" s="118"/>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row>
    <row r="737" spans="1:26" ht="14.25" customHeight="1">
      <c r="A737" s="118"/>
      <c r="B737" s="118"/>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row>
    <row r="738" spans="1:26" ht="14.25" customHeight="1">
      <c r="A738" s="118"/>
      <c r="B738" s="118"/>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row>
    <row r="739" spans="1:26" ht="14.25" customHeight="1">
      <c r="A739" s="118"/>
      <c r="B739" s="118"/>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row>
    <row r="740" spans="1:26" ht="14.25" customHeight="1">
      <c r="A740" s="118"/>
      <c r="B740" s="118"/>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row>
    <row r="741" spans="1:26" ht="14.25" customHeight="1">
      <c r="A741" s="118"/>
      <c r="B741" s="118"/>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row>
    <row r="742" spans="1:26" ht="14.25" customHeight="1">
      <c r="A742" s="118"/>
      <c r="B742" s="118"/>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row>
    <row r="743" spans="1:26" ht="14.25" customHeight="1">
      <c r="A743" s="118"/>
      <c r="B743" s="118"/>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row>
    <row r="744" spans="1:26" ht="14.25" customHeight="1">
      <c r="A744" s="118"/>
      <c r="B744" s="118"/>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row>
    <row r="745" spans="1:26" ht="14.25" customHeight="1">
      <c r="A745" s="118"/>
      <c r="B745" s="118"/>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row>
    <row r="746" spans="1:26" ht="14.25" customHeight="1">
      <c r="A746" s="118"/>
      <c r="B746" s="118"/>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row>
    <row r="747" spans="1:26" ht="14.25" customHeight="1">
      <c r="A747" s="118"/>
      <c r="B747" s="118"/>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row>
    <row r="748" spans="1:26" ht="14.25" customHeight="1">
      <c r="A748" s="118"/>
      <c r="B748" s="118"/>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row>
    <row r="749" spans="1:26" ht="14.25" customHeight="1">
      <c r="A749" s="118"/>
      <c r="B749" s="118"/>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row>
    <row r="750" spans="1:26" ht="14.25" customHeight="1">
      <c r="A750" s="118"/>
      <c r="B750" s="118"/>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row>
    <row r="751" spans="1:26" ht="14.25" customHeight="1">
      <c r="A751" s="118"/>
      <c r="B751" s="118"/>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row>
    <row r="752" spans="1:26" ht="14.25" customHeight="1">
      <c r="A752" s="118"/>
      <c r="B752" s="118"/>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row>
    <row r="753" spans="1:26" ht="14.25" customHeight="1">
      <c r="A753" s="118"/>
      <c r="B753" s="118"/>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row>
    <row r="754" spans="1:26" ht="14.25" customHeight="1">
      <c r="A754" s="118"/>
      <c r="B754" s="118"/>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row>
    <row r="755" spans="1:26" ht="14.25" customHeight="1">
      <c r="A755" s="118"/>
      <c r="B755" s="118"/>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row>
    <row r="756" spans="1:26" ht="14.25" customHeight="1">
      <c r="A756" s="118"/>
      <c r="B756" s="118"/>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row>
    <row r="757" spans="1:26" ht="14.25" customHeight="1">
      <c r="A757" s="118"/>
      <c r="B757" s="118"/>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row>
    <row r="758" spans="1:26" ht="14.25" customHeight="1">
      <c r="A758" s="118"/>
      <c r="B758" s="118"/>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row>
    <row r="759" spans="1:26" ht="14.25" customHeight="1">
      <c r="A759" s="118"/>
      <c r="B759" s="118"/>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row>
    <row r="760" spans="1:26" ht="14.25" customHeight="1">
      <c r="A760" s="118"/>
      <c r="B760" s="118"/>
      <c r="C760" s="118"/>
      <c r="D760" s="118"/>
      <c r="E760" s="118"/>
      <c r="F760" s="118"/>
      <c r="G760" s="118"/>
      <c r="H760" s="118"/>
      <c r="I760" s="118"/>
      <c r="J760" s="118"/>
      <c r="K760" s="118"/>
      <c r="L760" s="118"/>
      <c r="M760" s="118"/>
      <c r="N760" s="118"/>
      <c r="O760" s="118"/>
      <c r="P760" s="118"/>
      <c r="Q760" s="118"/>
      <c r="R760" s="118"/>
      <c r="S760" s="118"/>
      <c r="T760" s="118"/>
      <c r="U760" s="118"/>
      <c r="V760" s="118"/>
      <c r="W760" s="118"/>
      <c r="X760" s="118"/>
      <c r="Y760" s="118"/>
      <c r="Z760" s="118"/>
    </row>
    <row r="761" spans="1:26" ht="14.25" customHeight="1">
      <c r="A761" s="118"/>
      <c r="B761" s="118"/>
      <c r="C761" s="118"/>
      <c r="D761" s="118"/>
      <c r="E761" s="118"/>
      <c r="F761" s="118"/>
      <c r="G761" s="118"/>
      <c r="H761" s="118"/>
      <c r="I761" s="118"/>
      <c r="J761" s="118"/>
      <c r="K761" s="118"/>
      <c r="L761" s="118"/>
      <c r="M761" s="118"/>
      <c r="N761" s="118"/>
      <c r="O761" s="118"/>
      <c r="P761" s="118"/>
      <c r="Q761" s="118"/>
      <c r="R761" s="118"/>
      <c r="S761" s="118"/>
      <c r="T761" s="118"/>
      <c r="U761" s="118"/>
      <c r="V761" s="118"/>
      <c r="W761" s="118"/>
      <c r="X761" s="118"/>
      <c r="Y761" s="118"/>
      <c r="Z761" s="118"/>
    </row>
    <row r="762" spans="1:26" ht="14.25" customHeight="1">
      <c r="A762" s="118"/>
      <c r="B762" s="118"/>
      <c r="C762" s="118"/>
      <c r="D762" s="118"/>
      <c r="E762" s="118"/>
      <c r="F762" s="118"/>
      <c r="G762" s="118"/>
      <c r="H762" s="118"/>
      <c r="I762" s="118"/>
      <c r="J762" s="118"/>
      <c r="K762" s="118"/>
      <c r="L762" s="118"/>
      <c r="M762" s="118"/>
      <c r="N762" s="118"/>
      <c r="O762" s="118"/>
      <c r="P762" s="118"/>
      <c r="Q762" s="118"/>
      <c r="R762" s="118"/>
      <c r="S762" s="118"/>
      <c r="T762" s="118"/>
      <c r="U762" s="118"/>
      <c r="V762" s="118"/>
      <c r="W762" s="118"/>
      <c r="X762" s="118"/>
      <c r="Y762" s="118"/>
      <c r="Z762" s="118"/>
    </row>
    <row r="763" spans="1:26" ht="14.25" customHeight="1">
      <c r="A763" s="118"/>
      <c r="B763" s="118"/>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row>
    <row r="764" spans="1:26" ht="14.25" customHeight="1">
      <c r="A764" s="118"/>
      <c r="B764" s="118"/>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row>
    <row r="765" spans="1:26" ht="14.25" customHeight="1">
      <c r="A765" s="118"/>
      <c r="B765" s="118"/>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row>
    <row r="766" spans="1:26" ht="14.25" customHeight="1">
      <c r="A766" s="118"/>
      <c r="B766" s="118"/>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row>
    <row r="767" spans="1:26" ht="14.25" customHeight="1">
      <c r="A767" s="118"/>
      <c r="B767" s="118"/>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row>
    <row r="768" spans="1:26" ht="14.25" customHeight="1">
      <c r="A768" s="118"/>
      <c r="B768" s="118"/>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row>
    <row r="769" spans="1:26" ht="14.25" customHeight="1">
      <c r="A769" s="118"/>
      <c r="B769" s="118"/>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row>
    <row r="770" spans="1:26" ht="14.25" customHeight="1">
      <c r="A770" s="118"/>
      <c r="B770" s="118"/>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row>
    <row r="771" spans="1:26" ht="14.25" customHeight="1">
      <c r="A771" s="118"/>
      <c r="B771" s="118"/>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row>
    <row r="772" spans="1:26" ht="14.25" customHeight="1">
      <c r="A772" s="118"/>
      <c r="B772" s="118"/>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row>
    <row r="773" spans="1:26" ht="14.25" customHeight="1">
      <c r="A773" s="118"/>
      <c r="B773" s="118"/>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row>
    <row r="774" spans="1:26" ht="14.25" customHeight="1">
      <c r="A774" s="118"/>
      <c r="B774" s="118"/>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row>
    <row r="775" spans="1:26" ht="14.25" customHeight="1">
      <c r="A775" s="118"/>
      <c r="B775" s="118"/>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row>
    <row r="776" spans="1:26" ht="14.25" customHeight="1">
      <c r="A776" s="118"/>
      <c r="B776" s="118"/>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row>
    <row r="777" spans="1:26" ht="14.25" customHeight="1">
      <c r="A777" s="118"/>
      <c r="B777" s="118"/>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row>
    <row r="778" spans="1:26" ht="14.25" customHeight="1">
      <c r="A778" s="118"/>
      <c r="B778" s="118"/>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row>
    <row r="779" spans="1:26" ht="14.25" customHeight="1">
      <c r="A779" s="118"/>
      <c r="B779" s="118"/>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row>
    <row r="780" spans="1:26" ht="14.25" customHeight="1">
      <c r="A780" s="118"/>
      <c r="B780" s="118"/>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row>
    <row r="781" spans="1:26" ht="14.25" customHeight="1">
      <c r="A781" s="118"/>
      <c r="B781" s="118"/>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row>
    <row r="782" spans="1:26" ht="14.25" customHeight="1">
      <c r="A782" s="118"/>
      <c r="B782" s="118"/>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row>
    <row r="783" spans="1:26" ht="14.25" customHeight="1">
      <c r="A783" s="118"/>
      <c r="B783" s="118"/>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row>
    <row r="784" spans="1:26" ht="14.25" customHeight="1">
      <c r="A784" s="118"/>
      <c r="B784" s="118"/>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row>
    <row r="785" spans="1:26" ht="14.25" customHeight="1">
      <c r="A785" s="118"/>
      <c r="B785" s="118"/>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row>
    <row r="786" spans="1:26" ht="14.25" customHeight="1">
      <c r="A786" s="118"/>
      <c r="B786" s="118"/>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row>
    <row r="787" spans="1:26" ht="14.25" customHeight="1">
      <c r="A787" s="118"/>
      <c r="B787" s="118"/>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row>
    <row r="788" spans="1:26" ht="14.25" customHeight="1">
      <c r="A788" s="118"/>
      <c r="B788" s="118"/>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row>
    <row r="789" spans="1:26" ht="14.25" customHeight="1">
      <c r="A789" s="118"/>
      <c r="B789" s="118"/>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row>
    <row r="790" spans="1:26" ht="14.25" customHeight="1">
      <c r="A790" s="118"/>
      <c r="B790" s="118"/>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row>
    <row r="791" spans="1:26" ht="14.25" customHeight="1">
      <c r="A791" s="118"/>
      <c r="B791" s="118"/>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row>
    <row r="792" spans="1:26" ht="14.25" customHeight="1">
      <c r="A792" s="118"/>
      <c r="B792" s="118"/>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row>
    <row r="793" spans="1:26" ht="14.25" customHeight="1">
      <c r="A793" s="118"/>
      <c r="B793" s="118"/>
      <c r="C793" s="118"/>
      <c r="D793" s="118"/>
      <c r="E793" s="118"/>
      <c r="F793" s="118"/>
      <c r="G793" s="118"/>
      <c r="H793" s="118"/>
      <c r="I793" s="118"/>
      <c r="J793" s="118"/>
      <c r="K793" s="118"/>
      <c r="L793" s="118"/>
      <c r="M793" s="118"/>
      <c r="N793" s="118"/>
      <c r="O793" s="118"/>
      <c r="P793" s="118"/>
      <c r="Q793" s="118"/>
      <c r="R793" s="118"/>
      <c r="S793" s="118"/>
      <c r="T793" s="118"/>
      <c r="U793" s="118"/>
      <c r="V793" s="118"/>
      <c r="W793" s="118"/>
      <c r="X793" s="118"/>
      <c r="Y793" s="118"/>
      <c r="Z793" s="118"/>
    </row>
    <row r="794" spans="1:26" ht="14.25" customHeight="1">
      <c r="A794" s="118"/>
      <c r="B794" s="118"/>
      <c r="C794" s="118"/>
      <c r="D794" s="118"/>
      <c r="E794" s="118"/>
      <c r="F794" s="118"/>
      <c r="G794" s="118"/>
      <c r="H794" s="118"/>
      <c r="I794" s="118"/>
      <c r="J794" s="118"/>
      <c r="K794" s="118"/>
      <c r="L794" s="118"/>
      <c r="M794" s="118"/>
      <c r="N794" s="118"/>
      <c r="O794" s="118"/>
      <c r="P794" s="118"/>
      <c r="Q794" s="118"/>
      <c r="R794" s="118"/>
      <c r="S794" s="118"/>
      <c r="T794" s="118"/>
      <c r="U794" s="118"/>
      <c r="V794" s="118"/>
      <c r="W794" s="118"/>
      <c r="X794" s="118"/>
      <c r="Y794" s="118"/>
      <c r="Z794" s="118"/>
    </row>
    <row r="795" spans="1:26" ht="14.25" customHeight="1">
      <c r="A795" s="118"/>
      <c r="B795" s="118"/>
      <c r="C795" s="118"/>
      <c r="D795" s="118"/>
      <c r="E795" s="118"/>
      <c r="F795" s="118"/>
      <c r="G795" s="118"/>
      <c r="H795" s="118"/>
      <c r="I795" s="118"/>
      <c r="J795" s="118"/>
      <c r="K795" s="118"/>
      <c r="L795" s="118"/>
      <c r="M795" s="118"/>
      <c r="N795" s="118"/>
      <c r="O795" s="118"/>
      <c r="P795" s="118"/>
      <c r="Q795" s="118"/>
      <c r="R795" s="118"/>
      <c r="S795" s="118"/>
      <c r="T795" s="118"/>
      <c r="U795" s="118"/>
      <c r="V795" s="118"/>
      <c r="W795" s="118"/>
      <c r="X795" s="118"/>
      <c r="Y795" s="118"/>
      <c r="Z795" s="118"/>
    </row>
    <row r="796" spans="1:26" ht="14.25" customHeight="1">
      <c r="A796" s="118"/>
      <c r="B796" s="118"/>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row>
    <row r="797" spans="1:26" ht="14.25" customHeight="1">
      <c r="A797" s="118"/>
      <c r="B797" s="118"/>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row>
    <row r="798" spans="1:26" ht="14.25" customHeight="1">
      <c r="A798" s="118"/>
      <c r="B798" s="118"/>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row>
    <row r="799" spans="1:26" ht="14.25" customHeight="1">
      <c r="A799" s="118"/>
      <c r="B799" s="118"/>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row>
    <row r="800" spans="1:26" ht="14.25" customHeight="1">
      <c r="A800" s="118"/>
      <c r="B800" s="118"/>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row>
    <row r="801" spans="1:26" ht="14.25" customHeight="1">
      <c r="A801" s="118"/>
      <c r="B801" s="118"/>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row>
    <row r="802" spans="1:26" ht="14.25" customHeight="1">
      <c r="A802" s="118"/>
      <c r="B802" s="118"/>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row>
    <row r="803" spans="1:26" ht="14.25" customHeight="1">
      <c r="A803" s="118"/>
      <c r="B803" s="118"/>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row>
    <row r="804" spans="1:26" ht="14.25" customHeight="1">
      <c r="A804" s="118"/>
      <c r="B804" s="118"/>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row>
    <row r="805" spans="1:26" ht="14.25" customHeight="1">
      <c r="A805" s="118"/>
      <c r="B805" s="118"/>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row>
    <row r="806" spans="1:26" ht="14.25" customHeight="1">
      <c r="A806" s="118"/>
      <c r="B806" s="118"/>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row>
    <row r="807" spans="1:26" ht="14.25" customHeight="1">
      <c r="A807" s="118"/>
      <c r="B807" s="118"/>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row>
    <row r="808" spans="1:26" ht="14.25" customHeight="1">
      <c r="A808" s="118"/>
      <c r="B808" s="118"/>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row>
    <row r="809" spans="1:26" ht="14.25" customHeight="1">
      <c r="A809" s="118"/>
      <c r="B809" s="118"/>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row>
    <row r="810" spans="1:26" ht="14.25" customHeight="1">
      <c r="A810" s="118"/>
      <c r="B810" s="118"/>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row>
    <row r="811" spans="1:26" ht="14.25" customHeight="1">
      <c r="A811" s="118"/>
      <c r="B811" s="118"/>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row>
    <row r="812" spans="1:26" ht="14.25" customHeight="1">
      <c r="A812" s="118"/>
      <c r="B812" s="118"/>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row>
    <row r="813" spans="1:26" ht="14.25" customHeight="1">
      <c r="A813" s="118"/>
      <c r="B813" s="118"/>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row>
    <row r="814" spans="1:26" ht="14.25" customHeight="1">
      <c r="A814" s="118"/>
      <c r="B814" s="118"/>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row>
    <row r="815" spans="1:26" ht="14.25" customHeight="1">
      <c r="A815" s="118"/>
      <c r="B815" s="118"/>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row>
    <row r="816" spans="1:26" ht="14.25" customHeight="1">
      <c r="A816" s="118"/>
      <c r="B816" s="118"/>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row>
    <row r="817" spans="1:26" ht="14.25" customHeight="1">
      <c r="A817" s="118"/>
      <c r="B817" s="118"/>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row>
    <row r="818" spans="1:26" ht="14.25" customHeight="1">
      <c r="A818" s="118"/>
      <c r="B818" s="118"/>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row>
    <row r="819" spans="1:26" ht="14.25" customHeight="1">
      <c r="A819" s="118"/>
      <c r="B819" s="118"/>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row>
    <row r="820" spans="1:26" ht="14.25" customHeight="1">
      <c r="A820" s="118"/>
      <c r="B820" s="118"/>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row>
    <row r="821" spans="1:26" ht="14.25" customHeight="1">
      <c r="A821" s="118"/>
      <c r="B821" s="118"/>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row>
    <row r="822" spans="1:26" ht="14.25" customHeight="1">
      <c r="A822" s="118"/>
      <c r="B822" s="118"/>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row>
    <row r="823" spans="1:26" ht="14.25" customHeight="1">
      <c r="A823" s="118"/>
      <c r="B823" s="118"/>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row>
    <row r="824" spans="1:26" ht="14.25" customHeight="1">
      <c r="A824" s="118"/>
      <c r="B824" s="118"/>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row>
    <row r="825" spans="1:26" ht="14.25" customHeight="1">
      <c r="A825" s="118"/>
      <c r="B825" s="118"/>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row>
    <row r="826" spans="1:26" ht="14.25" customHeight="1">
      <c r="A826" s="118"/>
      <c r="B826" s="118"/>
      <c r="C826" s="118"/>
      <c r="D826" s="118"/>
      <c r="E826" s="118"/>
      <c r="F826" s="118"/>
      <c r="G826" s="118"/>
      <c r="H826" s="118"/>
      <c r="I826" s="118"/>
      <c r="J826" s="118"/>
      <c r="K826" s="118"/>
      <c r="L826" s="118"/>
      <c r="M826" s="118"/>
      <c r="N826" s="118"/>
      <c r="O826" s="118"/>
      <c r="P826" s="118"/>
      <c r="Q826" s="118"/>
      <c r="R826" s="118"/>
      <c r="S826" s="118"/>
      <c r="T826" s="118"/>
      <c r="U826" s="118"/>
      <c r="V826" s="118"/>
      <c r="W826" s="118"/>
      <c r="X826" s="118"/>
      <c r="Y826" s="118"/>
      <c r="Z826" s="118"/>
    </row>
    <row r="827" spans="1:26" ht="14.25" customHeight="1">
      <c r="A827" s="118"/>
      <c r="B827" s="118"/>
      <c r="C827" s="118"/>
      <c r="D827" s="118"/>
      <c r="E827" s="118"/>
      <c r="F827" s="118"/>
      <c r="G827" s="118"/>
      <c r="H827" s="118"/>
      <c r="I827" s="118"/>
      <c r="J827" s="118"/>
      <c r="K827" s="118"/>
      <c r="L827" s="118"/>
      <c r="M827" s="118"/>
      <c r="N827" s="118"/>
      <c r="O827" s="118"/>
      <c r="P827" s="118"/>
      <c r="Q827" s="118"/>
      <c r="R827" s="118"/>
      <c r="S827" s="118"/>
      <c r="T827" s="118"/>
      <c r="U827" s="118"/>
      <c r="V827" s="118"/>
      <c r="W827" s="118"/>
      <c r="X827" s="118"/>
      <c r="Y827" s="118"/>
      <c r="Z827" s="118"/>
    </row>
    <row r="828" spans="1:26" ht="14.25" customHeight="1">
      <c r="A828" s="118"/>
      <c r="B828" s="118"/>
      <c r="C828" s="118"/>
      <c r="D828" s="118"/>
      <c r="E828" s="118"/>
      <c r="F828" s="118"/>
      <c r="G828" s="118"/>
      <c r="H828" s="118"/>
      <c r="I828" s="118"/>
      <c r="J828" s="118"/>
      <c r="K828" s="118"/>
      <c r="L828" s="118"/>
      <c r="M828" s="118"/>
      <c r="N828" s="118"/>
      <c r="O828" s="118"/>
      <c r="P828" s="118"/>
      <c r="Q828" s="118"/>
      <c r="R828" s="118"/>
      <c r="S828" s="118"/>
      <c r="T828" s="118"/>
      <c r="U828" s="118"/>
      <c r="V828" s="118"/>
      <c r="W828" s="118"/>
      <c r="X828" s="118"/>
      <c r="Y828" s="118"/>
      <c r="Z828" s="118"/>
    </row>
    <row r="829" spans="1:26" ht="14.25" customHeight="1">
      <c r="A829" s="118"/>
      <c r="B829" s="118"/>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row>
    <row r="830" spans="1:26" ht="14.25" customHeight="1">
      <c r="A830" s="118"/>
      <c r="B830" s="118"/>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row>
    <row r="831" spans="1:26" ht="14.25" customHeight="1">
      <c r="A831" s="118"/>
      <c r="B831" s="118"/>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row>
    <row r="832" spans="1:26" ht="14.25" customHeight="1">
      <c r="A832" s="118"/>
      <c r="B832" s="118"/>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row>
    <row r="833" spans="1:26" ht="14.25" customHeight="1">
      <c r="A833" s="118"/>
      <c r="B833" s="118"/>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row>
    <row r="834" spans="1:26" ht="14.25" customHeight="1">
      <c r="A834" s="118"/>
      <c r="B834" s="118"/>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row>
    <row r="835" spans="1:26" ht="14.25" customHeight="1">
      <c r="A835" s="118"/>
      <c r="B835" s="118"/>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row>
    <row r="836" spans="1:26" ht="14.25" customHeight="1">
      <c r="A836" s="118"/>
      <c r="B836" s="118"/>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row>
    <row r="837" spans="1:26" ht="14.25" customHeight="1">
      <c r="A837" s="118"/>
      <c r="B837" s="118"/>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row>
    <row r="838" spans="1:26" ht="14.25" customHeight="1">
      <c r="A838" s="118"/>
      <c r="B838" s="118"/>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row>
    <row r="839" spans="1:26" ht="14.25" customHeight="1">
      <c r="A839" s="118"/>
      <c r="B839" s="118"/>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row>
    <row r="840" spans="1:26" ht="14.25" customHeight="1">
      <c r="A840" s="118"/>
      <c r="B840" s="118"/>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row>
    <row r="841" spans="1:26" ht="14.25" customHeight="1">
      <c r="A841" s="118"/>
      <c r="B841" s="118"/>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row>
    <row r="842" spans="1:26" ht="14.25" customHeight="1">
      <c r="A842" s="118"/>
      <c r="B842" s="118"/>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row>
    <row r="843" spans="1:26" ht="14.25" customHeight="1">
      <c r="A843" s="118"/>
      <c r="B843" s="118"/>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row>
    <row r="844" spans="1:26" ht="14.25" customHeight="1">
      <c r="A844" s="118"/>
      <c r="B844" s="118"/>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row>
    <row r="845" spans="1:26" ht="14.25" customHeight="1">
      <c r="A845" s="118"/>
      <c r="B845" s="118"/>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row>
    <row r="846" spans="1:26" ht="14.25" customHeight="1">
      <c r="A846" s="118"/>
      <c r="B846" s="118"/>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row>
    <row r="847" spans="1:26" ht="14.25" customHeight="1">
      <c r="A847" s="118"/>
      <c r="B847" s="118"/>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row>
    <row r="848" spans="1:26" ht="14.25" customHeight="1">
      <c r="A848" s="118"/>
      <c r="B848" s="118"/>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row>
    <row r="849" spans="1:26" ht="14.25" customHeight="1">
      <c r="A849" s="118"/>
      <c r="B849" s="118"/>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row>
    <row r="850" spans="1:26" ht="14.25" customHeight="1">
      <c r="A850" s="118"/>
      <c r="B850" s="118"/>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row>
    <row r="851" spans="1:26" ht="14.25" customHeight="1">
      <c r="A851" s="118"/>
      <c r="B851" s="118"/>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row>
    <row r="852" spans="1:26" ht="14.25" customHeight="1">
      <c r="A852" s="118"/>
      <c r="B852" s="118"/>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row>
    <row r="853" spans="1:26" ht="14.25" customHeight="1">
      <c r="A853" s="118"/>
      <c r="B853" s="118"/>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row>
    <row r="854" spans="1:26" ht="14.25" customHeight="1">
      <c r="A854" s="118"/>
      <c r="B854" s="118"/>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row>
    <row r="855" spans="1:26" ht="14.25" customHeight="1">
      <c r="A855" s="118"/>
      <c r="B855" s="118"/>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row>
    <row r="856" spans="1:26" ht="14.25" customHeight="1">
      <c r="A856" s="118"/>
      <c r="B856" s="118"/>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row>
    <row r="857" spans="1:26" ht="14.25" customHeight="1">
      <c r="A857" s="118"/>
      <c r="B857" s="118"/>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row>
    <row r="858" spans="1:26" ht="14.25" customHeight="1">
      <c r="A858" s="118"/>
      <c r="B858" s="118"/>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row>
    <row r="859" spans="1:26" ht="14.25" customHeight="1">
      <c r="A859" s="118"/>
      <c r="B859" s="118"/>
      <c r="C859" s="118"/>
      <c r="D859" s="118"/>
      <c r="E859" s="118"/>
      <c r="F859" s="118"/>
      <c r="G859" s="118"/>
      <c r="H859" s="118"/>
      <c r="I859" s="118"/>
      <c r="J859" s="118"/>
      <c r="K859" s="118"/>
      <c r="L859" s="118"/>
      <c r="M859" s="118"/>
      <c r="N859" s="118"/>
      <c r="O859" s="118"/>
      <c r="P859" s="118"/>
      <c r="Q859" s="118"/>
      <c r="R859" s="118"/>
      <c r="S859" s="118"/>
      <c r="T859" s="118"/>
      <c r="U859" s="118"/>
      <c r="V859" s="118"/>
      <c r="W859" s="118"/>
      <c r="X859" s="118"/>
      <c r="Y859" s="118"/>
      <c r="Z859" s="118"/>
    </row>
    <row r="860" spans="1:26" ht="14.25" customHeight="1">
      <c r="A860" s="118"/>
      <c r="B860" s="118"/>
      <c r="C860" s="118"/>
      <c r="D860" s="118"/>
      <c r="E860" s="118"/>
      <c r="F860" s="118"/>
      <c r="G860" s="118"/>
      <c r="H860" s="118"/>
      <c r="I860" s="118"/>
      <c r="J860" s="118"/>
      <c r="K860" s="118"/>
      <c r="L860" s="118"/>
      <c r="M860" s="118"/>
      <c r="N860" s="118"/>
      <c r="O860" s="118"/>
      <c r="P860" s="118"/>
      <c r="Q860" s="118"/>
      <c r="R860" s="118"/>
      <c r="S860" s="118"/>
      <c r="T860" s="118"/>
      <c r="U860" s="118"/>
      <c r="V860" s="118"/>
      <c r="W860" s="118"/>
      <c r="X860" s="118"/>
      <c r="Y860" s="118"/>
      <c r="Z860" s="118"/>
    </row>
    <row r="861" spans="1:26" ht="14.25" customHeight="1">
      <c r="A861" s="118"/>
      <c r="B861" s="118"/>
      <c r="C861" s="118"/>
      <c r="D861" s="118"/>
      <c r="E861" s="118"/>
      <c r="F861" s="118"/>
      <c r="G861" s="118"/>
      <c r="H861" s="118"/>
      <c r="I861" s="118"/>
      <c r="J861" s="118"/>
      <c r="K861" s="118"/>
      <c r="L861" s="118"/>
      <c r="M861" s="118"/>
      <c r="N861" s="118"/>
      <c r="O861" s="118"/>
      <c r="P861" s="118"/>
      <c r="Q861" s="118"/>
      <c r="R861" s="118"/>
      <c r="S861" s="118"/>
      <c r="T861" s="118"/>
      <c r="U861" s="118"/>
      <c r="V861" s="118"/>
      <c r="W861" s="118"/>
      <c r="X861" s="118"/>
      <c r="Y861" s="118"/>
      <c r="Z861" s="118"/>
    </row>
    <row r="862" spans="1:26" ht="14.25" customHeight="1">
      <c r="A862" s="118"/>
      <c r="B862" s="118"/>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row>
    <row r="863" spans="1:26" ht="14.25" customHeight="1">
      <c r="A863" s="118"/>
      <c r="B863" s="118"/>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row>
    <row r="864" spans="1:26" ht="14.25" customHeight="1">
      <c r="A864" s="118"/>
      <c r="B864" s="118"/>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row>
    <row r="865" spans="1:26" ht="14.25" customHeight="1">
      <c r="A865" s="118"/>
      <c r="B865" s="118"/>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row>
    <row r="866" spans="1:26" ht="14.25" customHeight="1">
      <c r="A866" s="118"/>
      <c r="B866" s="118"/>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row>
    <row r="867" spans="1:26" ht="14.25" customHeight="1">
      <c r="A867" s="118"/>
      <c r="B867" s="118"/>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row>
    <row r="868" spans="1:26" ht="14.25" customHeight="1">
      <c r="A868" s="118"/>
      <c r="B868" s="118"/>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row>
    <row r="869" spans="1:26" ht="14.25" customHeight="1">
      <c r="A869" s="118"/>
      <c r="B869" s="118"/>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row>
    <row r="870" spans="1:26" ht="14.25" customHeight="1">
      <c r="A870" s="118"/>
      <c r="B870" s="118"/>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row>
    <row r="871" spans="1:26" ht="14.25" customHeight="1">
      <c r="A871" s="118"/>
      <c r="B871" s="118"/>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row>
    <row r="872" spans="1:26" ht="14.25" customHeight="1">
      <c r="A872" s="118"/>
      <c r="B872" s="118"/>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row>
    <row r="873" spans="1:26" ht="14.25" customHeight="1">
      <c r="A873" s="118"/>
      <c r="B873" s="118"/>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row>
    <row r="874" spans="1:26" ht="14.25" customHeight="1">
      <c r="A874" s="118"/>
      <c r="B874" s="118"/>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row>
    <row r="875" spans="1:26" ht="14.25" customHeight="1">
      <c r="A875" s="118"/>
      <c r="B875" s="118"/>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row>
    <row r="876" spans="1:26" ht="14.25" customHeight="1">
      <c r="A876" s="118"/>
      <c r="B876" s="118"/>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row>
    <row r="877" spans="1:26" ht="14.25" customHeight="1">
      <c r="A877" s="118"/>
      <c r="B877" s="118"/>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row>
    <row r="878" spans="1:26" ht="14.25" customHeight="1">
      <c r="A878" s="118"/>
      <c r="B878" s="118"/>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row>
    <row r="879" spans="1:26" ht="14.25" customHeight="1">
      <c r="A879" s="118"/>
      <c r="B879" s="118"/>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row>
    <row r="880" spans="1:26" ht="14.25" customHeight="1">
      <c r="A880" s="118"/>
      <c r="B880" s="118"/>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row>
    <row r="881" spans="1:26" ht="14.25" customHeight="1">
      <c r="A881" s="118"/>
      <c r="B881" s="118"/>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row>
    <row r="882" spans="1:26" ht="14.25" customHeight="1">
      <c r="A882" s="118"/>
      <c r="B882" s="118"/>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row>
    <row r="883" spans="1:26" ht="14.25" customHeight="1">
      <c r="A883" s="118"/>
      <c r="B883" s="118"/>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row>
    <row r="884" spans="1:26" ht="14.25" customHeight="1">
      <c r="A884" s="118"/>
      <c r="B884" s="118"/>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row>
    <row r="885" spans="1:26" ht="14.25" customHeight="1">
      <c r="A885" s="118"/>
      <c r="B885" s="118"/>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row>
    <row r="886" spans="1:26" ht="14.25" customHeight="1">
      <c r="A886" s="118"/>
      <c r="B886" s="118"/>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row>
    <row r="887" spans="1:26" ht="14.25" customHeight="1">
      <c r="A887" s="118"/>
      <c r="B887" s="118"/>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row>
    <row r="888" spans="1:26" ht="14.25" customHeight="1">
      <c r="A888" s="118"/>
      <c r="B888" s="118"/>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row>
    <row r="889" spans="1:26" ht="14.25" customHeight="1">
      <c r="A889" s="118"/>
      <c r="B889" s="118"/>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row>
    <row r="890" spans="1:26" ht="14.25" customHeight="1">
      <c r="A890" s="118"/>
      <c r="B890" s="118"/>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row>
    <row r="891" spans="1:26" ht="14.25" customHeight="1">
      <c r="A891" s="118"/>
      <c r="B891" s="118"/>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row>
    <row r="892" spans="1:26" ht="14.25" customHeight="1">
      <c r="A892" s="118"/>
      <c r="B892" s="118"/>
      <c r="C892" s="118"/>
      <c r="D892" s="118"/>
      <c r="E892" s="118"/>
      <c r="F892" s="118"/>
      <c r="G892" s="118"/>
      <c r="H892" s="118"/>
      <c r="I892" s="118"/>
      <c r="J892" s="118"/>
      <c r="K892" s="118"/>
      <c r="L892" s="118"/>
      <c r="M892" s="118"/>
      <c r="N892" s="118"/>
      <c r="O892" s="118"/>
      <c r="P892" s="118"/>
      <c r="Q892" s="118"/>
      <c r="R892" s="118"/>
      <c r="S892" s="118"/>
      <c r="T892" s="118"/>
      <c r="U892" s="118"/>
      <c r="V892" s="118"/>
      <c r="W892" s="118"/>
      <c r="X892" s="118"/>
      <c r="Y892" s="118"/>
      <c r="Z892" s="118"/>
    </row>
    <row r="893" spans="1:26" ht="14.25" customHeight="1">
      <c r="A893" s="118"/>
      <c r="B893" s="118"/>
      <c r="C893" s="118"/>
      <c r="D893" s="118"/>
      <c r="E893" s="118"/>
      <c r="F893" s="118"/>
      <c r="G893" s="118"/>
      <c r="H893" s="118"/>
      <c r="I893" s="118"/>
      <c r="J893" s="118"/>
      <c r="K893" s="118"/>
      <c r="L893" s="118"/>
      <c r="M893" s="118"/>
      <c r="N893" s="118"/>
      <c r="O893" s="118"/>
      <c r="P893" s="118"/>
      <c r="Q893" s="118"/>
      <c r="R893" s="118"/>
      <c r="S893" s="118"/>
      <c r="T893" s="118"/>
      <c r="U893" s="118"/>
      <c r="V893" s="118"/>
      <c r="W893" s="118"/>
      <c r="X893" s="118"/>
      <c r="Y893" s="118"/>
      <c r="Z893" s="118"/>
    </row>
    <row r="894" spans="1:26" ht="14.25" customHeight="1">
      <c r="A894" s="118"/>
      <c r="B894" s="118"/>
      <c r="C894" s="118"/>
      <c r="D894" s="118"/>
      <c r="E894" s="118"/>
      <c r="F894" s="118"/>
      <c r="G894" s="118"/>
      <c r="H894" s="118"/>
      <c r="I894" s="118"/>
      <c r="J894" s="118"/>
      <c r="K894" s="118"/>
      <c r="L894" s="118"/>
      <c r="M894" s="118"/>
      <c r="N894" s="118"/>
      <c r="O894" s="118"/>
      <c r="P894" s="118"/>
      <c r="Q894" s="118"/>
      <c r="R894" s="118"/>
      <c r="S894" s="118"/>
      <c r="T894" s="118"/>
      <c r="U894" s="118"/>
      <c r="V894" s="118"/>
      <c r="W894" s="118"/>
      <c r="X894" s="118"/>
      <c r="Y894" s="118"/>
      <c r="Z894" s="118"/>
    </row>
    <row r="895" spans="1:26" ht="14.25" customHeight="1">
      <c r="A895" s="118"/>
      <c r="B895" s="118"/>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row>
    <row r="896" spans="1:26" ht="14.25" customHeight="1">
      <c r="A896" s="118"/>
      <c r="B896" s="118"/>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row>
    <row r="897" spans="1:26" ht="14.25" customHeight="1">
      <c r="A897" s="118"/>
      <c r="B897" s="118"/>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row>
    <row r="898" spans="1:26" ht="14.25" customHeight="1">
      <c r="A898" s="118"/>
      <c r="B898" s="118"/>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row>
    <row r="899" spans="1:26" ht="14.25" customHeight="1">
      <c r="A899" s="118"/>
      <c r="B899" s="118"/>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row>
    <row r="900" spans="1:26" ht="14.25" customHeight="1">
      <c r="A900" s="118"/>
      <c r="B900" s="118"/>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row>
    <row r="901" spans="1:26" ht="14.25" customHeight="1">
      <c r="A901" s="118"/>
      <c r="B901" s="118"/>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row>
    <row r="902" spans="1:26" ht="14.25" customHeight="1">
      <c r="A902" s="118"/>
      <c r="B902" s="118"/>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row>
    <row r="903" spans="1:26" ht="14.25" customHeight="1">
      <c r="A903" s="118"/>
      <c r="B903" s="118"/>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row>
    <row r="904" spans="1:26" ht="14.25" customHeight="1">
      <c r="A904" s="118"/>
      <c r="B904" s="118"/>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row>
    <row r="905" spans="1:26" ht="14.25" customHeight="1">
      <c r="A905" s="118"/>
      <c r="B905" s="118"/>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row>
    <row r="906" spans="1:26" ht="14.25" customHeight="1">
      <c r="A906" s="118"/>
      <c r="B906" s="118"/>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row>
    <row r="907" spans="1:26" ht="14.25" customHeight="1">
      <c r="A907" s="118"/>
      <c r="B907" s="118"/>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row>
    <row r="908" spans="1:26" ht="14.25" customHeight="1">
      <c r="A908" s="118"/>
      <c r="B908" s="118"/>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row>
    <row r="909" spans="1:26" ht="14.25" customHeight="1">
      <c r="A909" s="118"/>
      <c r="B909" s="118"/>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row>
    <row r="910" spans="1:26" ht="14.25" customHeight="1">
      <c r="A910" s="118"/>
      <c r="B910" s="118"/>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row>
    <row r="911" spans="1:26" ht="14.25" customHeight="1">
      <c r="A911" s="118"/>
      <c r="B911" s="118"/>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row>
    <row r="912" spans="1:26" ht="14.25" customHeight="1">
      <c r="A912" s="118"/>
      <c r="B912" s="118"/>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row>
    <row r="913" spans="1:26" ht="14.25" customHeight="1">
      <c r="A913" s="118"/>
      <c r="B913" s="118"/>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row>
    <row r="914" spans="1:26" ht="14.25" customHeight="1">
      <c r="A914" s="118"/>
      <c r="B914" s="118"/>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row>
    <row r="915" spans="1:26" ht="14.25" customHeight="1">
      <c r="A915" s="118"/>
      <c r="B915" s="118"/>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row>
    <row r="916" spans="1:26" ht="14.25" customHeight="1">
      <c r="A916" s="118"/>
      <c r="B916" s="118"/>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row>
    <row r="917" spans="1:26" ht="14.25" customHeight="1">
      <c r="A917" s="118"/>
      <c r="B917" s="118"/>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row>
    <row r="918" spans="1:26" ht="14.25" customHeight="1">
      <c r="A918" s="118"/>
      <c r="B918" s="118"/>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row>
    <row r="919" spans="1:26" ht="14.25" customHeight="1">
      <c r="A919" s="118"/>
      <c r="B919" s="118"/>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row>
    <row r="920" spans="1:26" ht="14.25" customHeight="1">
      <c r="A920" s="118"/>
      <c r="B920" s="118"/>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row>
    <row r="921" spans="1:26" ht="14.25" customHeight="1">
      <c r="A921" s="118"/>
      <c r="B921" s="118"/>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row>
    <row r="922" spans="1:26" ht="14.25" customHeight="1">
      <c r="A922" s="118"/>
      <c r="B922" s="118"/>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row>
    <row r="923" spans="1:26" ht="14.25" customHeight="1">
      <c r="A923" s="118"/>
      <c r="B923" s="118"/>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row>
    <row r="924" spans="1:26" ht="14.25" customHeight="1">
      <c r="A924" s="118"/>
      <c r="B924" s="118"/>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row>
    <row r="925" spans="1:26" ht="14.25" customHeight="1">
      <c r="A925" s="118"/>
      <c r="B925" s="118"/>
      <c r="C925" s="118"/>
      <c r="D925" s="118"/>
      <c r="E925" s="118"/>
      <c r="F925" s="118"/>
      <c r="G925" s="118"/>
      <c r="H925" s="118"/>
      <c r="I925" s="118"/>
      <c r="J925" s="118"/>
      <c r="K925" s="118"/>
      <c r="L925" s="118"/>
      <c r="M925" s="118"/>
      <c r="N925" s="118"/>
      <c r="O925" s="118"/>
      <c r="P925" s="118"/>
      <c r="Q925" s="118"/>
      <c r="R925" s="118"/>
      <c r="S925" s="118"/>
      <c r="T925" s="118"/>
      <c r="U925" s="118"/>
      <c r="V925" s="118"/>
      <c r="W925" s="118"/>
      <c r="X925" s="118"/>
      <c r="Y925" s="118"/>
      <c r="Z925" s="118"/>
    </row>
    <row r="926" spans="1:26" ht="14.25" customHeight="1">
      <c r="A926" s="118"/>
      <c r="B926" s="118"/>
      <c r="C926" s="118"/>
      <c r="D926" s="118"/>
      <c r="E926" s="118"/>
      <c r="F926" s="118"/>
      <c r="G926" s="118"/>
      <c r="H926" s="118"/>
      <c r="I926" s="118"/>
      <c r="J926" s="118"/>
      <c r="K926" s="118"/>
      <c r="L926" s="118"/>
      <c r="M926" s="118"/>
      <c r="N926" s="118"/>
      <c r="O926" s="118"/>
      <c r="P926" s="118"/>
      <c r="Q926" s="118"/>
      <c r="R926" s="118"/>
      <c r="S926" s="118"/>
      <c r="T926" s="118"/>
      <c r="U926" s="118"/>
      <c r="V926" s="118"/>
      <c r="W926" s="118"/>
      <c r="X926" s="118"/>
      <c r="Y926" s="118"/>
      <c r="Z926" s="118"/>
    </row>
    <row r="927" spans="1:26" ht="14.25" customHeight="1">
      <c r="A927" s="118"/>
      <c r="B927" s="118"/>
      <c r="C927" s="118"/>
      <c r="D927" s="118"/>
      <c r="E927" s="118"/>
      <c r="F927" s="118"/>
      <c r="G927" s="118"/>
      <c r="H927" s="118"/>
      <c r="I927" s="118"/>
      <c r="J927" s="118"/>
      <c r="K927" s="118"/>
      <c r="L927" s="118"/>
      <c r="M927" s="118"/>
      <c r="N927" s="118"/>
      <c r="O927" s="118"/>
      <c r="P927" s="118"/>
      <c r="Q927" s="118"/>
      <c r="R927" s="118"/>
      <c r="S927" s="118"/>
      <c r="T927" s="118"/>
      <c r="U927" s="118"/>
      <c r="V927" s="118"/>
      <c r="W927" s="118"/>
      <c r="X927" s="118"/>
      <c r="Y927" s="118"/>
      <c r="Z927" s="118"/>
    </row>
    <row r="928" spans="1:26" ht="14.25" customHeight="1">
      <c r="A928" s="118"/>
      <c r="B928" s="118"/>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row>
    <row r="929" spans="1:26" ht="14.25" customHeight="1">
      <c r="A929" s="118"/>
      <c r="B929" s="118"/>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row>
    <row r="930" spans="1:26" ht="14.25" customHeight="1">
      <c r="A930" s="118"/>
      <c r="B930" s="118"/>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row>
    <row r="931" spans="1:26" ht="14.25" customHeight="1">
      <c r="A931" s="118"/>
      <c r="B931" s="118"/>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row>
    <row r="932" spans="1:26" ht="14.25" customHeight="1">
      <c r="A932" s="118"/>
      <c r="B932" s="118"/>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row>
    <row r="933" spans="1:26" ht="14.25" customHeight="1">
      <c r="A933" s="118"/>
      <c r="B933" s="118"/>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row>
    <row r="934" spans="1:26" ht="14.25" customHeight="1">
      <c r="A934" s="118"/>
      <c r="B934" s="118"/>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row>
    <row r="935" spans="1:26" ht="14.25" customHeight="1">
      <c r="A935" s="118"/>
      <c r="B935" s="118"/>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row>
    <row r="936" spans="1:26" ht="14.25" customHeight="1">
      <c r="A936" s="118"/>
      <c r="B936" s="118"/>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row>
    <row r="937" spans="1:26" ht="14.25" customHeight="1">
      <c r="A937" s="118"/>
      <c r="B937" s="118"/>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row>
    <row r="938" spans="1:26" ht="14.25" customHeight="1">
      <c r="A938" s="118"/>
      <c r="B938" s="118"/>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row>
    <row r="939" spans="1:26" ht="14.25" customHeight="1">
      <c r="A939" s="118"/>
      <c r="B939" s="118"/>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row>
    <row r="940" spans="1:26" ht="14.25" customHeight="1">
      <c r="A940" s="118"/>
      <c r="B940" s="118"/>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row>
    <row r="941" spans="1:26" ht="14.25" customHeight="1">
      <c r="A941" s="118"/>
      <c r="B941" s="118"/>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row>
    <row r="942" spans="1:26" ht="14.25" customHeight="1">
      <c r="A942" s="118"/>
      <c r="B942" s="118"/>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row>
    <row r="943" spans="1:26" ht="14.25" customHeight="1">
      <c r="A943" s="118"/>
      <c r="B943" s="118"/>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row>
    <row r="944" spans="1:26" ht="14.25" customHeight="1">
      <c r="A944" s="118"/>
      <c r="B944" s="118"/>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row>
    <row r="945" spans="1:26" ht="14.25" customHeight="1">
      <c r="A945" s="118"/>
      <c r="B945" s="118"/>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row>
    <row r="946" spans="1:26" ht="14.25" customHeight="1">
      <c r="A946" s="118"/>
      <c r="B946" s="118"/>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row>
    <row r="947" spans="1:26" ht="14.25" customHeight="1">
      <c r="A947" s="118"/>
      <c r="B947" s="118"/>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row>
    <row r="948" spans="1:26" ht="14.25" customHeight="1">
      <c r="A948" s="118"/>
      <c r="B948" s="118"/>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row>
    <row r="949" spans="1:26" ht="14.25" customHeight="1">
      <c r="A949" s="118"/>
      <c r="B949" s="118"/>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row>
    <row r="950" spans="1:26" ht="14.25" customHeight="1">
      <c r="A950" s="118"/>
      <c r="B950" s="118"/>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row>
    <row r="951" spans="1:26" ht="14.25" customHeight="1">
      <c r="A951" s="118"/>
      <c r="B951" s="118"/>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row>
    <row r="952" spans="1:26" ht="14.25" customHeight="1">
      <c r="A952" s="118"/>
      <c r="B952" s="118"/>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row>
    <row r="953" spans="1:26" ht="14.25" customHeight="1">
      <c r="A953" s="118"/>
      <c r="B953" s="118"/>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row>
    <row r="954" spans="1:26" ht="14.25" customHeight="1">
      <c r="A954" s="118"/>
      <c r="B954" s="118"/>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row>
    <row r="955" spans="1:26" ht="14.25" customHeight="1">
      <c r="A955" s="118"/>
      <c r="B955" s="118"/>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row>
    <row r="956" spans="1:26" ht="14.25" customHeight="1">
      <c r="A956" s="118"/>
      <c r="B956" s="118"/>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row>
    <row r="957" spans="1:26" ht="14.25" customHeight="1">
      <c r="A957" s="118"/>
      <c r="B957" s="118"/>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row>
    <row r="958" spans="1:26" ht="14.25" customHeight="1">
      <c r="A958" s="118"/>
      <c r="B958" s="118"/>
      <c r="C958" s="118"/>
      <c r="D958" s="118"/>
      <c r="E958" s="118"/>
      <c r="F958" s="118"/>
      <c r="G958" s="118"/>
      <c r="H958" s="118"/>
      <c r="I958" s="118"/>
      <c r="J958" s="118"/>
      <c r="K958" s="118"/>
      <c r="L958" s="118"/>
      <c r="M958" s="118"/>
      <c r="N958" s="118"/>
      <c r="O958" s="118"/>
      <c r="P958" s="118"/>
      <c r="Q958" s="118"/>
      <c r="R958" s="118"/>
      <c r="S958" s="118"/>
      <c r="T958" s="118"/>
      <c r="U958" s="118"/>
      <c r="V958" s="118"/>
      <c r="W958" s="118"/>
      <c r="X958" s="118"/>
      <c r="Y958" s="118"/>
      <c r="Z958" s="118"/>
    </row>
    <row r="959" spans="1:26" ht="14.25" customHeight="1">
      <c r="A959" s="118"/>
      <c r="B959" s="118"/>
      <c r="C959" s="118"/>
      <c r="D959" s="118"/>
      <c r="E959" s="118"/>
      <c r="F959" s="118"/>
      <c r="G959" s="118"/>
      <c r="H959" s="118"/>
      <c r="I959" s="118"/>
      <c r="J959" s="118"/>
      <c r="K959" s="118"/>
      <c r="L959" s="118"/>
      <c r="M959" s="118"/>
      <c r="N959" s="118"/>
      <c r="O959" s="118"/>
      <c r="P959" s="118"/>
      <c r="Q959" s="118"/>
      <c r="R959" s="118"/>
      <c r="S959" s="118"/>
      <c r="T959" s="118"/>
      <c r="U959" s="118"/>
      <c r="V959" s="118"/>
      <c r="W959" s="118"/>
      <c r="X959" s="118"/>
      <c r="Y959" s="118"/>
      <c r="Z959" s="118"/>
    </row>
    <row r="960" spans="1:26" ht="14.25" customHeight="1">
      <c r="A960" s="118"/>
      <c r="B960" s="118"/>
      <c r="C960" s="118"/>
      <c r="D960" s="118"/>
      <c r="E960" s="118"/>
      <c r="F960" s="118"/>
      <c r="G960" s="118"/>
      <c r="H960" s="118"/>
      <c r="I960" s="118"/>
      <c r="J960" s="118"/>
      <c r="K960" s="118"/>
      <c r="L960" s="118"/>
      <c r="M960" s="118"/>
      <c r="N960" s="118"/>
      <c r="O960" s="118"/>
      <c r="P960" s="118"/>
      <c r="Q960" s="118"/>
      <c r="R960" s="118"/>
      <c r="S960" s="118"/>
      <c r="T960" s="118"/>
      <c r="U960" s="118"/>
      <c r="V960" s="118"/>
      <c r="W960" s="118"/>
      <c r="X960" s="118"/>
      <c r="Y960" s="118"/>
      <c r="Z960" s="118"/>
    </row>
    <row r="961" spans="1:26" ht="14.25" customHeight="1">
      <c r="A961" s="118"/>
      <c r="B961" s="118"/>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row>
    <row r="962" spans="1:26" ht="14.25" customHeight="1">
      <c r="A962" s="118"/>
      <c r="B962" s="118"/>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row>
    <row r="963" spans="1:26" ht="14.25" customHeight="1">
      <c r="A963" s="118"/>
      <c r="B963" s="118"/>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row>
    <row r="964" spans="1:26" ht="14.25" customHeight="1">
      <c r="A964" s="118"/>
      <c r="B964" s="118"/>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row>
    <row r="965" spans="1:26" ht="14.25" customHeight="1">
      <c r="A965" s="118"/>
      <c r="B965" s="118"/>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row>
    <row r="966" spans="1:26" ht="14.25" customHeight="1">
      <c r="A966" s="118"/>
      <c r="B966" s="118"/>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row>
    <row r="967" spans="1:26" ht="14.25" customHeight="1">
      <c r="A967" s="118"/>
      <c r="B967" s="118"/>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row>
    <row r="968" spans="1:26" ht="14.25" customHeight="1">
      <c r="A968" s="118"/>
      <c r="B968" s="118"/>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row>
    <row r="969" spans="1:26" ht="14.25" customHeight="1">
      <c r="A969" s="118"/>
      <c r="B969" s="118"/>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row>
    <row r="970" spans="1:26" ht="14.25" customHeight="1">
      <c r="A970" s="118"/>
      <c r="B970" s="118"/>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row>
    <row r="971" spans="1:26" ht="14.25" customHeight="1">
      <c r="A971" s="118"/>
      <c r="B971" s="118"/>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row>
    <row r="972" spans="1:26" ht="14.25" customHeight="1">
      <c r="A972" s="118"/>
      <c r="B972" s="118"/>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row>
    <row r="973" spans="1:26" ht="14.25" customHeight="1">
      <c r="A973" s="118"/>
      <c r="B973" s="118"/>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row>
    <row r="974" spans="1:26" ht="14.25" customHeight="1">
      <c r="A974" s="118"/>
      <c r="B974" s="118"/>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row>
    <row r="975" spans="1:26" ht="14.25" customHeight="1">
      <c r="A975" s="118"/>
      <c r="B975" s="118"/>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row>
    <row r="976" spans="1:26" ht="14.25" customHeight="1">
      <c r="A976" s="118"/>
      <c r="B976" s="118"/>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row>
    <row r="977" spans="1:26" ht="14.25" customHeight="1">
      <c r="A977" s="118"/>
      <c r="B977" s="118"/>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row>
    <row r="978" spans="1:26" ht="14.25" customHeight="1">
      <c r="A978" s="118"/>
      <c r="B978" s="118"/>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row>
    <row r="979" spans="1:26" ht="14.25" customHeight="1">
      <c r="A979" s="118"/>
      <c r="B979" s="118"/>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row>
    <row r="980" spans="1:26" ht="14.25" customHeight="1">
      <c r="A980" s="118"/>
      <c r="B980" s="118"/>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row>
    <row r="981" spans="1:26" ht="14.25" customHeight="1">
      <c r="A981" s="118"/>
      <c r="B981" s="118"/>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row>
    <row r="982" spans="1:26" ht="14.25" customHeight="1">
      <c r="A982" s="118"/>
      <c r="B982" s="118"/>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row>
    <row r="983" spans="1:26" ht="14.25" customHeight="1">
      <c r="A983" s="118"/>
      <c r="B983" s="118"/>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row>
    <row r="984" spans="1:26" ht="14.25" customHeight="1">
      <c r="A984" s="118"/>
      <c r="B984" s="118"/>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row>
    <row r="985" spans="1:26" ht="14.25" customHeight="1">
      <c r="A985" s="118"/>
      <c r="B985" s="118"/>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row>
    <row r="986" spans="1:26" ht="14.25" customHeight="1">
      <c r="A986" s="118"/>
      <c r="B986" s="118"/>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row>
    <row r="987" spans="1:26" ht="14.25" customHeight="1">
      <c r="A987" s="118"/>
      <c r="B987" s="118"/>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row>
    <row r="988" spans="1:26" ht="14.25" customHeight="1">
      <c r="A988" s="118"/>
      <c r="B988" s="118"/>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row>
    <row r="989" spans="1:26" ht="14.25" customHeight="1">
      <c r="A989" s="118"/>
      <c r="B989" s="118"/>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row>
    <row r="990" spans="1:26" ht="14.25" customHeight="1">
      <c r="A990" s="118"/>
      <c r="B990" s="118"/>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row>
    <row r="991" spans="1:26" ht="14.25" customHeight="1">
      <c r="A991" s="118"/>
      <c r="B991" s="118"/>
      <c r="C991" s="118"/>
      <c r="D991" s="118"/>
      <c r="E991" s="118"/>
      <c r="F991" s="118"/>
      <c r="G991" s="118"/>
      <c r="H991" s="118"/>
      <c r="I991" s="118"/>
      <c r="J991" s="118"/>
      <c r="K991" s="118"/>
      <c r="L991" s="118"/>
      <c r="M991" s="118"/>
      <c r="N991" s="118"/>
      <c r="O991" s="118"/>
      <c r="P991" s="118"/>
      <c r="Q991" s="118"/>
      <c r="R991" s="118"/>
      <c r="S991" s="118"/>
      <c r="T991" s="118"/>
      <c r="U991" s="118"/>
      <c r="V991" s="118"/>
      <c r="W991" s="118"/>
      <c r="X991" s="118"/>
      <c r="Y991" s="118"/>
      <c r="Z991" s="118"/>
    </row>
    <row r="992" spans="1:26" ht="14.25" customHeight="1">
      <c r="A992" s="118"/>
      <c r="B992" s="118"/>
      <c r="C992" s="118"/>
      <c r="D992" s="118"/>
      <c r="E992" s="118"/>
      <c r="F992" s="118"/>
      <c r="G992" s="118"/>
      <c r="H992" s="118"/>
      <c r="I992" s="118"/>
      <c r="J992" s="118"/>
      <c r="K992" s="118"/>
      <c r="L992" s="118"/>
      <c r="M992" s="118"/>
      <c r="N992" s="118"/>
      <c r="O992" s="118"/>
      <c r="P992" s="118"/>
      <c r="Q992" s="118"/>
      <c r="R992" s="118"/>
      <c r="S992" s="118"/>
      <c r="T992" s="118"/>
      <c r="U992" s="118"/>
      <c r="V992" s="118"/>
      <c r="W992" s="118"/>
      <c r="X992" s="118"/>
      <c r="Y992" s="118"/>
      <c r="Z992" s="118"/>
    </row>
    <row r="993" spans="1:26" ht="14.25" customHeight="1">
      <c r="A993" s="118"/>
      <c r="B993" s="118"/>
      <c r="C993" s="118"/>
      <c r="D993" s="118"/>
      <c r="E993" s="118"/>
      <c r="F993" s="118"/>
      <c r="G993" s="118"/>
      <c r="H993" s="118"/>
      <c r="I993" s="118"/>
      <c r="J993" s="118"/>
      <c r="K993" s="118"/>
      <c r="L993" s="118"/>
      <c r="M993" s="118"/>
      <c r="N993" s="118"/>
      <c r="O993" s="118"/>
      <c r="P993" s="118"/>
      <c r="Q993" s="118"/>
      <c r="R993" s="118"/>
      <c r="S993" s="118"/>
      <c r="T993" s="118"/>
      <c r="U993" s="118"/>
      <c r="V993" s="118"/>
      <c r="W993" s="118"/>
      <c r="X993" s="118"/>
      <c r="Y993" s="118"/>
      <c r="Z993" s="118"/>
    </row>
    <row r="994" spans="1:26" ht="14.25" customHeight="1">
      <c r="A994" s="118"/>
      <c r="B994" s="118"/>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row>
    <row r="995" spans="1:26" ht="14.25" customHeight="1">
      <c r="A995" s="118"/>
      <c r="B995" s="118"/>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row>
    <row r="996" spans="1:26" ht="14.25" customHeight="1">
      <c r="A996" s="118"/>
      <c r="B996" s="118"/>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row>
    <row r="997" spans="1:26" ht="14.25" customHeight="1">
      <c r="A997" s="118"/>
      <c r="B997" s="118"/>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row>
    <row r="998" spans="1:26" ht="14.25" customHeight="1">
      <c r="A998" s="118"/>
      <c r="B998" s="118"/>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row>
    <row r="999" spans="1:26" ht="14.25" customHeight="1">
      <c r="A999" s="118"/>
      <c r="B999" s="118"/>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row>
    <row r="1000" spans="1:26" ht="14.25" customHeight="1">
      <c r="A1000" s="118"/>
      <c r="B1000" s="118"/>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row>
  </sheetData>
  <mergeCells count="2">
    <mergeCell ref="A1:G3"/>
    <mergeCell ref="H25:M25"/>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1000"/>
  <sheetViews>
    <sheetView workbookViewId="0">
      <selection sqref="A1:J4"/>
    </sheetView>
  </sheetViews>
  <sheetFormatPr defaultColWidth="14.453125" defaultRowHeight="15" customHeight="1"/>
  <cols>
    <col min="1" max="1" width="15.6328125" customWidth="1"/>
    <col min="2" max="2" width="31.6328125" customWidth="1"/>
    <col min="3" max="3" width="12.6328125" customWidth="1"/>
    <col min="4" max="6" width="8.6328125" customWidth="1"/>
    <col min="7" max="7" width="10" customWidth="1"/>
    <col min="8" max="8" width="12.6328125" customWidth="1"/>
    <col min="9" max="26" width="8.6328125" customWidth="1"/>
  </cols>
  <sheetData>
    <row r="1" spans="1:10" ht="14.25" customHeight="1">
      <c r="A1" s="201" t="s">
        <v>82</v>
      </c>
      <c r="B1" s="188"/>
      <c r="C1" s="188"/>
      <c r="D1" s="188"/>
      <c r="E1" s="188"/>
      <c r="F1" s="188"/>
      <c r="G1" s="188"/>
      <c r="H1" s="188"/>
      <c r="I1" s="188"/>
      <c r="J1" s="188"/>
    </row>
    <row r="2" spans="1:10" ht="14.25" customHeight="1">
      <c r="A2" s="188"/>
      <c r="B2" s="188"/>
      <c r="C2" s="188"/>
      <c r="D2" s="188"/>
      <c r="E2" s="188"/>
      <c r="F2" s="188"/>
      <c r="G2" s="188"/>
      <c r="H2" s="188"/>
      <c r="I2" s="188"/>
      <c r="J2" s="188"/>
    </row>
    <row r="3" spans="1:10" ht="14.25" customHeight="1">
      <c r="A3" s="188"/>
      <c r="B3" s="188"/>
      <c r="C3" s="188"/>
      <c r="D3" s="188"/>
      <c r="E3" s="188"/>
      <c r="F3" s="188"/>
      <c r="G3" s="188"/>
      <c r="H3" s="188"/>
      <c r="I3" s="188"/>
      <c r="J3" s="188"/>
    </row>
    <row r="4" spans="1:10" ht="14.25" customHeight="1">
      <c r="A4" s="188"/>
      <c r="B4" s="188"/>
      <c r="C4" s="188"/>
      <c r="D4" s="188"/>
      <c r="E4" s="188"/>
      <c r="F4" s="188"/>
      <c r="G4" s="188"/>
      <c r="H4" s="188"/>
      <c r="I4" s="188"/>
      <c r="J4" s="188"/>
    </row>
    <row r="5" spans="1:10" ht="14.25" customHeight="1">
      <c r="A5" s="32"/>
      <c r="B5" s="32"/>
      <c r="C5" s="32"/>
      <c r="D5" s="32"/>
      <c r="E5" s="32"/>
      <c r="F5" s="32"/>
      <c r="G5" s="33"/>
      <c r="H5" s="33"/>
      <c r="I5" s="33"/>
      <c r="J5" s="33"/>
    </row>
    <row r="6" spans="1:10" ht="14.25" customHeight="1">
      <c r="A6" s="34"/>
      <c r="B6" s="32">
        <v>17000</v>
      </c>
      <c r="C6" s="34"/>
      <c r="D6" s="32"/>
      <c r="E6" s="34"/>
      <c r="F6" s="32"/>
      <c r="G6" s="33"/>
      <c r="H6" s="33"/>
      <c r="I6" s="33"/>
      <c r="J6" s="33"/>
    </row>
    <row r="7" spans="1:10" ht="14.25" customHeight="1">
      <c r="A7" s="34"/>
      <c r="B7" s="32">
        <v>5200</v>
      </c>
      <c r="C7" s="34"/>
      <c r="E7" s="34"/>
      <c r="F7" s="32"/>
      <c r="G7" s="33"/>
      <c r="H7" s="33"/>
      <c r="I7" s="33"/>
      <c r="J7" s="33"/>
    </row>
    <row r="8" spans="1:10" ht="14.25" customHeight="1">
      <c r="A8" s="32">
        <v>3</v>
      </c>
      <c r="B8" s="32">
        <v>1.0349999999999999</v>
      </c>
      <c r="C8" s="34"/>
      <c r="D8" s="32"/>
      <c r="E8" s="34"/>
      <c r="F8" s="32"/>
      <c r="G8" s="33"/>
      <c r="H8" s="33"/>
      <c r="I8" s="33"/>
      <c r="J8" s="33"/>
    </row>
    <row r="9" spans="1:10" ht="14.25" customHeight="1">
      <c r="A9" s="32">
        <v>5</v>
      </c>
      <c r="B9" s="15">
        <v>1.0269999999999999</v>
      </c>
      <c r="C9" s="34"/>
      <c r="D9" s="35"/>
      <c r="E9" s="34"/>
      <c r="F9" s="35"/>
      <c r="G9" s="33"/>
      <c r="H9" s="33"/>
      <c r="I9" s="33"/>
      <c r="J9" s="33"/>
    </row>
    <row r="10" spans="1:10" ht="14.25" customHeight="1">
      <c r="A10" s="32">
        <v>2</v>
      </c>
      <c r="B10" s="15">
        <v>1.0149999999999999</v>
      </c>
      <c r="C10" s="34"/>
      <c r="D10" s="35"/>
      <c r="E10" s="34"/>
      <c r="F10" s="35"/>
      <c r="G10" s="33"/>
      <c r="H10" s="33"/>
      <c r="I10" s="33"/>
      <c r="J10" s="33"/>
    </row>
    <row r="11" spans="1:10" ht="14.25" customHeight="1">
      <c r="A11" s="34"/>
      <c r="B11" s="33"/>
      <c r="C11" s="36"/>
      <c r="D11" s="33"/>
      <c r="E11" s="34"/>
      <c r="F11" s="33"/>
      <c r="G11" s="33"/>
      <c r="H11" s="33"/>
      <c r="I11" s="33"/>
      <c r="J11" s="33"/>
    </row>
    <row r="12" spans="1:10" ht="14.25" customHeight="1">
      <c r="C12" s="36"/>
    </row>
    <row r="13" spans="1:10" ht="14.25" customHeight="1"/>
    <row r="14" spans="1:10" ht="14.25" customHeight="1">
      <c r="A14" s="18" t="s">
        <v>83</v>
      </c>
      <c r="B14" s="37" t="s">
        <v>84</v>
      </c>
      <c r="C14" s="17">
        <f>B6*B8^3</f>
        <v>18848.203874999996</v>
      </c>
    </row>
    <row r="15" spans="1:10" ht="14.25" customHeight="1">
      <c r="B15" s="38"/>
    </row>
    <row r="16" spans="1:10" ht="29">
      <c r="A16" s="18" t="s">
        <v>85</v>
      </c>
      <c r="B16" s="37" t="s">
        <v>86</v>
      </c>
      <c r="C16" s="17">
        <f>C14*B9^3-5200</f>
        <v>15216.500399946486</v>
      </c>
    </row>
    <row r="17" spans="1:3" ht="14.25" customHeight="1">
      <c r="B17" s="38"/>
    </row>
    <row r="18" spans="1:3" ht="14.25" customHeight="1">
      <c r="A18" s="18" t="s">
        <v>87</v>
      </c>
      <c r="B18" s="37" t="s">
        <v>88</v>
      </c>
      <c r="C18" s="17">
        <f>C16*B9^2*B10^2</f>
        <v>16534.373866801532</v>
      </c>
    </row>
    <row r="19" spans="1:3" ht="14.25" customHeight="1"/>
    <row r="20" spans="1:3" ht="14.25" customHeight="1">
      <c r="C20" s="25"/>
    </row>
    <row r="21" spans="1:3" ht="14.25" customHeight="1"/>
    <row r="22" spans="1:3" ht="14.25" customHeight="1"/>
    <row r="23" spans="1:3" ht="14.25" customHeight="1"/>
    <row r="24" spans="1:3" ht="14.25" customHeight="1"/>
    <row r="25" spans="1:3" ht="14.25" customHeight="1"/>
    <row r="26" spans="1:3" ht="14.25" customHeight="1"/>
    <row r="27" spans="1:3" ht="14.25" customHeight="1"/>
    <row r="28" spans="1:3" ht="14.25" customHeight="1"/>
    <row r="29" spans="1:3" ht="14.25" customHeight="1"/>
    <row r="30" spans="1:3" ht="14.25" customHeight="1"/>
    <row r="31" spans="1:3" ht="14.25" customHeight="1"/>
    <row r="32" spans="1:3"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J4"/>
  </mergeCell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1001"/>
  <sheetViews>
    <sheetView workbookViewId="0">
      <selection sqref="A1:J5"/>
    </sheetView>
  </sheetViews>
  <sheetFormatPr defaultColWidth="14.453125" defaultRowHeight="15" customHeight="1"/>
  <cols>
    <col min="1" max="1" width="8.6328125" customWidth="1"/>
    <col min="2" max="2" width="15" customWidth="1"/>
    <col min="3" max="3" width="17" customWidth="1"/>
    <col min="4" max="4" width="10.6328125" customWidth="1"/>
    <col min="5" max="6" width="8.6328125" customWidth="1"/>
    <col min="7" max="7" width="13.6328125" customWidth="1"/>
    <col min="8" max="8" width="15.453125" customWidth="1"/>
    <col min="9" max="9" width="9.6328125" customWidth="1"/>
    <col min="10" max="26" width="8.6328125" customWidth="1"/>
  </cols>
  <sheetData>
    <row r="1" spans="1:10" ht="15" customHeight="1">
      <c r="A1" s="202" t="s">
        <v>245</v>
      </c>
      <c r="B1" s="188"/>
      <c r="C1" s="188"/>
      <c r="D1" s="188"/>
      <c r="E1" s="188"/>
      <c r="F1" s="188"/>
      <c r="G1" s="188"/>
      <c r="H1" s="188"/>
      <c r="I1" s="188"/>
      <c r="J1" s="188"/>
    </row>
    <row r="2" spans="1:10" ht="15" customHeight="1">
      <c r="A2" s="188"/>
      <c r="B2" s="188"/>
      <c r="C2" s="188"/>
      <c r="D2" s="188"/>
      <c r="E2" s="188"/>
      <c r="F2" s="188"/>
      <c r="G2" s="188"/>
      <c r="H2" s="188"/>
      <c r="I2" s="188"/>
      <c r="J2" s="188"/>
    </row>
    <row r="3" spans="1:10" ht="15" customHeight="1">
      <c r="A3" s="188"/>
      <c r="B3" s="188"/>
      <c r="C3" s="188"/>
      <c r="D3" s="188"/>
      <c r="E3" s="188"/>
      <c r="F3" s="188"/>
      <c r="G3" s="188"/>
      <c r="H3" s="188"/>
      <c r="I3" s="188"/>
      <c r="J3" s="188"/>
    </row>
    <row r="4" spans="1:10" ht="15" customHeight="1">
      <c r="A4" s="188"/>
      <c r="B4" s="188"/>
      <c r="C4" s="188"/>
      <c r="D4" s="188"/>
      <c r="E4" s="188"/>
      <c r="F4" s="188"/>
      <c r="G4" s="188"/>
      <c r="H4" s="188"/>
      <c r="I4" s="188"/>
      <c r="J4" s="188"/>
    </row>
    <row r="5" spans="1:10" ht="15" customHeight="1">
      <c r="A5" s="188"/>
      <c r="B5" s="188"/>
      <c r="C5" s="188"/>
      <c r="D5" s="188"/>
      <c r="E5" s="188"/>
      <c r="F5" s="188"/>
      <c r="G5" s="188"/>
      <c r="H5" s="188"/>
      <c r="I5" s="188"/>
      <c r="J5" s="188"/>
    </row>
    <row r="6" spans="1:10" ht="15" customHeight="1">
      <c r="A6" s="39"/>
      <c r="B6" s="39"/>
      <c r="C6" s="39"/>
      <c r="D6" s="39"/>
      <c r="E6" s="39"/>
      <c r="F6" s="39"/>
      <c r="G6" s="39"/>
      <c r="H6" s="39"/>
      <c r="I6" s="39"/>
      <c r="J6" s="39"/>
    </row>
    <row r="7" spans="1:10" ht="15" customHeight="1">
      <c r="A7" s="39" t="s">
        <v>89</v>
      </c>
      <c r="B7" s="40">
        <v>52000</v>
      </c>
      <c r="C7" s="39"/>
      <c r="D7" s="39"/>
      <c r="E7" s="39"/>
      <c r="F7" s="39"/>
      <c r="G7" s="39"/>
      <c r="H7" s="39"/>
      <c r="I7" s="39"/>
      <c r="J7" s="39"/>
    </row>
    <row r="8" spans="1:10" ht="15" customHeight="1">
      <c r="A8" s="39" t="s">
        <v>90</v>
      </c>
      <c r="B8" s="41">
        <v>1.4999999999999999E-2</v>
      </c>
      <c r="C8" s="39"/>
      <c r="D8" s="39"/>
      <c r="E8" s="39"/>
      <c r="F8" s="39"/>
      <c r="G8" s="39"/>
      <c r="H8" s="39"/>
      <c r="I8" s="39"/>
      <c r="J8" s="39"/>
    </row>
    <row r="9" spans="1:10" ht="15" customHeight="1">
      <c r="A9" s="3" t="s">
        <v>91</v>
      </c>
      <c r="B9" s="42">
        <f>1+B8</f>
        <v>1.0149999999999999</v>
      </c>
    </row>
    <row r="10" spans="1:10" ht="15" customHeight="1">
      <c r="A10" s="203" t="s">
        <v>92</v>
      </c>
      <c r="B10" s="183"/>
      <c r="C10" s="181"/>
      <c r="F10" s="203" t="s">
        <v>93</v>
      </c>
      <c r="G10" s="183"/>
      <c r="H10" s="181"/>
    </row>
    <row r="11" spans="1:10" ht="15" customHeight="1">
      <c r="A11" s="28" t="s">
        <v>94</v>
      </c>
      <c r="B11" s="44" t="s">
        <v>95</v>
      </c>
      <c r="C11" s="28" t="s">
        <v>96</v>
      </c>
      <c r="D11" s="20"/>
      <c r="E11" s="20"/>
      <c r="F11" s="28" t="s">
        <v>94</v>
      </c>
      <c r="G11" s="44" t="s">
        <v>95</v>
      </c>
      <c r="H11" s="28" t="s">
        <v>96</v>
      </c>
    </row>
    <row r="12" spans="1:10" ht="15" customHeight="1">
      <c r="A12" s="7">
        <v>0</v>
      </c>
      <c r="B12" s="45"/>
      <c r="C12" s="45">
        <f>B7</f>
        <v>52000</v>
      </c>
      <c r="F12" s="7">
        <v>0</v>
      </c>
      <c r="G12" s="45"/>
      <c r="H12" s="45">
        <f>B7</f>
        <v>52000</v>
      </c>
    </row>
    <row r="13" spans="1:10" ht="15" customHeight="1">
      <c r="A13" s="7">
        <v>1</v>
      </c>
      <c r="B13" s="45">
        <f>ROUND($C$12*$B$8,2)</f>
        <v>780</v>
      </c>
      <c r="C13" s="45">
        <f t="shared" ref="C13:C22" si="0">C12+B13</f>
        <v>52780</v>
      </c>
      <c r="F13" s="7">
        <v>1</v>
      </c>
      <c r="G13" s="45">
        <f t="shared" ref="G13:G22" si="1">ROUND(H12*$B$8,2)</f>
        <v>780</v>
      </c>
      <c r="H13" s="45">
        <f t="shared" ref="H13:H22" si="2">H12+G13</f>
        <v>52780</v>
      </c>
    </row>
    <row r="14" spans="1:10" ht="15" customHeight="1">
      <c r="A14" s="7">
        <v>2</v>
      </c>
      <c r="B14" s="45">
        <f t="shared" ref="B14:B22" si="3">ROUND($C$12*$B$8,2)</f>
        <v>780</v>
      </c>
      <c r="C14" s="45">
        <f t="shared" si="0"/>
        <v>53560</v>
      </c>
      <c r="F14" s="7">
        <v>2</v>
      </c>
      <c r="G14" s="45">
        <f>ROUND(H13*$B$8,2)</f>
        <v>791.7</v>
      </c>
      <c r="H14" s="45">
        <f t="shared" si="2"/>
        <v>53571.7</v>
      </c>
    </row>
    <row r="15" spans="1:10" ht="15" customHeight="1">
      <c r="A15" s="7">
        <v>3</v>
      </c>
      <c r="B15" s="45">
        <f t="shared" si="3"/>
        <v>780</v>
      </c>
      <c r="C15" s="45">
        <f t="shared" si="0"/>
        <v>54340</v>
      </c>
      <c r="F15" s="7">
        <v>3</v>
      </c>
      <c r="G15" s="45">
        <f t="shared" si="1"/>
        <v>803.58</v>
      </c>
      <c r="H15" s="45">
        <f t="shared" si="2"/>
        <v>54375.28</v>
      </c>
    </row>
    <row r="16" spans="1:10" ht="15" customHeight="1">
      <c r="A16" s="7">
        <v>4</v>
      </c>
      <c r="B16" s="45">
        <f t="shared" si="3"/>
        <v>780</v>
      </c>
      <c r="C16" s="45">
        <f t="shared" si="0"/>
        <v>55120</v>
      </c>
      <c r="F16" s="7">
        <v>4</v>
      </c>
      <c r="G16" s="45">
        <f t="shared" si="1"/>
        <v>815.63</v>
      </c>
      <c r="H16" s="45">
        <f t="shared" si="2"/>
        <v>55190.909999999996</v>
      </c>
    </row>
    <row r="17" spans="1:9" ht="15" customHeight="1">
      <c r="A17" s="7">
        <v>5</v>
      </c>
      <c r="B17" s="45">
        <f t="shared" si="3"/>
        <v>780</v>
      </c>
      <c r="C17" s="45">
        <f t="shared" si="0"/>
        <v>55900</v>
      </c>
      <c r="F17" s="7">
        <v>5</v>
      </c>
      <c r="G17" s="45">
        <f t="shared" si="1"/>
        <v>827.86</v>
      </c>
      <c r="H17" s="45">
        <f t="shared" si="2"/>
        <v>56018.77</v>
      </c>
    </row>
    <row r="18" spans="1:9" ht="15" customHeight="1">
      <c r="A18" s="7">
        <v>6</v>
      </c>
      <c r="B18" s="45">
        <f t="shared" si="3"/>
        <v>780</v>
      </c>
      <c r="C18" s="45">
        <f t="shared" si="0"/>
        <v>56680</v>
      </c>
      <c r="F18" s="7">
        <v>6</v>
      </c>
      <c r="G18" s="45">
        <f t="shared" si="1"/>
        <v>840.28</v>
      </c>
      <c r="H18" s="45">
        <f t="shared" si="2"/>
        <v>56859.049999999996</v>
      </c>
    </row>
    <row r="19" spans="1:9" ht="15" customHeight="1">
      <c r="A19" s="7">
        <v>7</v>
      </c>
      <c r="B19" s="45">
        <f t="shared" si="3"/>
        <v>780</v>
      </c>
      <c r="C19" s="45">
        <f t="shared" si="0"/>
        <v>57460</v>
      </c>
      <c r="D19" s="46"/>
      <c r="F19" s="7">
        <v>7</v>
      </c>
      <c r="G19" s="45">
        <f t="shared" si="1"/>
        <v>852.89</v>
      </c>
      <c r="H19" s="45">
        <f t="shared" si="2"/>
        <v>57711.939999999995</v>
      </c>
      <c r="I19" s="46"/>
    </row>
    <row r="20" spans="1:9" ht="15" customHeight="1">
      <c r="A20" s="7">
        <v>8</v>
      </c>
      <c r="B20" s="45">
        <f t="shared" si="3"/>
        <v>780</v>
      </c>
      <c r="C20" s="45">
        <f t="shared" si="0"/>
        <v>58240</v>
      </c>
      <c r="D20" s="46"/>
      <c r="F20" s="7">
        <v>8</v>
      </c>
      <c r="G20" s="45">
        <f t="shared" si="1"/>
        <v>865.68</v>
      </c>
      <c r="H20" s="45">
        <f t="shared" si="2"/>
        <v>58577.619999999995</v>
      </c>
      <c r="I20" s="46"/>
    </row>
    <row r="21" spans="1:9" ht="15" customHeight="1">
      <c r="A21" s="7">
        <v>9</v>
      </c>
      <c r="B21" s="45">
        <f t="shared" si="3"/>
        <v>780</v>
      </c>
      <c r="C21" s="45">
        <f t="shared" si="0"/>
        <v>59020</v>
      </c>
      <c r="D21" s="46"/>
      <c r="F21" s="7">
        <v>9</v>
      </c>
      <c r="G21" s="45">
        <f t="shared" si="1"/>
        <v>878.66</v>
      </c>
      <c r="H21" s="45">
        <f t="shared" si="2"/>
        <v>59456.28</v>
      </c>
      <c r="I21" s="46"/>
    </row>
    <row r="22" spans="1:9" ht="15" customHeight="1">
      <c r="A22" s="7">
        <v>10</v>
      </c>
      <c r="B22" s="45">
        <f t="shared" si="3"/>
        <v>780</v>
      </c>
      <c r="C22" s="45">
        <f t="shared" si="0"/>
        <v>59800</v>
      </c>
      <c r="D22" s="46" t="s">
        <v>97</v>
      </c>
      <c r="F22" s="7">
        <v>10</v>
      </c>
      <c r="G22" s="45">
        <f t="shared" si="1"/>
        <v>891.84</v>
      </c>
      <c r="H22" s="45">
        <f t="shared" si="2"/>
        <v>60348.119999999995</v>
      </c>
      <c r="I22" s="46" t="s">
        <v>97</v>
      </c>
    </row>
    <row r="24" spans="1:9" ht="58">
      <c r="A24" s="46" t="s">
        <v>83</v>
      </c>
      <c r="B24" s="23" t="s">
        <v>98</v>
      </c>
      <c r="C24" s="47">
        <f>ROUND(H22/C22-1,4)</f>
        <v>9.1999999999999998E-3</v>
      </c>
    </row>
    <row r="25" spans="1:9" ht="15" customHeight="1">
      <c r="C25" s="25"/>
    </row>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3">
    <mergeCell ref="A1:J5"/>
    <mergeCell ref="A10:C10"/>
    <mergeCell ref="F10:H10"/>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000"/>
  <sheetViews>
    <sheetView workbookViewId="0">
      <selection sqref="A1:M3"/>
    </sheetView>
  </sheetViews>
  <sheetFormatPr defaultColWidth="14.453125" defaultRowHeight="15" customHeight="1"/>
  <cols>
    <col min="1" max="2" width="8.6328125" customWidth="1"/>
    <col min="3" max="3" width="12.36328125" customWidth="1"/>
    <col min="4" max="4" width="17.36328125" customWidth="1"/>
    <col min="5" max="6" width="8.6328125" customWidth="1"/>
    <col min="7" max="7" width="11" customWidth="1"/>
    <col min="8" max="8" width="13.453125" customWidth="1"/>
    <col min="9" max="9" width="10.36328125" customWidth="1"/>
    <col min="10" max="10" width="14.6328125" customWidth="1"/>
    <col min="11" max="26" width="8.6328125" customWidth="1"/>
  </cols>
  <sheetData>
    <row r="1" spans="1:13" ht="15" customHeight="1">
      <c r="A1" s="187" t="s">
        <v>99</v>
      </c>
      <c r="B1" s="188"/>
      <c r="C1" s="188"/>
      <c r="D1" s="188"/>
      <c r="E1" s="188"/>
      <c r="F1" s="188"/>
      <c r="G1" s="188"/>
      <c r="H1" s="188"/>
      <c r="I1" s="188"/>
      <c r="J1" s="188"/>
      <c r="K1" s="188"/>
      <c r="L1" s="188"/>
      <c r="M1" s="188"/>
    </row>
    <row r="2" spans="1:13" ht="15" customHeight="1">
      <c r="A2" s="188"/>
      <c r="B2" s="188"/>
      <c r="C2" s="188"/>
      <c r="D2" s="188"/>
      <c r="E2" s="188"/>
      <c r="F2" s="188"/>
      <c r="G2" s="188"/>
      <c r="H2" s="188"/>
      <c r="I2" s="188"/>
      <c r="J2" s="188"/>
      <c r="K2" s="188"/>
      <c r="L2" s="188"/>
      <c r="M2" s="188"/>
    </row>
    <row r="3" spans="1:13" ht="15" customHeight="1">
      <c r="A3" s="188"/>
      <c r="B3" s="188"/>
      <c r="C3" s="188"/>
      <c r="D3" s="188"/>
      <c r="E3" s="188"/>
      <c r="F3" s="188"/>
      <c r="G3" s="188"/>
      <c r="H3" s="188"/>
      <c r="I3" s="188"/>
      <c r="J3" s="188"/>
      <c r="K3" s="188"/>
      <c r="L3" s="188"/>
      <c r="M3" s="188"/>
    </row>
    <row r="4" spans="1:13" ht="15" customHeight="1">
      <c r="A4" s="23"/>
      <c r="B4" s="23"/>
      <c r="C4" s="23"/>
      <c r="D4" s="23"/>
      <c r="E4" s="23"/>
      <c r="F4" s="23"/>
      <c r="G4" s="23"/>
      <c r="H4" s="23"/>
      <c r="I4" s="23"/>
      <c r="J4" s="23"/>
      <c r="K4" s="23"/>
      <c r="L4" s="23"/>
      <c r="M4" s="23"/>
    </row>
    <row r="5" spans="1:13" ht="15" customHeight="1">
      <c r="A5" s="23"/>
      <c r="B5" s="23"/>
      <c r="C5" s="23"/>
      <c r="D5" s="23"/>
      <c r="E5" s="23"/>
      <c r="F5" s="23"/>
      <c r="G5" s="23"/>
      <c r="H5" s="23"/>
      <c r="I5" s="23"/>
      <c r="J5" s="23"/>
      <c r="K5" s="23"/>
      <c r="L5" s="23"/>
      <c r="M5" s="23"/>
    </row>
    <row r="8" spans="1:13" ht="15" customHeight="1">
      <c r="C8" s="3" t="s">
        <v>100</v>
      </c>
      <c r="G8" s="3" t="s">
        <v>101</v>
      </c>
    </row>
    <row r="10" spans="1:13" ht="15" customHeight="1">
      <c r="F10" s="18" t="s">
        <v>102</v>
      </c>
      <c r="G10" s="3" t="s">
        <v>103</v>
      </c>
      <c r="H10" s="48">
        <f>-D21</f>
        <v>-96413.273603266847</v>
      </c>
    </row>
    <row r="11" spans="1:13" ht="15" customHeight="1">
      <c r="C11" s="3" t="s">
        <v>104</v>
      </c>
      <c r="D11" s="48">
        <v>-720</v>
      </c>
    </row>
    <row r="12" spans="1:13" ht="15" customHeight="1">
      <c r="C12" s="3" t="s">
        <v>105</v>
      </c>
      <c r="D12" s="25">
        <v>23</v>
      </c>
      <c r="G12" s="3" t="s">
        <v>105</v>
      </c>
      <c r="H12" s="25">
        <v>27</v>
      </c>
    </row>
    <row r="13" spans="1:13" ht="15" customHeight="1">
      <c r="C13" s="3" t="s">
        <v>106</v>
      </c>
      <c r="D13" s="25">
        <v>4</v>
      </c>
      <c r="G13" s="3" t="s">
        <v>106</v>
      </c>
      <c r="H13" s="25">
        <v>12</v>
      </c>
    </row>
    <row r="14" spans="1:13" ht="15" customHeight="1">
      <c r="C14" s="3" t="s">
        <v>107</v>
      </c>
      <c r="D14" s="22">
        <v>3.1E-2</v>
      </c>
      <c r="G14" s="3" t="s">
        <v>107</v>
      </c>
      <c r="H14" s="22">
        <v>1.4999999999999999E-2</v>
      </c>
    </row>
    <row r="15" spans="1:13" ht="15" customHeight="1">
      <c r="C15" s="3" t="s">
        <v>108</v>
      </c>
      <c r="D15" s="49">
        <f>1+D14</f>
        <v>1.0309999999999999</v>
      </c>
      <c r="G15" s="3" t="s">
        <v>108</v>
      </c>
      <c r="H15" s="49">
        <f>1+H14</f>
        <v>1.0149999999999999</v>
      </c>
    </row>
    <row r="17" spans="2:9" ht="15" customHeight="1">
      <c r="B17" s="18" t="s">
        <v>102</v>
      </c>
      <c r="C17" s="3" t="s">
        <v>109</v>
      </c>
      <c r="D17" s="25">
        <f>D15^(1/D13)</f>
        <v>1.0076615015110584</v>
      </c>
      <c r="G17" s="3" t="s">
        <v>109</v>
      </c>
      <c r="H17" s="25">
        <f>H15^(1/H13)</f>
        <v>1.0012414877164493</v>
      </c>
      <c r="I17" s="18"/>
    </row>
    <row r="18" spans="2:9" ht="15" customHeight="1">
      <c r="B18" s="18" t="s">
        <v>102</v>
      </c>
      <c r="C18" s="3" t="s">
        <v>110</v>
      </c>
      <c r="D18" s="50">
        <f>D17-1</f>
        <v>7.6615015110583773E-3</v>
      </c>
      <c r="G18" s="3" t="s">
        <v>110</v>
      </c>
      <c r="H18" s="50">
        <f>H17-1</f>
        <v>1.2414877164492744E-3</v>
      </c>
      <c r="I18" s="18"/>
    </row>
    <row r="19" spans="2:9" ht="15" customHeight="1">
      <c r="B19" s="18" t="s">
        <v>102</v>
      </c>
      <c r="C19" s="3" t="s">
        <v>111</v>
      </c>
      <c r="D19" s="25">
        <f>D13*D12</f>
        <v>92</v>
      </c>
      <c r="G19" s="3" t="s">
        <v>111</v>
      </c>
      <c r="H19" s="25">
        <f>H13*H12</f>
        <v>324</v>
      </c>
      <c r="I19" s="18"/>
    </row>
    <row r="21" spans="2:9" ht="15" customHeight="1">
      <c r="B21" s="18" t="s">
        <v>112</v>
      </c>
      <c r="C21" s="51" t="s">
        <v>113</v>
      </c>
      <c r="D21" s="17">
        <f>FV(D18,D19,D11,0,1)</f>
        <v>96413.273603266847</v>
      </c>
      <c r="F21" s="18" t="s">
        <v>112</v>
      </c>
      <c r="G21" s="51" t="s">
        <v>114</v>
      </c>
      <c r="H21" s="17">
        <f>PMT(H18,H19,H10,0,1)</f>
        <v>361.15506765749257</v>
      </c>
    </row>
    <row r="23" spans="2:9" ht="15" customHeight="1">
      <c r="G23" s="25"/>
    </row>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1">
    <mergeCell ref="A1:M3"/>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K996"/>
  <sheetViews>
    <sheetView workbookViewId="0">
      <selection activeCell="A4" sqref="A4"/>
    </sheetView>
  </sheetViews>
  <sheetFormatPr defaultColWidth="14.453125" defaultRowHeight="15" customHeight="1"/>
  <cols>
    <col min="1" max="2" width="8.6328125" customWidth="1"/>
    <col min="3" max="3" width="12.54296875" customWidth="1"/>
    <col min="4" max="4" width="12.6328125" customWidth="1"/>
    <col min="5" max="5" width="11.6328125" customWidth="1"/>
    <col min="6" max="6" width="12.36328125" customWidth="1"/>
    <col min="7" max="7" width="8.6328125" customWidth="1"/>
    <col min="8" max="8" width="11.6328125" customWidth="1"/>
    <col min="9" max="26" width="8.6328125" customWidth="1"/>
  </cols>
  <sheetData>
    <row r="1" spans="1:11" ht="15" customHeight="1">
      <c r="A1" s="187" t="s">
        <v>268</v>
      </c>
      <c r="B1" s="188"/>
      <c r="C1" s="188"/>
      <c r="D1" s="188"/>
      <c r="E1" s="188"/>
      <c r="F1" s="188"/>
      <c r="G1" s="188"/>
      <c r="H1" s="188"/>
      <c r="I1" s="188"/>
      <c r="J1" s="188"/>
      <c r="K1" s="188"/>
    </row>
    <row r="2" spans="1:11" ht="15" customHeight="1">
      <c r="A2" s="188"/>
      <c r="B2" s="188"/>
      <c r="C2" s="188"/>
      <c r="D2" s="188"/>
      <c r="E2" s="188"/>
      <c r="F2" s="188"/>
      <c r="G2" s="188"/>
      <c r="H2" s="188"/>
      <c r="I2" s="188"/>
      <c r="J2" s="188"/>
      <c r="K2" s="188"/>
    </row>
    <row r="3" spans="1:11" ht="15" customHeight="1">
      <c r="A3" s="188"/>
      <c r="B3" s="188"/>
      <c r="C3" s="188"/>
      <c r="D3" s="188"/>
      <c r="E3" s="188"/>
      <c r="F3" s="188"/>
      <c r="G3" s="188"/>
      <c r="H3" s="188"/>
      <c r="I3" s="188"/>
      <c r="J3" s="188"/>
      <c r="K3" s="188"/>
    </row>
    <row r="4" spans="1:11" ht="15" customHeight="1">
      <c r="A4" s="18" t="s">
        <v>115</v>
      </c>
    </row>
    <row r="6" spans="1:11" ht="15" customHeight="1">
      <c r="B6" s="3" t="s">
        <v>89</v>
      </c>
      <c r="C6" s="17">
        <v>8000</v>
      </c>
    </row>
    <row r="7" spans="1:11" ht="15" customHeight="1">
      <c r="B7" s="3" t="s">
        <v>105</v>
      </c>
      <c r="C7" s="25">
        <v>6</v>
      </c>
    </row>
    <row r="8" spans="1:11" ht="15" customHeight="1">
      <c r="B8" s="3" t="s">
        <v>106</v>
      </c>
      <c r="C8" s="25">
        <v>4</v>
      </c>
      <c r="E8" s="3" t="s">
        <v>116</v>
      </c>
      <c r="F8" s="25">
        <f>C7*C8</f>
        <v>24</v>
      </c>
      <c r="G8" s="18" t="s">
        <v>117</v>
      </c>
    </row>
    <row r="9" spans="1:11" ht="15" customHeight="1">
      <c r="B9" s="3" t="s">
        <v>107</v>
      </c>
      <c r="C9" s="22">
        <v>5.0999999999999997E-2</v>
      </c>
      <c r="E9" s="3" t="s">
        <v>118</v>
      </c>
      <c r="F9" s="52">
        <f>C9/C8</f>
        <v>1.2749999999999999E-2</v>
      </c>
      <c r="G9" s="18" t="s">
        <v>117</v>
      </c>
    </row>
    <row r="10" spans="1:11" ht="15" customHeight="1">
      <c r="B10" s="3" t="s">
        <v>108</v>
      </c>
      <c r="C10" s="53">
        <f>1+C9</f>
        <v>1.0509999999999999</v>
      </c>
      <c r="E10" s="3" t="s">
        <v>119</v>
      </c>
      <c r="F10" s="54">
        <f>1+F9</f>
        <v>1.01275</v>
      </c>
      <c r="G10" s="18" t="s">
        <v>117</v>
      </c>
    </row>
    <row r="12" spans="1:11" ht="15" customHeight="1">
      <c r="E12" s="3" t="s">
        <v>120</v>
      </c>
      <c r="F12" s="48">
        <f>ROUND(PMT(F9,F8,C6,0,0),2)</f>
        <v>-389.03</v>
      </c>
      <c r="G12" s="18" t="s">
        <v>121</v>
      </c>
      <c r="H12" s="55"/>
    </row>
    <row r="13" spans="1:11" ht="15" customHeight="1">
      <c r="G13" s="18"/>
      <c r="H13" s="55"/>
    </row>
    <row r="15" spans="1:11" ht="15" customHeight="1">
      <c r="B15" s="31" t="s">
        <v>122</v>
      </c>
      <c r="C15" s="31" t="s">
        <v>120</v>
      </c>
      <c r="D15" s="31" t="s">
        <v>123</v>
      </c>
      <c r="E15" s="31" t="s">
        <v>124</v>
      </c>
      <c r="F15" s="31" t="s">
        <v>125</v>
      </c>
      <c r="G15" s="15"/>
    </row>
    <row r="16" spans="1:11" ht="15" customHeight="1">
      <c r="B16" s="56">
        <v>0</v>
      </c>
      <c r="C16" s="57"/>
      <c r="D16" s="57"/>
      <c r="E16" s="57"/>
      <c r="F16" s="58">
        <f>C6</f>
        <v>8000</v>
      </c>
      <c r="G16" s="15"/>
    </row>
    <row r="17" spans="2:7" ht="15" customHeight="1">
      <c r="B17" s="59">
        <v>1</v>
      </c>
      <c r="C17" s="57">
        <f t="shared" ref="C17:C39" si="0">-$F$12</f>
        <v>389.03</v>
      </c>
      <c r="D17" s="57">
        <f t="shared" ref="D17:D40" si="1">ROUND(F16*$F$9,2)</f>
        <v>102</v>
      </c>
      <c r="E17" s="57">
        <f t="shared" ref="E17:E39" si="2">C17-D17</f>
        <v>287.02999999999997</v>
      </c>
      <c r="F17" s="57">
        <f t="shared" ref="F17:F40" si="3">F16-E17</f>
        <v>7712.97</v>
      </c>
      <c r="G17" s="15"/>
    </row>
    <row r="18" spans="2:7" ht="15" customHeight="1">
      <c r="B18" s="59">
        <v>2</v>
      </c>
      <c r="C18" s="57">
        <f t="shared" si="0"/>
        <v>389.03</v>
      </c>
      <c r="D18" s="57">
        <f t="shared" si="1"/>
        <v>98.34</v>
      </c>
      <c r="E18" s="57">
        <f t="shared" si="2"/>
        <v>290.68999999999994</v>
      </c>
      <c r="F18" s="57">
        <f t="shared" si="3"/>
        <v>7422.2800000000007</v>
      </c>
      <c r="G18" s="15"/>
    </row>
    <row r="19" spans="2:7" ht="15" customHeight="1">
      <c r="B19" s="59">
        <v>3</v>
      </c>
      <c r="C19" s="57">
        <f t="shared" si="0"/>
        <v>389.03</v>
      </c>
      <c r="D19" s="57">
        <f t="shared" si="1"/>
        <v>94.63</v>
      </c>
      <c r="E19" s="57">
        <f t="shared" si="2"/>
        <v>294.39999999999998</v>
      </c>
      <c r="F19" s="57">
        <f t="shared" si="3"/>
        <v>7127.880000000001</v>
      </c>
      <c r="G19" s="15"/>
    </row>
    <row r="20" spans="2:7" ht="15" customHeight="1">
      <c r="B20" s="59">
        <v>4</v>
      </c>
      <c r="C20" s="57">
        <f t="shared" si="0"/>
        <v>389.03</v>
      </c>
      <c r="D20" s="57">
        <f t="shared" si="1"/>
        <v>90.88</v>
      </c>
      <c r="E20" s="57">
        <f t="shared" si="2"/>
        <v>298.14999999999998</v>
      </c>
      <c r="F20" s="57">
        <f t="shared" si="3"/>
        <v>6829.7300000000014</v>
      </c>
      <c r="G20" s="15"/>
    </row>
    <row r="21" spans="2:7" ht="15" customHeight="1">
      <c r="B21" s="59">
        <v>5</v>
      </c>
      <c r="C21" s="57">
        <f t="shared" si="0"/>
        <v>389.03</v>
      </c>
      <c r="D21" s="57">
        <f t="shared" si="1"/>
        <v>87.08</v>
      </c>
      <c r="E21" s="57">
        <f t="shared" si="2"/>
        <v>301.95</v>
      </c>
      <c r="F21" s="57">
        <f t="shared" si="3"/>
        <v>6527.7800000000016</v>
      </c>
      <c r="G21" s="15"/>
    </row>
    <row r="22" spans="2:7" ht="15" customHeight="1">
      <c r="B22" s="59">
        <v>6</v>
      </c>
      <c r="C22" s="57">
        <f t="shared" si="0"/>
        <v>389.03</v>
      </c>
      <c r="D22" s="57">
        <f t="shared" si="1"/>
        <v>83.23</v>
      </c>
      <c r="E22" s="57">
        <f t="shared" si="2"/>
        <v>305.79999999999995</v>
      </c>
      <c r="F22" s="57">
        <f t="shared" si="3"/>
        <v>6221.9800000000014</v>
      </c>
      <c r="G22" s="15"/>
    </row>
    <row r="23" spans="2:7" ht="15" customHeight="1">
      <c r="B23" s="59">
        <v>7</v>
      </c>
      <c r="C23" s="57">
        <f t="shared" si="0"/>
        <v>389.03</v>
      </c>
      <c r="D23" s="57">
        <f t="shared" si="1"/>
        <v>79.33</v>
      </c>
      <c r="E23" s="57">
        <f t="shared" si="2"/>
        <v>309.7</v>
      </c>
      <c r="F23" s="57">
        <f t="shared" si="3"/>
        <v>5912.2800000000016</v>
      </c>
      <c r="G23" s="15"/>
    </row>
    <row r="24" spans="2:7" ht="15" customHeight="1">
      <c r="B24" s="59">
        <v>8</v>
      </c>
      <c r="C24" s="57">
        <f t="shared" si="0"/>
        <v>389.03</v>
      </c>
      <c r="D24" s="57">
        <f t="shared" si="1"/>
        <v>75.38</v>
      </c>
      <c r="E24" s="57">
        <f t="shared" si="2"/>
        <v>313.64999999999998</v>
      </c>
      <c r="F24" s="57">
        <f t="shared" si="3"/>
        <v>5598.6300000000019</v>
      </c>
      <c r="G24" s="15"/>
    </row>
    <row r="25" spans="2:7" ht="15" customHeight="1">
      <c r="B25" s="59">
        <v>9</v>
      </c>
      <c r="C25" s="57">
        <f t="shared" si="0"/>
        <v>389.03</v>
      </c>
      <c r="D25" s="57">
        <f t="shared" si="1"/>
        <v>71.38</v>
      </c>
      <c r="E25" s="57">
        <f t="shared" si="2"/>
        <v>317.64999999999998</v>
      </c>
      <c r="F25" s="57">
        <f t="shared" si="3"/>
        <v>5280.9800000000023</v>
      </c>
    </row>
    <row r="26" spans="2:7" ht="15" customHeight="1">
      <c r="B26" s="59">
        <v>10</v>
      </c>
      <c r="C26" s="57">
        <f t="shared" si="0"/>
        <v>389.03</v>
      </c>
      <c r="D26" s="57">
        <f t="shared" si="1"/>
        <v>67.33</v>
      </c>
      <c r="E26" s="57">
        <f t="shared" si="2"/>
        <v>321.7</v>
      </c>
      <c r="F26" s="57">
        <f t="shared" si="3"/>
        <v>4959.2800000000025</v>
      </c>
    </row>
    <row r="27" spans="2:7" ht="15" customHeight="1">
      <c r="B27" s="59">
        <v>11</v>
      </c>
      <c r="C27" s="57">
        <f t="shared" si="0"/>
        <v>389.03</v>
      </c>
      <c r="D27" s="57">
        <f t="shared" si="1"/>
        <v>63.23</v>
      </c>
      <c r="E27" s="57">
        <f t="shared" si="2"/>
        <v>325.79999999999995</v>
      </c>
      <c r="F27" s="57">
        <f t="shared" si="3"/>
        <v>4633.4800000000023</v>
      </c>
      <c r="G27" s="60"/>
    </row>
    <row r="28" spans="2:7" ht="15" customHeight="1">
      <c r="B28" s="59">
        <v>12</v>
      </c>
      <c r="C28" s="57">
        <f t="shared" si="0"/>
        <v>389.03</v>
      </c>
      <c r="D28" s="57">
        <f t="shared" si="1"/>
        <v>59.08</v>
      </c>
      <c r="E28" s="57">
        <f t="shared" si="2"/>
        <v>329.95</v>
      </c>
      <c r="F28" s="57">
        <f t="shared" si="3"/>
        <v>4303.5300000000025</v>
      </c>
      <c r="G28" s="60"/>
    </row>
    <row r="29" spans="2:7" ht="15" customHeight="1">
      <c r="B29" s="59">
        <v>13</v>
      </c>
      <c r="C29" s="57">
        <f t="shared" si="0"/>
        <v>389.03</v>
      </c>
      <c r="D29" s="57">
        <f t="shared" si="1"/>
        <v>54.87</v>
      </c>
      <c r="E29" s="57">
        <f t="shared" si="2"/>
        <v>334.15999999999997</v>
      </c>
      <c r="F29" s="57">
        <f t="shared" si="3"/>
        <v>3969.3700000000026</v>
      </c>
      <c r="G29" s="60"/>
    </row>
    <row r="30" spans="2:7" ht="15" customHeight="1">
      <c r="B30" s="59">
        <v>14</v>
      </c>
      <c r="C30" s="57">
        <f t="shared" si="0"/>
        <v>389.03</v>
      </c>
      <c r="D30" s="57">
        <f t="shared" si="1"/>
        <v>50.61</v>
      </c>
      <c r="E30" s="57">
        <f t="shared" si="2"/>
        <v>338.41999999999996</v>
      </c>
      <c r="F30" s="57">
        <f t="shared" si="3"/>
        <v>3630.9500000000025</v>
      </c>
      <c r="G30" s="60"/>
    </row>
    <row r="31" spans="2:7" ht="15" customHeight="1">
      <c r="B31" s="59">
        <v>15</v>
      </c>
      <c r="C31" s="57">
        <f t="shared" si="0"/>
        <v>389.03</v>
      </c>
      <c r="D31" s="57">
        <f t="shared" si="1"/>
        <v>46.29</v>
      </c>
      <c r="E31" s="57">
        <f t="shared" si="2"/>
        <v>342.73999999999995</v>
      </c>
      <c r="F31" s="57">
        <f t="shared" si="3"/>
        <v>3288.2100000000028</v>
      </c>
      <c r="G31" s="60"/>
    </row>
    <row r="32" spans="2:7" ht="15" customHeight="1">
      <c r="B32" s="59">
        <v>16</v>
      </c>
      <c r="C32" s="57">
        <f t="shared" si="0"/>
        <v>389.03</v>
      </c>
      <c r="D32" s="57">
        <f t="shared" si="1"/>
        <v>41.92</v>
      </c>
      <c r="E32" s="57">
        <f t="shared" si="2"/>
        <v>347.10999999999996</v>
      </c>
      <c r="F32" s="57">
        <f t="shared" si="3"/>
        <v>2941.1000000000026</v>
      </c>
      <c r="G32" s="60"/>
    </row>
    <row r="33" spans="2:7" ht="15" customHeight="1">
      <c r="B33" s="59">
        <v>17</v>
      </c>
      <c r="C33" s="57">
        <f t="shared" si="0"/>
        <v>389.03</v>
      </c>
      <c r="D33" s="57">
        <f t="shared" si="1"/>
        <v>37.5</v>
      </c>
      <c r="E33" s="57">
        <f t="shared" si="2"/>
        <v>351.53</v>
      </c>
      <c r="F33" s="57">
        <f t="shared" si="3"/>
        <v>2589.5700000000024</v>
      </c>
    </row>
    <row r="34" spans="2:7" ht="15" customHeight="1">
      <c r="B34" s="59">
        <v>18</v>
      </c>
      <c r="C34" s="57">
        <f t="shared" si="0"/>
        <v>389.03</v>
      </c>
      <c r="D34" s="57">
        <f t="shared" si="1"/>
        <v>33.020000000000003</v>
      </c>
      <c r="E34" s="57">
        <f t="shared" si="2"/>
        <v>356.01</v>
      </c>
      <c r="F34" s="57">
        <f t="shared" si="3"/>
        <v>2233.5600000000022</v>
      </c>
    </row>
    <row r="35" spans="2:7" ht="15" customHeight="1">
      <c r="B35" s="59">
        <v>19</v>
      </c>
      <c r="C35" s="57">
        <f t="shared" si="0"/>
        <v>389.03</v>
      </c>
      <c r="D35" s="57">
        <f t="shared" si="1"/>
        <v>28.48</v>
      </c>
      <c r="E35" s="57">
        <f t="shared" si="2"/>
        <v>360.54999999999995</v>
      </c>
      <c r="F35" s="57">
        <f t="shared" si="3"/>
        <v>1873.0100000000023</v>
      </c>
    </row>
    <row r="36" spans="2:7" ht="15" customHeight="1">
      <c r="B36" s="59">
        <v>20</v>
      </c>
      <c r="C36" s="57">
        <f t="shared" si="0"/>
        <v>389.03</v>
      </c>
      <c r="D36" s="57">
        <f t="shared" si="1"/>
        <v>23.88</v>
      </c>
      <c r="E36" s="57">
        <f t="shared" si="2"/>
        <v>365.15</v>
      </c>
      <c r="F36" s="57">
        <f t="shared" si="3"/>
        <v>1507.8600000000024</v>
      </c>
    </row>
    <row r="37" spans="2:7" ht="15" customHeight="1">
      <c r="B37" s="59">
        <v>21</v>
      </c>
      <c r="C37" s="57">
        <f t="shared" si="0"/>
        <v>389.03</v>
      </c>
      <c r="D37" s="57">
        <f t="shared" si="1"/>
        <v>19.23</v>
      </c>
      <c r="E37" s="57">
        <f t="shared" si="2"/>
        <v>369.79999999999995</v>
      </c>
      <c r="F37" s="57">
        <f t="shared" si="3"/>
        <v>1138.0600000000024</v>
      </c>
    </row>
    <row r="38" spans="2:7" ht="15" customHeight="1">
      <c r="B38" s="59">
        <v>22</v>
      </c>
      <c r="C38" s="57">
        <f t="shared" si="0"/>
        <v>389.03</v>
      </c>
      <c r="D38" s="57">
        <f t="shared" si="1"/>
        <v>14.51</v>
      </c>
      <c r="E38" s="57">
        <f t="shared" si="2"/>
        <v>374.52</v>
      </c>
      <c r="F38" s="57">
        <f t="shared" si="3"/>
        <v>763.54000000000246</v>
      </c>
    </row>
    <row r="39" spans="2:7" ht="15" customHeight="1">
      <c r="B39" s="59">
        <v>23</v>
      </c>
      <c r="C39" s="57">
        <f t="shared" si="0"/>
        <v>389.03</v>
      </c>
      <c r="D39" s="57">
        <f t="shared" si="1"/>
        <v>9.74</v>
      </c>
      <c r="E39" s="57">
        <f t="shared" si="2"/>
        <v>379.28999999999996</v>
      </c>
      <c r="F39" s="57">
        <f t="shared" si="3"/>
        <v>384.2500000000025</v>
      </c>
    </row>
    <row r="40" spans="2:7" ht="15" customHeight="1">
      <c r="B40" s="59">
        <v>24</v>
      </c>
      <c r="C40" s="61">
        <f>D40+E40</f>
        <v>389.15000000000248</v>
      </c>
      <c r="D40" s="57">
        <f t="shared" si="1"/>
        <v>4.9000000000000004</v>
      </c>
      <c r="E40" s="57">
        <f>F39</f>
        <v>384.2500000000025</v>
      </c>
      <c r="F40" s="61">
        <f t="shared" si="3"/>
        <v>0</v>
      </c>
      <c r="G40" s="60" t="s">
        <v>126</v>
      </c>
    </row>
    <row r="41" spans="2:7" ht="15" customHeight="1">
      <c r="B41" s="3" t="s">
        <v>127</v>
      </c>
      <c r="C41" s="62">
        <f t="shared" ref="C41:E41" si="4">SUM(C17:C40)</f>
        <v>9336.84</v>
      </c>
      <c r="D41" s="62">
        <f t="shared" si="4"/>
        <v>1336.8400000000001</v>
      </c>
      <c r="E41" s="62">
        <f t="shared" si="4"/>
        <v>8000.0000000000018</v>
      </c>
      <c r="F41" s="62"/>
      <c r="G41" s="60" t="s">
        <v>117</v>
      </c>
    </row>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sheetData>
  <mergeCells count="1">
    <mergeCell ref="A1:K3"/>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928"/>
  <sheetViews>
    <sheetView workbookViewId="0">
      <selection sqref="A1:L5"/>
    </sheetView>
  </sheetViews>
  <sheetFormatPr defaultColWidth="14.453125" defaultRowHeight="15" customHeight="1"/>
  <cols>
    <col min="1" max="2" width="8.6328125" customWidth="1"/>
    <col min="3" max="3" width="14.6328125" customWidth="1"/>
    <col min="4" max="6" width="8.6328125" customWidth="1"/>
    <col min="7" max="8" width="14.453125" customWidth="1"/>
    <col min="9" max="9" width="13.6328125" customWidth="1"/>
    <col min="10" max="10" width="14.6328125" customWidth="1"/>
    <col min="11" max="26" width="8.6328125" customWidth="1"/>
  </cols>
  <sheetData>
    <row r="1" spans="1:12" ht="14.25" customHeight="1">
      <c r="A1" s="202" t="s">
        <v>246</v>
      </c>
      <c r="B1" s="188"/>
      <c r="C1" s="188"/>
      <c r="D1" s="188"/>
      <c r="E1" s="188"/>
      <c r="F1" s="188"/>
      <c r="G1" s="188"/>
      <c r="H1" s="188"/>
      <c r="I1" s="188"/>
      <c r="J1" s="188"/>
      <c r="K1" s="188"/>
      <c r="L1" s="188"/>
    </row>
    <row r="2" spans="1:12" ht="14.25" customHeight="1">
      <c r="A2" s="188"/>
      <c r="B2" s="188"/>
      <c r="C2" s="188"/>
      <c r="D2" s="188"/>
      <c r="E2" s="188"/>
      <c r="F2" s="188"/>
      <c r="G2" s="188"/>
      <c r="H2" s="188"/>
      <c r="I2" s="188"/>
      <c r="J2" s="188"/>
      <c r="K2" s="188"/>
      <c r="L2" s="188"/>
    </row>
    <row r="3" spans="1:12" ht="14.25" customHeight="1">
      <c r="A3" s="188"/>
      <c r="B3" s="188"/>
      <c r="C3" s="188"/>
      <c r="D3" s="188"/>
      <c r="E3" s="188"/>
      <c r="F3" s="188"/>
      <c r="G3" s="188"/>
      <c r="H3" s="188"/>
      <c r="I3" s="188"/>
      <c r="J3" s="188"/>
      <c r="K3" s="188"/>
      <c r="L3" s="188"/>
    </row>
    <row r="4" spans="1:12" ht="14.25" customHeight="1">
      <c r="A4" s="188"/>
      <c r="B4" s="188"/>
      <c r="C4" s="188"/>
      <c r="D4" s="188"/>
      <c r="E4" s="188"/>
      <c r="F4" s="188"/>
      <c r="G4" s="188"/>
      <c r="H4" s="188"/>
      <c r="I4" s="188"/>
      <c r="J4" s="188"/>
      <c r="K4" s="188"/>
      <c r="L4" s="188"/>
    </row>
    <row r="5" spans="1:12" ht="14.25" customHeight="1">
      <c r="A5" s="188"/>
      <c r="B5" s="188"/>
      <c r="C5" s="188"/>
      <c r="D5" s="188"/>
      <c r="E5" s="188"/>
      <c r="F5" s="188"/>
      <c r="G5" s="188"/>
      <c r="H5" s="188"/>
      <c r="I5" s="188"/>
      <c r="J5" s="188"/>
      <c r="K5" s="188"/>
      <c r="L5" s="188"/>
    </row>
    <row r="6" spans="1:12" ht="14.25" customHeight="1">
      <c r="A6" s="18" t="s">
        <v>115</v>
      </c>
    </row>
    <row r="7" spans="1:12" ht="14.25" customHeight="1">
      <c r="C7" s="27"/>
    </row>
    <row r="8" spans="1:12" ht="14.25" customHeight="1">
      <c r="C8" s="27"/>
      <c r="F8" s="29" t="s">
        <v>122</v>
      </c>
      <c r="G8" s="29" t="s">
        <v>128</v>
      </c>
      <c r="H8" s="29" t="s">
        <v>123</v>
      </c>
      <c r="I8" s="29" t="s">
        <v>104</v>
      </c>
      <c r="J8" s="29" t="s">
        <v>125</v>
      </c>
    </row>
    <row r="9" spans="1:12" ht="14.25" customHeight="1">
      <c r="F9" s="29">
        <v>0</v>
      </c>
      <c r="G9" s="63"/>
      <c r="H9" s="63"/>
      <c r="I9" s="63"/>
      <c r="J9" s="63">
        <f>C10</f>
        <v>170000</v>
      </c>
    </row>
    <row r="10" spans="1:12" ht="14.25" customHeight="1">
      <c r="B10" s="3" t="s">
        <v>89</v>
      </c>
      <c r="C10" s="17">
        <v>170000</v>
      </c>
      <c r="F10" s="15">
        <v>1</v>
      </c>
      <c r="G10" s="57">
        <f t="shared" ref="G10:G81" si="0">H10+I10</f>
        <v>5378.6100000000006</v>
      </c>
      <c r="H10" s="57">
        <f t="shared" ref="H10:H81" si="1">ROUND(J9*$C$15,2)</f>
        <v>3017.5</v>
      </c>
      <c r="I10" s="57">
        <f t="shared" ref="I10:I80" si="2">$C$19</f>
        <v>2361.11</v>
      </c>
      <c r="J10" s="57">
        <f t="shared" ref="J10:J81" si="3">J9-I10</f>
        <v>167638.89000000001</v>
      </c>
    </row>
    <row r="11" spans="1:12" ht="14.25" customHeight="1">
      <c r="B11" s="3" t="s">
        <v>105</v>
      </c>
      <c r="C11" s="25">
        <v>36</v>
      </c>
      <c r="F11" s="15">
        <v>2</v>
      </c>
      <c r="G11" s="57">
        <f t="shared" si="0"/>
        <v>5336.7000000000007</v>
      </c>
      <c r="H11" s="57">
        <f t="shared" si="1"/>
        <v>2975.59</v>
      </c>
      <c r="I11" s="57">
        <f t="shared" si="2"/>
        <v>2361.11</v>
      </c>
      <c r="J11" s="57">
        <f t="shared" si="3"/>
        <v>165277.78000000003</v>
      </c>
    </row>
    <row r="12" spans="1:12" ht="14.25" customHeight="1">
      <c r="B12" s="3" t="s">
        <v>107</v>
      </c>
      <c r="C12" s="22">
        <v>3.5499999999999997E-2</v>
      </c>
      <c r="F12" s="15">
        <v>3</v>
      </c>
      <c r="G12" s="57">
        <f t="shared" si="0"/>
        <v>5294.79</v>
      </c>
      <c r="H12" s="57">
        <f t="shared" si="1"/>
        <v>2933.68</v>
      </c>
      <c r="I12" s="57">
        <f t="shared" si="2"/>
        <v>2361.11</v>
      </c>
      <c r="J12" s="57">
        <f t="shared" si="3"/>
        <v>162916.67000000004</v>
      </c>
    </row>
    <row r="13" spans="1:12" ht="14.25" customHeight="1">
      <c r="B13" s="3" t="s">
        <v>106</v>
      </c>
      <c r="C13" s="25">
        <v>2</v>
      </c>
      <c r="F13" s="15">
        <v>4</v>
      </c>
      <c r="G13" s="57">
        <f t="shared" si="0"/>
        <v>5252.88</v>
      </c>
      <c r="H13" s="57">
        <f t="shared" si="1"/>
        <v>2891.77</v>
      </c>
      <c r="I13" s="57">
        <f t="shared" si="2"/>
        <v>2361.11</v>
      </c>
      <c r="J13" s="57">
        <f t="shared" si="3"/>
        <v>160555.56000000006</v>
      </c>
    </row>
    <row r="14" spans="1:12" ht="14.25" customHeight="1">
      <c r="B14" s="3" t="s">
        <v>129</v>
      </c>
      <c r="F14" s="15">
        <v>5</v>
      </c>
      <c r="G14" s="57">
        <f t="shared" si="0"/>
        <v>5210.97</v>
      </c>
      <c r="H14" s="57">
        <f t="shared" si="1"/>
        <v>2849.86</v>
      </c>
      <c r="I14" s="57">
        <f t="shared" si="2"/>
        <v>2361.11</v>
      </c>
      <c r="J14" s="57">
        <f t="shared" si="3"/>
        <v>158194.45000000007</v>
      </c>
    </row>
    <row r="15" spans="1:12" ht="14.25" customHeight="1">
      <c r="B15" s="3" t="s">
        <v>118</v>
      </c>
      <c r="C15" s="52">
        <f>C12/C13</f>
        <v>1.7749999999999998E-2</v>
      </c>
      <c r="D15" s="18" t="s">
        <v>117</v>
      </c>
      <c r="F15" s="15">
        <v>6</v>
      </c>
      <c r="G15" s="57">
        <f t="shared" si="0"/>
        <v>5169.0599999999995</v>
      </c>
      <c r="H15" s="57">
        <f t="shared" si="1"/>
        <v>2807.95</v>
      </c>
      <c r="I15" s="57">
        <f t="shared" si="2"/>
        <v>2361.11</v>
      </c>
      <c r="J15" s="57">
        <f t="shared" si="3"/>
        <v>155833.34000000008</v>
      </c>
    </row>
    <row r="16" spans="1:12" ht="14.25" customHeight="1">
      <c r="B16" s="3" t="s">
        <v>116</v>
      </c>
      <c r="C16" s="25">
        <f>C11*C13</f>
        <v>72</v>
      </c>
      <c r="D16" s="18" t="s">
        <v>117</v>
      </c>
      <c r="F16" s="15">
        <v>7</v>
      </c>
      <c r="G16" s="57">
        <f t="shared" si="0"/>
        <v>5127.1499999999996</v>
      </c>
      <c r="H16" s="57">
        <f t="shared" si="1"/>
        <v>2766.04</v>
      </c>
      <c r="I16" s="57">
        <f t="shared" si="2"/>
        <v>2361.11</v>
      </c>
      <c r="J16" s="57">
        <f t="shared" si="3"/>
        <v>153472.2300000001</v>
      </c>
    </row>
    <row r="17" spans="2:10" ht="14.25" customHeight="1">
      <c r="F17" s="15">
        <v>8</v>
      </c>
      <c r="G17" s="57">
        <f t="shared" si="0"/>
        <v>5085.24</v>
      </c>
      <c r="H17" s="57">
        <f t="shared" si="1"/>
        <v>2724.13</v>
      </c>
      <c r="I17" s="57">
        <f t="shared" si="2"/>
        <v>2361.11</v>
      </c>
      <c r="J17" s="57">
        <f t="shared" si="3"/>
        <v>151111.12000000011</v>
      </c>
    </row>
    <row r="18" spans="2:10" ht="14.25" customHeight="1">
      <c r="C18" s="55"/>
      <c r="F18" s="15">
        <v>9</v>
      </c>
      <c r="G18" s="57">
        <f t="shared" si="0"/>
        <v>5043.33</v>
      </c>
      <c r="H18" s="57">
        <f t="shared" si="1"/>
        <v>2682.22</v>
      </c>
      <c r="I18" s="57">
        <f t="shared" si="2"/>
        <v>2361.11</v>
      </c>
      <c r="J18" s="57">
        <f t="shared" si="3"/>
        <v>148750.01000000013</v>
      </c>
    </row>
    <row r="19" spans="2:10" ht="14.25" customHeight="1">
      <c r="B19" s="3" t="s">
        <v>104</v>
      </c>
      <c r="C19" s="17">
        <f>ROUND(C10/C16,2)</f>
        <v>2361.11</v>
      </c>
      <c r="D19" s="18" t="s">
        <v>130</v>
      </c>
      <c r="F19" s="15">
        <v>10</v>
      </c>
      <c r="G19" s="57">
        <f t="shared" si="0"/>
        <v>5001.42</v>
      </c>
      <c r="H19" s="57">
        <f t="shared" si="1"/>
        <v>2640.31</v>
      </c>
      <c r="I19" s="57">
        <f t="shared" si="2"/>
        <v>2361.11</v>
      </c>
      <c r="J19" s="57">
        <f t="shared" si="3"/>
        <v>146388.90000000014</v>
      </c>
    </row>
    <row r="20" spans="2:10" ht="14.25" customHeight="1">
      <c r="F20" s="15">
        <v>11</v>
      </c>
      <c r="G20" s="57">
        <f t="shared" si="0"/>
        <v>4959.51</v>
      </c>
      <c r="H20" s="57">
        <f t="shared" si="1"/>
        <v>2598.4</v>
      </c>
      <c r="I20" s="57">
        <f t="shared" si="2"/>
        <v>2361.11</v>
      </c>
      <c r="J20" s="57">
        <f t="shared" si="3"/>
        <v>144027.79000000015</v>
      </c>
    </row>
    <row r="21" spans="2:10" ht="14.25" customHeight="1">
      <c r="F21" s="15">
        <v>12</v>
      </c>
      <c r="G21" s="57">
        <f t="shared" si="0"/>
        <v>4917.6000000000004</v>
      </c>
      <c r="H21" s="57">
        <f t="shared" si="1"/>
        <v>2556.4899999999998</v>
      </c>
      <c r="I21" s="57">
        <f t="shared" si="2"/>
        <v>2361.11</v>
      </c>
      <c r="J21" s="57">
        <f t="shared" si="3"/>
        <v>141666.68000000017</v>
      </c>
    </row>
    <row r="22" spans="2:10" ht="14.25" customHeight="1">
      <c r="F22" s="15">
        <v>13</v>
      </c>
      <c r="G22" s="57">
        <f t="shared" si="0"/>
        <v>4875.6900000000005</v>
      </c>
      <c r="H22" s="57">
        <f t="shared" si="1"/>
        <v>2514.58</v>
      </c>
      <c r="I22" s="57">
        <f t="shared" si="2"/>
        <v>2361.11</v>
      </c>
      <c r="J22" s="57">
        <f t="shared" si="3"/>
        <v>139305.57000000018</v>
      </c>
    </row>
    <row r="23" spans="2:10" ht="14.25" customHeight="1">
      <c r="F23" s="15">
        <v>14</v>
      </c>
      <c r="G23" s="57">
        <f t="shared" si="0"/>
        <v>4833.7800000000007</v>
      </c>
      <c r="H23" s="57">
        <f t="shared" si="1"/>
        <v>2472.67</v>
      </c>
      <c r="I23" s="57">
        <f t="shared" si="2"/>
        <v>2361.11</v>
      </c>
      <c r="J23" s="57">
        <f t="shared" si="3"/>
        <v>136944.4600000002</v>
      </c>
    </row>
    <row r="24" spans="2:10" ht="14.25" customHeight="1">
      <c r="F24" s="15">
        <v>15</v>
      </c>
      <c r="G24" s="57">
        <f t="shared" si="0"/>
        <v>4791.8700000000008</v>
      </c>
      <c r="H24" s="57">
        <f t="shared" si="1"/>
        <v>2430.7600000000002</v>
      </c>
      <c r="I24" s="57">
        <f t="shared" si="2"/>
        <v>2361.11</v>
      </c>
      <c r="J24" s="57">
        <f t="shared" si="3"/>
        <v>134583.35000000021</v>
      </c>
    </row>
    <row r="25" spans="2:10" ht="14.25" customHeight="1">
      <c r="F25" s="15">
        <v>16</v>
      </c>
      <c r="G25" s="57">
        <f t="shared" si="0"/>
        <v>4749.96</v>
      </c>
      <c r="H25" s="57">
        <f t="shared" si="1"/>
        <v>2388.85</v>
      </c>
      <c r="I25" s="57">
        <f t="shared" si="2"/>
        <v>2361.11</v>
      </c>
      <c r="J25" s="57">
        <f t="shared" si="3"/>
        <v>132222.24000000022</v>
      </c>
    </row>
    <row r="26" spans="2:10" ht="14.25" customHeight="1">
      <c r="F26" s="15">
        <v>17</v>
      </c>
      <c r="G26" s="57">
        <f t="shared" si="0"/>
        <v>4708.05</v>
      </c>
      <c r="H26" s="57">
        <f t="shared" si="1"/>
        <v>2346.94</v>
      </c>
      <c r="I26" s="57">
        <f t="shared" si="2"/>
        <v>2361.11</v>
      </c>
      <c r="J26" s="57">
        <f t="shared" si="3"/>
        <v>129861.13000000022</v>
      </c>
    </row>
    <row r="27" spans="2:10" ht="14.25" customHeight="1">
      <c r="F27" s="15">
        <v>18</v>
      </c>
      <c r="G27" s="57">
        <f t="shared" si="0"/>
        <v>4666.1499999999996</v>
      </c>
      <c r="H27" s="57">
        <f t="shared" si="1"/>
        <v>2305.04</v>
      </c>
      <c r="I27" s="57">
        <f t="shared" si="2"/>
        <v>2361.11</v>
      </c>
      <c r="J27" s="57">
        <f t="shared" si="3"/>
        <v>127500.02000000022</v>
      </c>
    </row>
    <row r="28" spans="2:10" ht="14.25" customHeight="1">
      <c r="F28" s="15">
        <v>19</v>
      </c>
      <c r="G28" s="57">
        <f t="shared" si="0"/>
        <v>4624.24</v>
      </c>
      <c r="H28" s="57">
        <f t="shared" si="1"/>
        <v>2263.13</v>
      </c>
      <c r="I28" s="57">
        <f t="shared" si="2"/>
        <v>2361.11</v>
      </c>
      <c r="J28" s="57">
        <f t="shared" si="3"/>
        <v>125138.91000000022</v>
      </c>
    </row>
    <row r="29" spans="2:10" ht="14.25" customHeight="1">
      <c r="F29" s="15">
        <v>20</v>
      </c>
      <c r="G29" s="57">
        <f t="shared" si="0"/>
        <v>4582.33</v>
      </c>
      <c r="H29" s="57">
        <f t="shared" si="1"/>
        <v>2221.2199999999998</v>
      </c>
      <c r="I29" s="57">
        <f t="shared" si="2"/>
        <v>2361.11</v>
      </c>
      <c r="J29" s="57">
        <f t="shared" si="3"/>
        <v>122777.80000000022</v>
      </c>
    </row>
    <row r="30" spans="2:10" ht="14.25" customHeight="1">
      <c r="F30" s="15">
        <v>21</v>
      </c>
      <c r="G30" s="57">
        <f t="shared" si="0"/>
        <v>4540.42</v>
      </c>
      <c r="H30" s="57">
        <f t="shared" si="1"/>
        <v>2179.31</v>
      </c>
      <c r="I30" s="57">
        <f t="shared" si="2"/>
        <v>2361.11</v>
      </c>
      <c r="J30" s="57">
        <f t="shared" si="3"/>
        <v>120416.69000000022</v>
      </c>
    </row>
    <row r="31" spans="2:10" ht="14.25" customHeight="1">
      <c r="F31" s="15">
        <v>22</v>
      </c>
      <c r="G31" s="57">
        <f t="shared" si="0"/>
        <v>4498.51</v>
      </c>
      <c r="H31" s="57">
        <f t="shared" si="1"/>
        <v>2137.4</v>
      </c>
      <c r="I31" s="57">
        <f t="shared" si="2"/>
        <v>2361.11</v>
      </c>
      <c r="J31" s="57">
        <f t="shared" si="3"/>
        <v>118055.58000000022</v>
      </c>
    </row>
    <row r="32" spans="2:10" ht="14.25" customHeight="1">
      <c r="F32" s="15">
        <v>23</v>
      </c>
      <c r="G32" s="57">
        <f t="shared" si="0"/>
        <v>4456.6000000000004</v>
      </c>
      <c r="H32" s="57">
        <f t="shared" si="1"/>
        <v>2095.4899999999998</v>
      </c>
      <c r="I32" s="57">
        <f t="shared" si="2"/>
        <v>2361.11</v>
      </c>
      <c r="J32" s="57">
        <f t="shared" si="3"/>
        <v>115694.47000000022</v>
      </c>
    </row>
    <row r="33" spans="6:10" ht="14.25" customHeight="1">
      <c r="F33" s="15">
        <v>24</v>
      </c>
      <c r="G33" s="57">
        <f t="shared" si="0"/>
        <v>4414.6900000000005</v>
      </c>
      <c r="H33" s="57">
        <f t="shared" si="1"/>
        <v>2053.58</v>
      </c>
      <c r="I33" s="57">
        <f t="shared" si="2"/>
        <v>2361.11</v>
      </c>
      <c r="J33" s="57">
        <f t="shared" si="3"/>
        <v>113333.36000000022</v>
      </c>
    </row>
    <row r="34" spans="6:10" ht="14.25" customHeight="1">
      <c r="F34" s="15">
        <v>25</v>
      </c>
      <c r="G34" s="57">
        <f t="shared" si="0"/>
        <v>4372.7800000000007</v>
      </c>
      <c r="H34" s="57">
        <f t="shared" si="1"/>
        <v>2011.67</v>
      </c>
      <c r="I34" s="57">
        <f t="shared" si="2"/>
        <v>2361.11</v>
      </c>
      <c r="J34" s="57">
        <f t="shared" si="3"/>
        <v>110972.25000000022</v>
      </c>
    </row>
    <row r="35" spans="6:10" ht="14.25" customHeight="1">
      <c r="F35" s="15">
        <v>26</v>
      </c>
      <c r="G35" s="57">
        <f t="shared" si="0"/>
        <v>4330.87</v>
      </c>
      <c r="H35" s="57">
        <f t="shared" si="1"/>
        <v>1969.76</v>
      </c>
      <c r="I35" s="57">
        <f t="shared" si="2"/>
        <v>2361.11</v>
      </c>
      <c r="J35" s="57">
        <f t="shared" si="3"/>
        <v>108611.14000000022</v>
      </c>
    </row>
    <row r="36" spans="6:10" ht="14.25" customHeight="1">
      <c r="F36" s="15">
        <v>27</v>
      </c>
      <c r="G36" s="57">
        <f t="shared" si="0"/>
        <v>4288.96</v>
      </c>
      <c r="H36" s="57">
        <f t="shared" si="1"/>
        <v>1927.85</v>
      </c>
      <c r="I36" s="57">
        <f t="shared" si="2"/>
        <v>2361.11</v>
      </c>
      <c r="J36" s="57">
        <f t="shared" si="3"/>
        <v>106250.03000000022</v>
      </c>
    </row>
    <row r="37" spans="6:10" ht="14.25" customHeight="1">
      <c r="F37" s="15">
        <v>28</v>
      </c>
      <c r="G37" s="57">
        <f t="shared" si="0"/>
        <v>4247.05</v>
      </c>
      <c r="H37" s="57">
        <f t="shared" si="1"/>
        <v>1885.94</v>
      </c>
      <c r="I37" s="57">
        <f t="shared" si="2"/>
        <v>2361.11</v>
      </c>
      <c r="J37" s="57">
        <f t="shared" si="3"/>
        <v>103888.92000000022</v>
      </c>
    </row>
    <row r="38" spans="6:10" ht="14.25" customHeight="1">
      <c r="F38" s="15">
        <v>29</v>
      </c>
      <c r="G38" s="57">
        <f t="shared" si="0"/>
        <v>4205.1400000000003</v>
      </c>
      <c r="H38" s="57">
        <f t="shared" si="1"/>
        <v>1844.03</v>
      </c>
      <c r="I38" s="57">
        <f t="shared" si="2"/>
        <v>2361.11</v>
      </c>
      <c r="J38" s="57">
        <f t="shared" si="3"/>
        <v>101527.81000000022</v>
      </c>
    </row>
    <row r="39" spans="6:10" ht="14.25" customHeight="1">
      <c r="F39" s="15">
        <v>30</v>
      </c>
      <c r="G39" s="57">
        <f t="shared" si="0"/>
        <v>4163.2299999999996</v>
      </c>
      <c r="H39" s="57">
        <f t="shared" si="1"/>
        <v>1802.12</v>
      </c>
      <c r="I39" s="57">
        <f t="shared" si="2"/>
        <v>2361.11</v>
      </c>
      <c r="J39" s="57">
        <f t="shared" si="3"/>
        <v>99166.700000000215</v>
      </c>
    </row>
    <row r="40" spans="6:10" ht="14.25" customHeight="1">
      <c r="F40" s="15">
        <v>31</v>
      </c>
      <c r="G40" s="57">
        <f t="shared" si="0"/>
        <v>4121.32</v>
      </c>
      <c r="H40" s="57">
        <f t="shared" si="1"/>
        <v>1760.21</v>
      </c>
      <c r="I40" s="57">
        <f t="shared" si="2"/>
        <v>2361.11</v>
      </c>
      <c r="J40" s="57">
        <f t="shared" si="3"/>
        <v>96805.590000000215</v>
      </c>
    </row>
    <row r="41" spans="6:10" ht="14.25" customHeight="1">
      <c r="F41" s="15">
        <v>32</v>
      </c>
      <c r="G41" s="57">
        <f t="shared" si="0"/>
        <v>4079.41</v>
      </c>
      <c r="H41" s="57">
        <f t="shared" si="1"/>
        <v>1718.3</v>
      </c>
      <c r="I41" s="57">
        <f t="shared" si="2"/>
        <v>2361.11</v>
      </c>
      <c r="J41" s="57">
        <f t="shared" si="3"/>
        <v>94444.480000000214</v>
      </c>
    </row>
    <row r="42" spans="6:10" ht="14.25" customHeight="1">
      <c r="F42" s="15">
        <v>33</v>
      </c>
      <c r="G42" s="57">
        <f t="shared" si="0"/>
        <v>4037.5</v>
      </c>
      <c r="H42" s="57">
        <f t="shared" si="1"/>
        <v>1676.39</v>
      </c>
      <c r="I42" s="57">
        <f t="shared" si="2"/>
        <v>2361.11</v>
      </c>
      <c r="J42" s="57">
        <f t="shared" si="3"/>
        <v>92083.370000000214</v>
      </c>
    </row>
    <row r="43" spans="6:10" ht="14.25" customHeight="1">
      <c r="F43" s="15">
        <v>34</v>
      </c>
      <c r="G43" s="57">
        <f t="shared" si="0"/>
        <v>3995.59</v>
      </c>
      <c r="H43" s="57">
        <f t="shared" si="1"/>
        <v>1634.48</v>
      </c>
      <c r="I43" s="57">
        <f t="shared" si="2"/>
        <v>2361.11</v>
      </c>
      <c r="J43" s="57">
        <f t="shared" si="3"/>
        <v>89722.260000000213</v>
      </c>
    </row>
    <row r="44" spans="6:10" ht="14.25" customHeight="1">
      <c r="F44" s="15">
        <v>35</v>
      </c>
      <c r="G44" s="57">
        <f t="shared" si="0"/>
        <v>3953.6800000000003</v>
      </c>
      <c r="H44" s="57">
        <f t="shared" si="1"/>
        <v>1592.57</v>
      </c>
      <c r="I44" s="57">
        <f t="shared" si="2"/>
        <v>2361.11</v>
      </c>
      <c r="J44" s="57">
        <f t="shared" si="3"/>
        <v>87361.150000000212</v>
      </c>
    </row>
    <row r="45" spans="6:10" ht="14.25" customHeight="1">
      <c r="F45" s="15">
        <v>36</v>
      </c>
      <c r="G45" s="57">
        <f t="shared" si="0"/>
        <v>3911.7700000000004</v>
      </c>
      <c r="H45" s="57">
        <f t="shared" si="1"/>
        <v>1550.66</v>
      </c>
      <c r="I45" s="57">
        <f t="shared" si="2"/>
        <v>2361.11</v>
      </c>
      <c r="J45" s="57">
        <f t="shared" si="3"/>
        <v>85000.040000000212</v>
      </c>
    </row>
    <row r="46" spans="6:10" ht="14.25" customHeight="1">
      <c r="F46" s="15">
        <v>37</v>
      </c>
      <c r="G46" s="57">
        <f t="shared" si="0"/>
        <v>3869.86</v>
      </c>
      <c r="H46" s="57">
        <f t="shared" si="1"/>
        <v>1508.75</v>
      </c>
      <c r="I46" s="57">
        <f t="shared" si="2"/>
        <v>2361.11</v>
      </c>
      <c r="J46" s="57">
        <f t="shared" si="3"/>
        <v>82638.930000000211</v>
      </c>
    </row>
    <row r="47" spans="6:10" ht="14.25" customHeight="1">
      <c r="F47" s="15">
        <v>38</v>
      </c>
      <c r="G47" s="57">
        <f t="shared" si="0"/>
        <v>3827.95</v>
      </c>
      <c r="H47" s="57">
        <f t="shared" si="1"/>
        <v>1466.84</v>
      </c>
      <c r="I47" s="57">
        <f t="shared" si="2"/>
        <v>2361.11</v>
      </c>
      <c r="J47" s="57">
        <f t="shared" si="3"/>
        <v>80277.820000000211</v>
      </c>
    </row>
    <row r="48" spans="6:10" ht="14.25" customHeight="1">
      <c r="F48" s="15">
        <v>39</v>
      </c>
      <c r="G48" s="57">
        <f t="shared" si="0"/>
        <v>3786.04</v>
      </c>
      <c r="H48" s="57">
        <f t="shared" si="1"/>
        <v>1424.93</v>
      </c>
      <c r="I48" s="57">
        <f t="shared" si="2"/>
        <v>2361.11</v>
      </c>
      <c r="J48" s="57">
        <f t="shared" si="3"/>
        <v>77916.71000000021</v>
      </c>
    </row>
    <row r="49" spans="6:10" ht="14.25" customHeight="1">
      <c r="F49" s="15">
        <v>40</v>
      </c>
      <c r="G49" s="57">
        <f t="shared" si="0"/>
        <v>3744.13</v>
      </c>
      <c r="H49" s="57">
        <f t="shared" si="1"/>
        <v>1383.02</v>
      </c>
      <c r="I49" s="57">
        <f t="shared" si="2"/>
        <v>2361.11</v>
      </c>
      <c r="J49" s="57">
        <f t="shared" si="3"/>
        <v>75555.60000000021</v>
      </c>
    </row>
    <row r="50" spans="6:10" ht="14.25" customHeight="1">
      <c r="F50" s="15">
        <v>41</v>
      </c>
      <c r="G50" s="57">
        <f t="shared" si="0"/>
        <v>3702.2200000000003</v>
      </c>
      <c r="H50" s="57">
        <f t="shared" si="1"/>
        <v>1341.11</v>
      </c>
      <c r="I50" s="57">
        <f t="shared" si="2"/>
        <v>2361.11</v>
      </c>
      <c r="J50" s="57">
        <f t="shared" si="3"/>
        <v>73194.490000000209</v>
      </c>
    </row>
    <row r="51" spans="6:10" ht="14.25" customHeight="1">
      <c r="F51" s="15">
        <v>42</v>
      </c>
      <c r="G51" s="57">
        <f t="shared" si="0"/>
        <v>3660.3100000000004</v>
      </c>
      <c r="H51" s="57">
        <f t="shared" si="1"/>
        <v>1299.2</v>
      </c>
      <c r="I51" s="57">
        <f t="shared" si="2"/>
        <v>2361.11</v>
      </c>
      <c r="J51" s="57">
        <f t="shared" si="3"/>
        <v>70833.380000000208</v>
      </c>
    </row>
    <row r="52" spans="6:10" ht="14.25" customHeight="1">
      <c r="F52" s="15">
        <v>43</v>
      </c>
      <c r="G52" s="57">
        <f t="shared" si="0"/>
        <v>3618.4</v>
      </c>
      <c r="H52" s="57">
        <f t="shared" si="1"/>
        <v>1257.29</v>
      </c>
      <c r="I52" s="57">
        <f t="shared" si="2"/>
        <v>2361.11</v>
      </c>
      <c r="J52" s="57">
        <f t="shared" si="3"/>
        <v>68472.270000000208</v>
      </c>
    </row>
    <row r="53" spans="6:10" ht="14.25" customHeight="1">
      <c r="F53" s="15">
        <v>44</v>
      </c>
      <c r="G53" s="57">
        <f t="shared" si="0"/>
        <v>3576.4900000000002</v>
      </c>
      <c r="H53" s="57">
        <f t="shared" si="1"/>
        <v>1215.3800000000001</v>
      </c>
      <c r="I53" s="57">
        <f t="shared" si="2"/>
        <v>2361.11</v>
      </c>
      <c r="J53" s="57">
        <f t="shared" si="3"/>
        <v>66111.160000000207</v>
      </c>
    </row>
    <row r="54" spans="6:10" ht="14.25" customHeight="1">
      <c r="F54" s="15">
        <v>45</v>
      </c>
      <c r="G54" s="57">
        <f t="shared" si="0"/>
        <v>3534.58</v>
      </c>
      <c r="H54" s="57">
        <f t="shared" si="1"/>
        <v>1173.47</v>
      </c>
      <c r="I54" s="57">
        <f t="shared" si="2"/>
        <v>2361.11</v>
      </c>
      <c r="J54" s="57">
        <f t="shared" si="3"/>
        <v>63750.050000000207</v>
      </c>
    </row>
    <row r="55" spans="6:10" ht="14.25" customHeight="1">
      <c r="F55" s="15">
        <v>46</v>
      </c>
      <c r="G55" s="57">
        <f t="shared" si="0"/>
        <v>3492.67</v>
      </c>
      <c r="H55" s="57">
        <f t="shared" si="1"/>
        <v>1131.56</v>
      </c>
      <c r="I55" s="57">
        <f t="shared" si="2"/>
        <v>2361.11</v>
      </c>
      <c r="J55" s="57">
        <f t="shared" si="3"/>
        <v>61388.940000000206</v>
      </c>
    </row>
    <row r="56" spans="6:10" ht="14.25" customHeight="1">
      <c r="F56" s="15">
        <v>47</v>
      </c>
      <c r="G56" s="57">
        <f t="shared" si="0"/>
        <v>3450.76</v>
      </c>
      <c r="H56" s="57">
        <f t="shared" si="1"/>
        <v>1089.6500000000001</v>
      </c>
      <c r="I56" s="57">
        <f t="shared" si="2"/>
        <v>2361.11</v>
      </c>
      <c r="J56" s="57">
        <f t="shared" si="3"/>
        <v>59027.830000000205</v>
      </c>
    </row>
    <row r="57" spans="6:10" ht="14.25" customHeight="1">
      <c r="F57" s="15">
        <v>48</v>
      </c>
      <c r="G57" s="57">
        <f t="shared" si="0"/>
        <v>3408.8500000000004</v>
      </c>
      <c r="H57" s="57">
        <f t="shared" si="1"/>
        <v>1047.74</v>
      </c>
      <c r="I57" s="57">
        <f t="shared" si="2"/>
        <v>2361.11</v>
      </c>
      <c r="J57" s="57">
        <f t="shared" si="3"/>
        <v>56666.720000000205</v>
      </c>
    </row>
    <row r="58" spans="6:10" ht="14.25" customHeight="1">
      <c r="F58" s="15">
        <v>49</v>
      </c>
      <c r="G58" s="57">
        <f t="shared" si="0"/>
        <v>3366.94</v>
      </c>
      <c r="H58" s="57">
        <f t="shared" si="1"/>
        <v>1005.83</v>
      </c>
      <c r="I58" s="57">
        <f t="shared" si="2"/>
        <v>2361.11</v>
      </c>
      <c r="J58" s="57">
        <f t="shared" si="3"/>
        <v>54305.610000000204</v>
      </c>
    </row>
    <row r="59" spans="6:10" ht="14.25" customHeight="1">
      <c r="F59" s="15">
        <v>50</v>
      </c>
      <c r="G59" s="57">
        <f t="shared" si="0"/>
        <v>3325.03</v>
      </c>
      <c r="H59" s="57">
        <f t="shared" si="1"/>
        <v>963.92</v>
      </c>
      <c r="I59" s="57">
        <f t="shared" si="2"/>
        <v>2361.11</v>
      </c>
      <c r="J59" s="57">
        <f t="shared" si="3"/>
        <v>51944.500000000204</v>
      </c>
    </row>
    <row r="60" spans="6:10" ht="14.25" customHeight="1">
      <c r="F60" s="15">
        <v>51</v>
      </c>
      <c r="G60" s="57">
        <f t="shared" si="0"/>
        <v>3283.12</v>
      </c>
      <c r="H60" s="57">
        <f t="shared" si="1"/>
        <v>922.01</v>
      </c>
      <c r="I60" s="57">
        <f t="shared" si="2"/>
        <v>2361.11</v>
      </c>
      <c r="J60" s="57">
        <f t="shared" si="3"/>
        <v>49583.390000000203</v>
      </c>
    </row>
    <row r="61" spans="6:10" ht="14.25" customHeight="1">
      <c r="F61" s="15">
        <v>52</v>
      </c>
      <c r="G61" s="57">
        <f t="shared" si="0"/>
        <v>3241.2200000000003</v>
      </c>
      <c r="H61" s="57">
        <f t="shared" si="1"/>
        <v>880.11</v>
      </c>
      <c r="I61" s="57">
        <f t="shared" si="2"/>
        <v>2361.11</v>
      </c>
      <c r="J61" s="57">
        <f t="shared" si="3"/>
        <v>47222.280000000203</v>
      </c>
    </row>
    <row r="62" spans="6:10" ht="14.25" customHeight="1">
      <c r="F62" s="15">
        <v>53</v>
      </c>
      <c r="G62" s="57">
        <f t="shared" si="0"/>
        <v>3199.3100000000004</v>
      </c>
      <c r="H62" s="57">
        <f t="shared" si="1"/>
        <v>838.2</v>
      </c>
      <c r="I62" s="57">
        <f t="shared" si="2"/>
        <v>2361.11</v>
      </c>
      <c r="J62" s="57">
        <f t="shared" si="3"/>
        <v>44861.170000000202</v>
      </c>
    </row>
    <row r="63" spans="6:10" ht="14.25" customHeight="1">
      <c r="F63" s="15">
        <v>54</v>
      </c>
      <c r="G63" s="57">
        <f t="shared" si="0"/>
        <v>3157.4</v>
      </c>
      <c r="H63" s="57">
        <f t="shared" si="1"/>
        <v>796.29</v>
      </c>
      <c r="I63" s="57">
        <f t="shared" si="2"/>
        <v>2361.11</v>
      </c>
      <c r="J63" s="57">
        <f t="shared" si="3"/>
        <v>42500.060000000201</v>
      </c>
    </row>
    <row r="64" spans="6:10" ht="14.25" customHeight="1">
      <c r="F64" s="15">
        <v>55</v>
      </c>
      <c r="G64" s="57">
        <f t="shared" si="0"/>
        <v>3115.4900000000002</v>
      </c>
      <c r="H64" s="57">
        <f t="shared" si="1"/>
        <v>754.38</v>
      </c>
      <c r="I64" s="57">
        <f t="shared" si="2"/>
        <v>2361.11</v>
      </c>
      <c r="J64" s="57">
        <f t="shared" si="3"/>
        <v>40138.950000000201</v>
      </c>
    </row>
    <row r="65" spans="6:11" ht="14.25" customHeight="1">
      <c r="F65" s="15">
        <v>56</v>
      </c>
      <c r="G65" s="57">
        <f t="shared" si="0"/>
        <v>3073.58</v>
      </c>
      <c r="H65" s="57">
        <f t="shared" si="1"/>
        <v>712.47</v>
      </c>
      <c r="I65" s="57">
        <f t="shared" si="2"/>
        <v>2361.11</v>
      </c>
      <c r="J65" s="57">
        <f t="shared" si="3"/>
        <v>37777.8400000002</v>
      </c>
    </row>
    <row r="66" spans="6:11" ht="14.25" customHeight="1">
      <c r="F66" s="15">
        <v>57</v>
      </c>
      <c r="G66" s="57">
        <f t="shared" si="0"/>
        <v>3031.67</v>
      </c>
      <c r="H66" s="57">
        <f t="shared" si="1"/>
        <v>670.56</v>
      </c>
      <c r="I66" s="57">
        <f t="shared" si="2"/>
        <v>2361.11</v>
      </c>
      <c r="J66" s="57">
        <f t="shared" si="3"/>
        <v>35416.7300000002</v>
      </c>
    </row>
    <row r="67" spans="6:11" ht="14.25" customHeight="1">
      <c r="F67" s="15">
        <v>58</v>
      </c>
      <c r="G67" s="57">
        <f t="shared" si="0"/>
        <v>2989.76</v>
      </c>
      <c r="H67" s="57">
        <f t="shared" si="1"/>
        <v>628.65</v>
      </c>
      <c r="I67" s="57">
        <f t="shared" si="2"/>
        <v>2361.11</v>
      </c>
      <c r="J67" s="57">
        <f t="shared" si="3"/>
        <v>33055.620000000199</v>
      </c>
    </row>
    <row r="68" spans="6:11" ht="14.25" customHeight="1">
      <c r="F68" s="15">
        <v>59</v>
      </c>
      <c r="G68" s="57">
        <f t="shared" si="0"/>
        <v>2947.8500000000004</v>
      </c>
      <c r="H68" s="57">
        <f t="shared" si="1"/>
        <v>586.74</v>
      </c>
      <c r="I68" s="57">
        <f t="shared" si="2"/>
        <v>2361.11</v>
      </c>
      <c r="J68" s="57">
        <f t="shared" si="3"/>
        <v>30694.510000000198</v>
      </c>
    </row>
    <row r="69" spans="6:11" ht="14.25" customHeight="1">
      <c r="F69" s="15">
        <v>60</v>
      </c>
      <c r="G69" s="57">
        <f t="shared" si="0"/>
        <v>2905.94</v>
      </c>
      <c r="H69" s="57">
        <f t="shared" si="1"/>
        <v>544.83000000000004</v>
      </c>
      <c r="I69" s="57">
        <f t="shared" si="2"/>
        <v>2361.11</v>
      </c>
      <c r="J69" s="57">
        <f t="shared" si="3"/>
        <v>28333.400000000198</v>
      </c>
    </row>
    <row r="70" spans="6:11" ht="14.25" customHeight="1">
      <c r="F70" s="15">
        <v>61</v>
      </c>
      <c r="G70" s="57">
        <f t="shared" si="0"/>
        <v>2864.03</v>
      </c>
      <c r="H70" s="57">
        <f t="shared" si="1"/>
        <v>502.92</v>
      </c>
      <c r="I70" s="57">
        <f t="shared" si="2"/>
        <v>2361.11</v>
      </c>
      <c r="J70" s="57">
        <f t="shared" si="3"/>
        <v>25972.290000000197</v>
      </c>
    </row>
    <row r="71" spans="6:11" ht="14.25" customHeight="1">
      <c r="F71" s="15">
        <v>62</v>
      </c>
      <c r="G71" s="57">
        <f t="shared" si="0"/>
        <v>2822.12</v>
      </c>
      <c r="H71" s="57">
        <f t="shared" si="1"/>
        <v>461.01</v>
      </c>
      <c r="I71" s="57">
        <f t="shared" si="2"/>
        <v>2361.11</v>
      </c>
      <c r="J71" s="57">
        <f t="shared" si="3"/>
        <v>23611.180000000197</v>
      </c>
    </row>
    <row r="72" spans="6:11" ht="14.25" customHeight="1">
      <c r="F72" s="15">
        <v>63</v>
      </c>
      <c r="G72" s="57">
        <f t="shared" si="0"/>
        <v>2780.21</v>
      </c>
      <c r="H72" s="57">
        <f t="shared" si="1"/>
        <v>419.1</v>
      </c>
      <c r="I72" s="57">
        <f t="shared" si="2"/>
        <v>2361.11</v>
      </c>
      <c r="J72" s="57">
        <f t="shared" si="3"/>
        <v>21250.070000000196</v>
      </c>
    </row>
    <row r="73" spans="6:11" ht="14.25" customHeight="1">
      <c r="F73" s="15">
        <v>64</v>
      </c>
      <c r="G73" s="57">
        <f t="shared" si="0"/>
        <v>2738.3</v>
      </c>
      <c r="H73" s="57">
        <f t="shared" si="1"/>
        <v>377.19</v>
      </c>
      <c r="I73" s="57">
        <f t="shared" si="2"/>
        <v>2361.11</v>
      </c>
      <c r="J73" s="57">
        <f t="shared" si="3"/>
        <v>18888.960000000196</v>
      </c>
    </row>
    <row r="74" spans="6:11" ht="14.25" customHeight="1">
      <c r="F74" s="15">
        <v>65</v>
      </c>
      <c r="G74" s="57">
        <f t="shared" si="0"/>
        <v>2696.3900000000003</v>
      </c>
      <c r="H74" s="57">
        <f t="shared" si="1"/>
        <v>335.28</v>
      </c>
      <c r="I74" s="57">
        <f t="shared" si="2"/>
        <v>2361.11</v>
      </c>
      <c r="J74" s="57">
        <f t="shared" si="3"/>
        <v>16527.850000000195</v>
      </c>
    </row>
    <row r="75" spans="6:11" ht="14.25" customHeight="1">
      <c r="F75" s="15">
        <v>66</v>
      </c>
      <c r="G75" s="57">
        <f t="shared" si="0"/>
        <v>2654.48</v>
      </c>
      <c r="H75" s="57">
        <f t="shared" si="1"/>
        <v>293.37</v>
      </c>
      <c r="I75" s="57">
        <f t="shared" si="2"/>
        <v>2361.11</v>
      </c>
      <c r="J75" s="57">
        <f t="shared" si="3"/>
        <v>14166.740000000194</v>
      </c>
    </row>
    <row r="76" spans="6:11" ht="14.25" customHeight="1">
      <c r="F76" s="15">
        <v>67</v>
      </c>
      <c r="G76" s="57">
        <f t="shared" si="0"/>
        <v>2612.5700000000002</v>
      </c>
      <c r="H76" s="57">
        <f t="shared" si="1"/>
        <v>251.46</v>
      </c>
      <c r="I76" s="57">
        <f t="shared" si="2"/>
        <v>2361.11</v>
      </c>
      <c r="J76" s="57">
        <f t="shared" si="3"/>
        <v>11805.630000000194</v>
      </c>
    </row>
    <row r="77" spans="6:11" ht="14.25" customHeight="1">
      <c r="F77" s="15">
        <v>68</v>
      </c>
      <c r="G77" s="57">
        <f t="shared" si="0"/>
        <v>2570.6600000000003</v>
      </c>
      <c r="H77" s="57">
        <f t="shared" si="1"/>
        <v>209.55</v>
      </c>
      <c r="I77" s="57">
        <f t="shared" si="2"/>
        <v>2361.11</v>
      </c>
      <c r="J77" s="57">
        <f t="shared" si="3"/>
        <v>9444.5200000001932</v>
      </c>
    </row>
    <row r="78" spans="6:11" ht="14.25" customHeight="1">
      <c r="F78" s="15">
        <v>69</v>
      </c>
      <c r="G78" s="57">
        <f t="shared" si="0"/>
        <v>2528.75</v>
      </c>
      <c r="H78" s="57">
        <f t="shared" si="1"/>
        <v>167.64</v>
      </c>
      <c r="I78" s="57">
        <f t="shared" si="2"/>
        <v>2361.11</v>
      </c>
      <c r="J78" s="57">
        <f t="shared" si="3"/>
        <v>7083.4100000001927</v>
      </c>
    </row>
    <row r="79" spans="6:11" ht="14.25" customHeight="1">
      <c r="F79" s="15">
        <v>70</v>
      </c>
      <c r="G79" s="57">
        <f t="shared" si="0"/>
        <v>2486.84</v>
      </c>
      <c r="H79" s="57">
        <f t="shared" si="1"/>
        <v>125.73</v>
      </c>
      <c r="I79" s="57">
        <f t="shared" si="2"/>
        <v>2361.11</v>
      </c>
      <c r="J79" s="57">
        <f t="shared" si="3"/>
        <v>4722.3000000001921</v>
      </c>
    </row>
    <row r="80" spans="6:11" ht="14.25" customHeight="1">
      <c r="F80" s="15">
        <v>71</v>
      </c>
      <c r="G80" s="57">
        <f t="shared" si="0"/>
        <v>2444.9300000000003</v>
      </c>
      <c r="H80" s="57">
        <f t="shared" si="1"/>
        <v>83.82</v>
      </c>
      <c r="I80" s="57">
        <f t="shared" si="2"/>
        <v>2361.11</v>
      </c>
      <c r="J80" s="57">
        <f t="shared" si="3"/>
        <v>2361.190000000192</v>
      </c>
      <c r="K80" s="18" t="s">
        <v>30</v>
      </c>
    </row>
    <row r="81" spans="6:11" ht="14.25" customHeight="1">
      <c r="F81" s="15">
        <v>72</v>
      </c>
      <c r="G81" s="57">
        <f t="shared" si="0"/>
        <v>2403.1000000001918</v>
      </c>
      <c r="H81" s="57">
        <f t="shared" si="1"/>
        <v>41.91</v>
      </c>
      <c r="I81" s="57">
        <f>J80</f>
        <v>2361.190000000192</v>
      </c>
      <c r="J81" s="57">
        <f t="shared" si="3"/>
        <v>0</v>
      </c>
      <c r="K81" s="18" t="s">
        <v>117</v>
      </c>
    </row>
    <row r="82" spans="6:11" ht="14.25" customHeight="1">
      <c r="F82" s="15" t="s">
        <v>127</v>
      </c>
      <c r="G82" s="57">
        <f t="shared" ref="G82:I82" si="4">SUM(G10:G81)</f>
        <v>280138.80000000016</v>
      </c>
      <c r="H82" s="57">
        <f t="shared" si="4"/>
        <v>110138.80000000002</v>
      </c>
      <c r="I82" s="57">
        <f t="shared" si="4"/>
        <v>170000</v>
      </c>
      <c r="J82" s="57"/>
    </row>
    <row r="83" spans="6:11" ht="14.25" customHeight="1">
      <c r="F83" s="15"/>
      <c r="G83" s="57"/>
      <c r="H83" s="57"/>
      <c r="I83" s="57"/>
      <c r="J83" s="57"/>
      <c r="K83" s="18"/>
    </row>
    <row r="84" spans="6:11" ht="14.25" customHeight="1">
      <c r="F84" s="15"/>
      <c r="G84" s="64"/>
      <c r="H84" s="65"/>
      <c r="I84" s="66"/>
      <c r="J84" s="66"/>
    </row>
    <row r="85" spans="6:11" ht="14.25" customHeight="1">
      <c r="F85" s="15"/>
      <c r="G85" s="64"/>
      <c r="H85" s="65"/>
      <c r="I85" s="66"/>
      <c r="J85" s="66"/>
    </row>
    <row r="86" spans="6:11" ht="14.25" customHeight="1">
      <c r="F86" s="15"/>
      <c r="G86" s="64"/>
      <c r="H86" s="65"/>
      <c r="I86" s="66"/>
      <c r="J86" s="66"/>
    </row>
    <row r="87" spans="6:11" ht="14.25" customHeight="1">
      <c r="F87" s="15"/>
      <c r="G87" s="64"/>
      <c r="H87" s="65"/>
      <c r="I87" s="66"/>
      <c r="J87" s="66"/>
    </row>
    <row r="88" spans="6:11" ht="14.25" customHeight="1">
      <c r="F88" s="15"/>
      <c r="G88" s="64"/>
      <c r="H88" s="65"/>
      <c r="I88" s="66"/>
      <c r="J88" s="66"/>
    </row>
    <row r="89" spans="6:11" ht="14.25" customHeight="1">
      <c r="F89" s="15"/>
      <c r="G89" s="64"/>
      <c r="H89" s="65"/>
      <c r="I89" s="66"/>
      <c r="J89" s="66"/>
    </row>
    <row r="90" spans="6:11" ht="14.25" customHeight="1">
      <c r="F90" s="15"/>
      <c r="G90" s="64"/>
      <c r="H90" s="65"/>
      <c r="I90" s="66"/>
      <c r="J90" s="66"/>
    </row>
    <row r="91" spans="6:11" ht="14.25" customHeight="1">
      <c r="F91" s="15"/>
      <c r="G91" s="64"/>
      <c r="H91" s="65"/>
      <c r="I91" s="66"/>
      <c r="J91" s="66"/>
    </row>
    <row r="92" spans="6:11" ht="14.25" customHeight="1">
      <c r="F92" s="15"/>
      <c r="G92" s="64"/>
      <c r="H92" s="65"/>
      <c r="I92" s="66"/>
      <c r="J92" s="66"/>
    </row>
    <row r="93" spans="6:11" ht="14.25" customHeight="1">
      <c r="F93" s="15"/>
      <c r="G93" s="64"/>
      <c r="H93" s="65"/>
      <c r="I93" s="66"/>
      <c r="J93" s="66"/>
    </row>
    <row r="94" spans="6:11" ht="14.25" customHeight="1">
      <c r="F94" s="15"/>
      <c r="G94" s="64"/>
      <c r="H94" s="65"/>
      <c r="I94" s="66"/>
      <c r="J94" s="66"/>
    </row>
    <row r="95" spans="6:11" ht="14.25" customHeight="1">
      <c r="F95" s="15"/>
      <c r="G95" s="64"/>
      <c r="H95" s="65"/>
      <c r="I95" s="66"/>
      <c r="J95" s="66"/>
    </row>
    <row r="96" spans="6:11" ht="14.25" customHeight="1">
      <c r="F96" s="15"/>
      <c r="G96" s="64"/>
      <c r="H96" s="65"/>
      <c r="I96" s="66"/>
      <c r="J96" s="66"/>
    </row>
    <row r="97" spans="6:10" ht="14.25" customHeight="1">
      <c r="F97" s="15"/>
      <c r="G97" s="64"/>
      <c r="H97" s="65"/>
      <c r="I97" s="66"/>
      <c r="J97" s="66"/>
    </row>
    <row r="98" spans="6:10" ht="14.25" customHeight="1">
      <c r="F98" s="15"/>
      <c r="G98" s="64"/>
      <c r="H98" s="65"/>
      <c r="I98" s="66"/>
      <c r="J98" s="66"/>
    </row>
    <row r="99" spans="6:10" ht="14.25" customHeight="1">
      <c r="F99" s="15"/>
      <c r="G99" s="64"/>
      <c r="H99" s="65"/>
      <c r="I99" s="66"/>
      <c r="J99" s="66"/>
    </row>
    <row r="100" spans="6:10" ht="14.25" customHeight="1"/>
    <row r="101" spans="6:10" ht="14.25" customHeight="1"/>
    <row r="102" spans="6:10" ht="14.25" customHeight="1"/>
    <row r="103" spans="6:10" ht="14.25" customHeight="1"/>
    <row r="104" spans="6:10" ht="14.25" customHeight="1"/>
    <row r="105" spans="6:10" ht="14.25" customHeight="1"/>
    <row r="106" spans="6:10" ht="14.25" customHeight="1"/>
    <row r="107" spans="6:10" ht="14.25" customHeight="1"/>
    <row r="108" spans="6:10" ht="14.25" customHeight="1"/>
    <row r="109" spans="6:10" ht="14.25" customHeight="1"/>
    <row r="110" spans="6:10" ht="14.25" customHeight="1"/>
    <row r="111" spans="6:10" ht="14.25" customHeight="1"/>
    <row r="112" spans="6:10"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sheetData>
  <mergeCells count="1">
    <mergeCell ref="A1:L5"/>
  </mergeCell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R940"/>
  <sheetViews>
    <sheetView workbookViewId="0">
      <selection sqref="A1:I7"/>
    </sheetView>
  </sheetViews>
  <sheetFormatPr defaultColWidth="14.453125" defaultRowHeight="15" customHeight="1"/>
  <cols>
    <col min="1" max="1" width="8.6328125" customWidth="1"/>
    <col min="2" max="5" width="16.6328125" customWidth="1"/>
    <col min="6" max="6" width="8.6328125" customWidth="1"/>
    <col min="7" max="7" width="10" customWidth="1"/>
    <col min="8" max="8" width="12.36328125" customWidth="1"/>
    <col min="9" max="9" width="8.6328125" customWidth="1"/>
    <col min="10" max="10" width="5.6328125" customWidth="1"/>
    <col min="11" max="12" width="13.453125" customWidth="1"/>
    <col min="13" max="13" width="14.6328125" customWidth="1"/>
    <col min="14" max="14" width="14.36328125" customWidth="1"/>
    <col min="15" max="16" width="8.6328125" customWidth="1"/>
    <col min="17" max="17" width="12.54296875" customWidth="1"/>
    <col min="18" max="19" width="8.6328125" customWidth="1"/>
  </cols>
  <sheetData>
    <row r="1" spans="1:9" ht="14.25" customHeight="1">
      <c r="A1" s="202" t="s">
        <v>131</v>
      </c>
      <c r="B1" s="188"/>
      <c r="C1" s="188"/>
      <c r="D1" s="188"/>
      <c r="E1" s="188"/>
      <c r="F1" s="188"/>
      <c r="G1" s="188"/>
      <c r="H1" s="188"/>
      <c r="I1" s="188"/>
    </row>
    <row r="2" spans="1:9" ht="14.25" customHeight="1">
      <c r="A2" s="188"/>
      <c r="B2" s="188"/>
      <c r="C2" s="188"/>
      <c r="D2" s="188"/>
      <c r="E2" s="188"/>
      <c r="F2" s="188"/>
      <c r="G2" s="188"/>
      <c r="H2" s="188"/>
      <c r="I2" s="188"/>
    </row>
    <row r="3" spans="1:9" ht="14.25" customHeight="1">
      <c r="A3" s="188"/>
      <c r="B3" s="188"/>
      <c r="C3" s="188"/>
      <c r="D3" s="188"/>
      <c r="E3" s="188"/>
      <c r="F3" s="188"/>
      <c r="G3" s="188"/>
      <c r="H3" s="188"/>
      <c r="I3" s="188"/>
    </row>
    <row r="4" spans="1:9" ht="14.25" customHeight="1">
      <c r="A4" s="188"/>
      <c r="B4" s="188"/>
      <c r="C4" s="188"/>
      <c r="D4" s="188"/>
      <c r="E4" s="188"/>
      <c r="F4" s="188"/>
      <c r="G4" s="188"/>
      <c r="H4" s="188"/>
      <c r="I4" s="188"/>
    </row>
    <row r="5" spans="1:9" ht="14.25" customHeight="1">
      <c r="A5" s="188"/>
      <c r="B5" s="188"/>
      <c r="C5" s="188"/>
      <c r="D5" s="188"/>
      <c r="E5" s="188"/>
      <c r="F5" s="188"/>
      <c r="G5" s="188"/>
      <c r="H5" s="188"/>
      <c r="I5" s="188"/>
    </row>
    <row r="6" spans="1:9" ht="14.25" customHeight="1">
      <c r="A6" s="188"/>
      <c r="B6" s="188"/>
      <c r="C6" s="188"/>
      <c r="D6" s="188"/>
      <c r="E6" s="188"/>
      <c r="F6" s="188"/>
      <c r="G6" s="188"/>
      <c r="H6" s="188"/>
      <c r="I6" s="188"/>
    </row>
    <row r="7" spans="1:9" ht="14.25" customHeight="1">
      <c r="A7" s="188"/>
      <c r="B7" s="188"/>
      <c r="C7" s="188"/>
      <c r="D7" s="188"/>
      <c r="E7" s="188"/>
      <c r="F7" s="188"/>
      <c r="G7" s="188"/>
      <c r="H7" s="188"/>
      <c r="I7" s="188"/>
    </row>
    <row r="8" spans="1:9" ht="14.25" customHeight="1">
      <c r="A8" s="18" t="s">
        <v>115</v>
      </c>
      <c r="B8" s="21"/>
    </row>
    <row r="9" spans="1:9" ht="14.25" customHeight="1">
      <c r="A9" s="21"/>
      <c r="B9" s="21"/>
    </row>
    <row r="10" spans="1:9" ht="14.25" customHeight="1"/>
    <row r="11" spans="1:9" ht="14.25" customHeight="1">
      <c r="A11" s="14" t="s">
        <v>89</v>
      </c>
      <c r="B11" s="62">
        <v>50000</v>
      </c>
    </row>
    <row r="12" spans="1:9" ht="14.25" customHeight="1">
      <c r="A12" s="14" t="s">
        <v>132</v>
      </c>
      <c r="B12" s="3">
        <v>27</v>
      </c>
    </row>
    <row r="13" spans="1:9" ht="14.25" customHeight="1">
      <c r="A13" s="38" t="s">
        <v>90</v>
      </c>
      <c r="B13" s="16">
        <v>4.8000000000000001E-2</v>
      </c>
    </row>
    <row r="14" spans="1:9" ht="14.25" customHeight="1">
      <c r="A14" s="14" t="s">
        <v>91</v>
      </c>
      <c r="B14" s="67">
        <f>1+B13</f>
        <v>1.048</v>
      </c>
    </row>
    <row r="15" spans="1:9" ht="14.25" customHeight="1">
      <c r="A15" s="14" t="s">
        <v>133</v>
      </c>
      <c r="B15" s="24">
        <v>12</v>
      </c>
    </row>
    <row r="16" spans="1:9" ht="14.25" customHeight="1">
      <c r="A16" s="204" t="s">
        <v>134</v>
      </c>
      <c r="B16" s="188"/>
    </row>
    <row r="17" spans="1:14" ht="14.25" customHeight="1">
      <c r="A17" s="14" t="s">
        <v>135</v>
      </c>
      <c r="B17" s="68">
        <f>B13/B15</f>
        <v>4.0000000000000001E-3</v>
      </c>
    </row>
    <row r="18" spans="1:14" ht="14.25" customHeight="1">
      <c r="A18" s="14" t="s">
        <v>136</v>
      </c>
      <c r="B18" s="68">
        <f>1+B17</f>
        <v>1.004</v>
      </c>
    </row>
    <row r="19" spans="1:14" ht="14.25" customHeight="1">
      <c r="A19" s="14" t="s">
        <v>137</v>
      </c>
      <c r="B19" s="3">
        <f>B12*B15</f>
        <v>324</v>
      </c>
    </row>
    <row r="20" spans="1:14" ht="14.25" customHeight="1">
      <c r="A20" s="14"/>
    </row>
    <row r="21" spans="1:14" ht="14.25" customHeight="1">
      <c r="A21" s="14" t="s">
        <v>138</v>
      </c>
      <c r="B21" s="48">
        <f>ROUND(PMT(B17,B19,B11,0,0),2)</f>
        <v>-275.61</v>
      </c>
    </row>
    <row r="22" spans="1:14" ht="14.25" customHeight="1">
      <c r="A22" s="14"/>
      <c r="B22" s="55"/>
    </row>
    <row r="23" spans="1:14" ht="14.25" customHeight="1">
      <c r="K23" s="55"/>
      <c r="L23" s="69"/>
      <c r="M23" s="55"/>
    </row>
    <row r="24" spans="1:14" ht="14.25" customHeight="1">
      <c r="K24" s="24"/>
    </row>
    <row r="25" spans="1:14" ht="14.25" customHeight="1">
      <c r="A25" s="7" t="s">
        <v>122</v>
      </c>
      <c r="B25" s="7" t="s">
        <v>120</v>
      </c>
      <c r="C25" s="7" t="s">
        <v>123</v>
      </c>
      <c r="D25" s="7" t="s">
        <v>124</v>
      </c>
      <c r="E25" s="7" t="s">
        <v>125</v>
      </c>
      <c r="J25" s="7" t="s">
        <v>122</v>
      </c>
      <c r="K25" s="7" t="s">
        <v>120</v>
      </c>
      <c r="L25" s="7" t="s">
        <v>123</v>
      </c>
      <c r="M25" s="7" t="s">
        <v>124</v>
      </c>
      <c r="N25" s="7" t="s">
        <v>125</v>
      </c>
    </row>
    <row r="26" spans="1:14" ht="14.25" customHeight="1">
      <c r="A26" s="7">
        <v>0</v>
      </c>
      <c r="B26" s="70" t="s">
        <v>139</v>
      </c>
      <c r="C26" s="70" t="s">
        <v>139</v>
      </c>
      <c r="D26" s="70" t="s">
        <v>139</v>
      </c>
      <c r="E26" s="71">
        <f>B11</f>
        <v>50000</v>
      </c>
      <c r="J26" s="7">
        <v>0</v>
      </c>
      <c r="K26" s="70" t="s">
        <v>139</v>
      </c>
      <c r="L26" s="70" t="s">
        <v>139</v>
      </c>
      <c r="M26" s="70" t="s">
        <v>139</v>
      </c>
      <c r="N26" s="71">
        <f>B11</f>
        <v>50000</v>
      </c>
    </row>
    <row r="27" spans="1:14" ht="14.25" customHeight="1">
      <c r="A27" s="7">
        <v>1</v>
      </c>
      <c r="B27" s="70">
        <f t="shared" ref="B27:B281" si="0">-$B$21</f>
        <v>275.61</v>
      </c>
      <c r="C27" s="70">
        <f t="shared" ref="C27:C281" si="1">ROUND(E26*$B$17,2)</f>
        <v>200</v>
      </c>
      <c r="D27" s="70">
        <f t="shared" ref="D27:D281" si="2">B27-C27</f>
        <v>75.610000000000014</v>
      </c>
      <c r="E27" s="70">
        <f t="shared" ref="E27:E281" si="3">E26-D27</f>
        <v>49924.39</v>
      </c>
      <c r="J27" s="7">
        <v>1</v>
      </c>
      <c r="K27" s="70">
        <f t="shared" ref="K27:K74" si="4">-$B$21</f>
        <v>275.61</v>
      </c>
      <c r="L27" s="70">
        <f t="shared" ref="L27:L74" si="5">ROUND(N26*$B$17,2)</f>
        <v>200</v>
      </c>
      <c r="M27" s="70">
        <f t="shared" ref="M27:M281" si="6">K27-L27</f>
        <v>75.610000000000014</v>
      </c>
      <c r="N27" s="70">
        <f t="shared" ref="N27:N281" si="7">N26-M27</f>
        <v>49924.39</v>
      </c>
    </row>
    <row r="28" spans="1:14" ht="14.25" customHeight="1">
      <c r="A28" s="7">
        <v>2</v>
      </c>
      <c r="B28" s="70">
        <f t="shared" si="0"/>
        <v>275.61</v>
      </c>
      <c r="C28" s="70">
        <f t="shared" si="1"/>
        <v>199.7</v>
      </c>
      <c r="D28" s="70">
        <f t="shared" si="2"/>
        <v>75.910000000000025</v>
      </c>
      <c r="E28" s="70">
        <f t="shared" si="3"/>
        <v>49848.479999999996</v>
      </c>
      <c r="J28" s="7">
        <v>2</v>
      </c>
      <c r="K28" s="70">
        <f t="shared" si="4"/>
        <v>275.61</v>
      </c>
      <c r="L28" s="70">
        <f t="shared" si="5"/>
        <v>199.7</v>
      </c>
      <c r="M28" s="70">
        <f t="shared" si="6"/>
        <v>75.910000000000025</v>
      </c>
      <c r="N28" s="70">
        <f t="shared" si="7"/>
        <v>49848.479999999996</v>
      </c>
    </row>
    <row r="29" spans="1:14" ht="14.25" customHeight="1">
      <c r="A29" s="7">
        <v>3</v>
      </c>
      <c r="B29" s="70">
        <f t="shared" si="0"/>
        <v>275.61</v>
      </c>
      <c r="C29" s="70">
        <f t="shared" si="1"/>
        <v>199.39</v>
      </c>
      <c r="D29" s="70">
        <f t="shared" si="2"/>
        <v>76.220000000000027</v>
      </c>
      <c r="E29" s="70">
        <f t="shared" si="3"/>
        <v>49772.259999999995</v>
      </c>
      <c r="J29" s="7">
        <v>3</v>
      </c>
      <c r="K29" s="70">
        <f t="shared" si="4"/>
        <v>275.61</v>
      </c>
      <c r="L29" s="70">
        <f t="shared" si="5"/>
        <v>199.39</v>
      </c>
      <c r="M29" s="70">
        <f t="shared" si="6"/>
        <v>76.220000000000027</v>
      </c>
      <c r="N29" s="70">
        <f t="shared" si="7"/>
        <v>49772.259999999995</v>
      </c>
    </row>
    <row r="30" spans="1:14" ht="14.25" customHeight="1">
      <c r="A30" s="7">
        <v>4</v>
      </c>
      <c r="B30" s="70">
        <f t="shared" si="0"/>
        <v>275.61</v>
      </c>
      <c r="C30" s="70">
        <f t="shared" si="1"/>
        <v>199.09</v>
      </c>
      <c r="D30" s="70">
        <f t="shared" si="2"/>
        <v>76.52000000000001</v>
      </c>
      <c r="E30" s="70">
        <f t="shared" si="3"/>
        <v>49695.74</v>
      </c>
      <c r="J30" s="7">
        <v>4</v>
      </c>
      <c r="K30" s="70">
        <f t="shared" si="4"/>
        <v>275.61</v>
      </c>
      <c r="L30" s="70">
        <f t="shared" si="5"/>
        <v>199.09</v>
      </c>
      <c r="M30" s="70">
        <f t="shared" si="6"/>
        <v>76.52000000000001</v>
      </c>
      <c r="N30" s="70">
        <f t="shared" si="7"/>
        <v>49695.74</v>
      </c>
    </row>
    <row r="31" spans="1:14" ht="14.25" customHeight="1">
      <c r="A31" s="7">
        <v>5</v>
      </c>
      <c r="B31" s="70">
        <f t="shared" si="0"/>
        <v>275.61</v>
      </c>
      <c r="C31" s="70">
        <f t="shared" si="1"/>
        <v>198.78</v>
      </c>
      <c r="D31" s="70">
        <f t="shared" si="2"/>
        <v>76.830000000000013</v>
      </c>
      <c r="E31" s="70">
        <f t="shared" si="3"/>
        <v>49618.909999999996</v>
      </c>
      <c r="J31" s="7">
        <v>5</v>
      </c>
      <c r="K31" s="70">
        <f t="shared" si="4"/>
        <v>275.61</v>
      </c>
      <c r="L31" s="70">
        <f t="shared" si="5"/>
        <v>198.78</v>
      </c>
      <c r="M31" s="70">
        <f t="shared" si="6"/>
        <v>76.830000000000013</v>
      </c>
      <c r="N31" s="70">
        <f t="shared" si="7"/>
        <v>49618.909999999996</v>
      </c>
    </row>
    <row r="32" spans="1:14" ht="14.25" customHeight="1">
      <c r="A32" s="7">
        <v>6</v>
      </c>
      <c r="B32" s="70">
        <f t="shared" si="0"/>
        <v>275.61</v>
      </c>
      <c r="C32" s="70">
        <f t="shared" si="1"/>
        <v>198.48</v>
      </c>
      <c r="D32" s="70">
        <f t="shared" si="2"/>
        <v>77.130000000000024</v>
      </c>
      <c r="E32" s="70">
        <f t="shared" si="3"/>
        <v>49541.78</v>
      </c>
      <c r="J32" s="7">
        <v>6</v>
      </c>
      <c r="K32" s="70">
        <f t="shared" si="4"/>
        <v>275.61</v>
      </c>
      <c r="L32" s="70">
        <f t="shared" si="5"/>
        <v>198.48</v>
      </c>
      <c r="M32" s="70">
        <f t="shared" si="6"/>
        <v>77.130000000000024</v>
      </c>
      <c r="N32" s="70">
        <f t="shared" si="7"/>
        <v>49541.78</v>
      </c>
    </row>
    <row r="33" spans="1:14" ht="14.25" customHeight="1">
      <c r="A33" s="7">
        <v>7</v>
      </c>
      <c r="B33" s="70">
        <f t="shared" si="0"/>
        <v>275.61</v>
      </c>
      <c r="C33" s="70">
        <f t="shared" si="1"/>
        <v>198.17</v>
      </c>
      <c r="D33" s="70">
        <f t="shared" si="2"/>
        <v>77.440000000000026</v>
      </c>
      <c r="E33" s="70">
        <f t="shared" si="3"/>
        <v>49464.34</v>
      </c>
      <c r="J33" s="7">
        <v>7</v>
      </c>
      <c r="K33" s="70">
        <f t="shared" si="4"/>
        <v>275.61</v>
      </c>
      <c r="L33" s="70">
        <f t="shared" si="5"/>
        <v>198.17</v>
      </c>
      <c r="M33" s="70">
        <f t="shared" si="6"/>
        <v>77.440000000000026</v>
      </c>
      <c r="N33" s="70">
        <f t="shared" si="7"/>
        <v>49464.34</v>
      </c>
    </row>
    <row r="34" spans="1:14" ht="14.25" customHeight="1">
      <c r="A34" s="7">
        <v>8</v>
      </c>
      <c r="B34" s="70">
        <f t="shared" si="0"/>
        <v>275.61</v>
      </c>
      <c r="C34" s="70">
        <f t="shared" si="1"/>
        <v>197.86</v>
      </c>
      <c r="D34" s="70">
        <f t="shared" si="2"/>
        <v>77.75</v>
      </c>
      <c r="E34" s="70">
        <f t="shared" si="3"/>
        <v>49386.59</v>
      </c>
      <c r="J34" s="7">
        <v>8</v>
      </c>
      <c r="K34" s="70">
        <f t="shared" si="4"/>
        <v>275.61</v>
      </c>
      <c r="L34" s="70">
        <f t="shared" si="5"/>
        <v>197.86</v>
      </c>
      <c r="M34" s="70">
        <f t="shared" si="6"/>
        <v>77.75</v>
      </c>
      <c r="N34" s="70">
        <f t="shared" si="7"/>
        <v>49386.59</v>
      </c>
    </row>
    <row r="35" spans="1:14" ht="14.25" customHeight="1">
      <c r="A35" s="7">
        <v>9</v>
      </c>
      <c r="B35" s="70">
        <f t="shared" si="0"/>
        <v>275.61</v>
      </c>
      <c r="C35" s="70">
        <f t="shared" si="1"/>
        <v>197.55</v>
      </c>
      <c r="D35" s="70">
        <f t="shared" si="2"/>
        <v>78.06</v>
      </c>
      <c r="E35" s="70">
        <f t="shared" si="3"/>
        <v>49308.53</v>
      </c>
      <c r="J35" s="7">
        <v>9</v>
      </c>
      <c r="K35" s="70">
        <f t="shared" si="4"/>
        <v>275.61</v>
      </c>
      <c r="L35" s="70">
        <f t="shared" si="5"/>
        <v>197.55</v>
      </c>
      <c r="M35" s="70">
        <f t="shared" si="6"/>
        <v>78.06</v>
      </c>
      <c r="N35" s="70">
        <f t="shared" si="7"/>
        <v>49308.53</v>
      </c>
    </row>
    <row r="36" spans="1:14" ht="14.25" customHeight="1">
      <c r="A36" s="7">
        <v>10</v>
      </c>
      <c r="B36" s="70">
        <f t="shared" si="0"/>
        <v>275.61</v>
      </c>
      <c r="C36" s="70">
        <f t="shared" si="1"/>
        <v>197.23</v>
      </c>
      <c r="D36" s="70">
        <f t="shared" si="2"/>
        <v>78.380000000000024</v>
      </c>
      <c r="E36" s="70">
        <f t="shared" si="3"/>
        <v>49230.15</v>
      </c>
      <c r="J36" s="7">
        <v>10</v>
      </c>
      <c r="K36" s="70">
        <f t="shared" si="4"/>
        <v>275.61</v>
      </c>
      <c r="L36" s="70">
        <f t="shared" si="5"/>
        <v>197.23</v>
      </c>
      <c r="M36" s="70">
        <f t="shared" si="6"/>
        <v>78.380000000000024</v>
      </c>
      <c r="N36" s="70">
        <f t="shared" si="7"/>
        <v>49230.15</v>
      </c>
    </row>
    <row r="37" spans="1:14" ht="14.25" customHeight="1">
      <c r="A37" s="7">
        <v>11</v>
      </c>
      <c r="B37" s="70">
        <f t="shared" si="0"/>
        <v>275.61</v>
      </c>
      <c r="C37" s="70">
        <f t="shared" si="1"/>
        <v>196.92</v>
      </c>
      <c r="D37" s="70">
        <f t="shared" si="2"/>
        <v>78.690000000000026</v>
      </c>
      <c r="E37" s="70">
        <f t="shared" si="3"/>
        <v>49151.46</v>
      </c>
      <c r="J37" s="7">
        <v>11</v>
      </c>
      <c r="K37" s="70">
        <f t="shared" si="4"/>
        <v>275.61</v>
      </c>
      <c r="L37" s="70">
        <f t="shared" si="5"/>
        <v>196.92</v>
      </c>
      <c r="M37" s="70">
        <f t="shared" si="6"/>
        <v>78.690000000000026</v>
      </c>
      <c r="N37" s="70">
        <f t="shared" si="7"/>
        <v>49151.46</v>
      </c>
    </row>
    <row r="38" spans="1:14" ht="14.25" customHeight="1">
      <c r="A38" s="7">
        <v>12</v>
      </c>
      <c r="B38" s="70">
        <f t="shared" si="0"/>
        <v>275.61</v>
      </c>
      <c r="C38" s="70">
        <f t="shared" si="1"/>
        <v>196.61</v>
      </c>
      <c r="D38" s="70">
        <f t="shared" si="2"/>
        <v>79</v>
      </c>
      <c r="E38" s="70">
        <f t="shared" si="3"/>
        <v>49072.46</v>
      </c>
      <c r="J38" s="7">
        <v>12</v>
      </c>
      <c r="K38" s="70">
        <f t="shared" si="4"/>
        <v>275.61</v>
      </c>
      <c r="L38" s="70">
        <f t="shared" si="5"/>
        <v>196.61</v>
      </c>
      <c r="M38" s="70">
        <f t="shared" si="6"/>
        <v>79</v>
      </c>
      <c r="N38" s="70">
        <f t="shared" si="7"/>
        <v>49072.46</v>
      </c>
    </row>
    <row r="39" spans="1:14" ht="14.25" customHeight="1">
      <c r="A39" s="7">
        <v>13</v>
      </c>
      <c r="B39" s="70">
        <f t="shared" si="0"/>
        <v>275.61</v>
      </c>
      <c r="C39" s="70">
        <f t="shared" si="1"/>
        <v>196.29</v>
      </c>
      <c r="D39" s="70">
        <f t="shared" si="2"/>
        <v>79.320000000000022</v>
      </c>
      <c r="E39" s="70">
        <f t="shared" si="3"/>
        <v>48993.14</v>
      </c>
      <c r="J39" s="7">
        <v>13</v>
      </c>
      <c r="K39" s="70">
        <f t="shared" si="4"/>
        <v>275.61</v>
      </c>
      <c r="L39" s="70">
        <f t="shared" si="5"/>
        <v>196.29</v>
      </c>
      <c r="M39" s="70">
        <f t="shared" si="6"/>
        <v>79.320000000000022</v>
      </c>
      <c r="N39" s="70">
        <f t="shared" si="7"/>
        <v>48993.14</v>
      </c>
    </row>
    <row r="40" spans="1:14" ht="14.25" customHeight="1">
      <c r="A40" s="7">
        <v>14</v>
      </c>
      <c r="B40" s="70">
        <f t="shared" si="0"/>
        <v>275.61</v>
      </c>
      <c r="C40" s="70">
        <f t="shared" si="1"/>
        <v>195.97</v>
      </c>
      <c r="D40" s="70">
        <f t="shared" si="2"/>
        <v>79.640000000000015</v>
      </c>
      <c r="E40" s="70">
        <f t="shared" si="3"/>
        <v>48913.5</v>
      </c>
      <c r="J40" s="7">
        <v>14</v>
      </c>
      <c r="K40" s="70">
        <f t="shared" si="4"/>
        <v>275.61</v>
      </c>
      <c r="L40" s="70">
        <f t="shared" si="5"/>
        <v>195.97</v>
      </c>
      <c r="M40" s="70">
        <f t="shared" si="6"/>
        <v>79.640000000000015</v>
      </c>
      <c r="N40" s="70">
        <f t="shared" si="7"/>
        <v>48913.5</v>
      </c>
    </row>
    <row r="41" spans="1:14" ht="14.25" customHeight="1">
      <c r="A41" s="7">
        <v>15</v>
      </c>
      <c r="B41" s="70">
        <f t="shared" si="0"/>
        <v>275.61</v>
      </c>
      <c r="C41" s="70">
        <f t="shared" si="1"/>
        <v>195.65</v>
      </c>
      <c r="D41" s="70">
        <f t="shared" si="2"/>
        <v>79.960000000000008</v>
      </c>
      <c r="E41" s="70">
        <f t="shared" si="3"/>
        <v>48833.54</v>
      </c>
      <c r="J41" s="7">
        <v>15</v>
      </c>
      <c r="K41" s="70">
        <f t="shared" si="4"/>
        <v>275.61</v>
      </c>
      <c r="L41" s="70">
        <f t="shared" si="5"/>
        <v>195.65</v>
      </c>
      <c r="M41" s="70">
        <f t="shared" si="6"/>
        <v>79.960000000000008</v>
      </c>
      <c r="N41" s="70">
        <f t="shared" si="7"/>
        <v>48833.54</v>
      </c>
    </row>
    <row r="42" spans="1:14" ht="14.25" customHeight="1">
      <c r="A42" s="7">
        <v>16</v>
      </c>
      <c r="B42" s="70">
        <f t="shared" si="0"/>
        <v>275.61</v>
      </c>
      <c r="C42" s="70">
        <f t="shared" si="1"/>
        <v>195.33</v>
      </c>
      <c r="D42" s="70">
        <f t="shared" si="2"/>
        <v>80.28</v>
      </c>
      <c r="E42" s="70">
        <f t="shared" si="3"/>
        <v>48753.26</v>
      </c>
      <c r="J42" s="7">
        <v>16</v>
      </c>
      <c r="K42" s="70">
        <f t="shared" si="4"/>
        <v>275.61</v>
      </c>
      <c r="L42" s="70">
        <f t="shared" si="5"/>
        <v>195.33</v>
      </c>
      <c r="M42" s="70">
        <f t="shared" si="6"/>
        <v>80.28</v>
      </c>
      <c r="N42" s="70">
        <f t="shared" si="7"/>
        <v>48753.26</v>
      </c>
    </row>
    <row r="43" spans="1:14" ht="14.25" customHeight="1">
      <c r="A43" s="7">
        <v>17</v>
      </c>
      <c r="B43" s="70">
        <f t="shared" si="0"/>
        <v>275.61</v>
      </c>
      <c r="C43" s="70">
        <f t="shared" si="1"/>
        <v>195.01</v>
      </c>
      <c r="D43" s="70">
        <f t="shared" si="2"/>
        <v>80.600000000000023</v>
      </c>
      <c r="E43" s="70">
        <f t="shared" si="3"/>
        <v>48672.66</v>
      </c>
      <c r="J43" s="7">
        <v>17</v>
      </c>
      <c r="K43" s="70">
        <f t="shared" si="4"/>
        <v>275.61</v>
      </c>
      <c r="L43" s="70">
        <f t="shared" si="5"/>
        <v>195.01</v>
      </c>
      <c r="M43" s="70">
        <f t="shared" si="6"/>
        <v>80.600000000000023</v>
      </c>
      <c r="N43" s="70">
        <f t="shared" si="7"/>
        <v>48672.66</v>
      </c>
    </row>
    <row r="44" spans="1:14" ht="14.25" customHeight="1">
      <c r="A44" s="7">
        <v>18</v>
      </c>
      <c r="B44" s="70">
        <f t="shared" si="0"/>
        <v>275.61</v>
      </c>
      <c r="C44" s="70">
        <f t="shared" si="1"/>
        <v>194.69</v>
      </c>
      <c r="D44" s="70">
        <f t="shared" si="2"/>
        <v>80.920000000000016</v>
      </c>
      <c r="E44" s="70">
        <f t="shared" si="3"/>
        <v>48591.740000000005</v>
      </c>
      <c r="J44" s="7">
        <v>18</v>
      </c>
      <c r="K44" s="70">
        <f t="shared" si="4"/>
        <v>275.61</v>
      </c>
      <c r="L44" s="70">
        <f t="shared" si="5"/>
        <v>194.69</v>
      </c>
      <c r="M44" s="70">
        <f t="shared" si="6"/>
        <v>80.920000000000016</v>
      </c>
      <c r="N44" s="70">
        <f t="shared" si="7"/>
        <v>48591.740000000005</v>
      </c>
    </row>
    <row r="45" spans="1:14" ht="14.25" customHeight="1">
      <c r="A45" s="7">
        <v>19</v>
      </c>
      <c r="B45" s="70">
        <f t="shared" si="0"/>
        <v>275.61</v>
      </c>
      <c r="C45" s="70">
        <f t="shared" si="1"/>
        <v>194.37</v>
      </c>
      <c r="D45" s="70">
        <f t="shared" si="2"/>
        <v>81.240000000000009</v>
      </c>
      <c r="E45" s="70">
        <f t="shared" si="3"/>
        <v>48510.500000000007</v>
      </c>
      <c r="J45" s="7">
        <v>19</v>
      </c>
      <c r="K45" s="70">
        <f t="shared" si="4"/>
        <v>275.61</v>
      </c>
      <c r="L45" s="70">
        <f t="shared" si="5"/>
        <v>194.37</v>
      </c>
      <c r="M45" s="70">
        <f t="shared" si="6"/>
        <v>81.240000000000009</v>
      </c>
      <c r="N45" s="70">
        <f t="shared" si="7"/>
        <v>48510.500000000007</v>
      </c>
    </row>
    <row r="46" spans="1:14" ht="14.25" customHeight="1">
      <c r="A46" s="7">
        <v>20</v>
      </c>
      <c r="B46" s="70">
        <f t="shared" si="0"/>
        <v>275.61</v>
      </c>
      <c r="C46" s="70">
        <f t="shared" si="1"/>
        <v>194.04</v>
      </c>
      <c r="D46" s="70">
        <f t="shared" si="2"/>
        <v>81.570000000000022</v>
      </c>
      <c r="E46" s="70">
        <f t="shared" si="3"/>
        <v>48428.930000000008</v>
      </c>
      <c r="J46" s="7">
        <v>20</v>
      </c>
      <c r="K46" s="70">
        <f t="shared" si="4"/>
        <v>275.61</v>
      </c>
      <c r="L46" s="70">
        <f t="shared" si="5"/>
        <v>194.04</v>
      </c>
      <c r="M46" s="70">
        <f t="shared" si="6"/>
        <v>81.570000000000022</v>
      </c>
      <c r="N46" s="70">
        <f t="shared" si="7"/>
        <v>48428.930000000008</v>
      </c>
    </row>
    <row r="47" spans="1:14" ht="14.25" customHeight="1">
      <c r="A47" s="7">
        <v>21</v>
      </c>
      <c r="B47" s="70">
        <f t="shared" si="0"/>
        <v>275.61</v>
      </c>
      <c r="C47" s="70">
        <f t="shared" si="1"/>
        <v>193.72</v>
      </c>
      <c r="D47" s="70">
        <f t="shared" si="2"/>
        <v>81.890000000000015</v>
      </c>
      <c r="E47" s="70">
        <f t="shared" si="3"/>
        <v>48347.040000000008</v>
      </c>
      <c r="J47" s="7">
        <v>21</v>
      </c>
      <c r="K47" s="70">
        <f t="shared" si="4"/>
        <v>275.61</v>
      </c>
      <c r="L47" s="70">
        <f t="shared" si="5"/>
        <v>193.72</v>
      </c>
      <c r="M47" s="70">
        <f t="shared" si="6"/>
        <v>81.890000000000015</v>
      </c>
      <c r="N47" s="70">
        <f t="shared" si="7"/>
        <v>48347.040000000008</v>
      </c>
    </row>
    <row r="48" spans="1:14" ht="14.25" customHeight="1">
      <c r="A48" s="7">
        <v>22</v>
      </c>
      <c r="B48" s="70">
        <f t="shared" si="0"/>
        <v>275.61</v>
      </c>
      <c r="C48" s="70">
        <f t="shared" si="1"/>
        <v>193.39</v>
      </c>
      <c r="D48" s="70">
        <f t="shared" si="2"/>
        <v>82.220000000000027</v>
      </c>
      <c r="E48" s="70">
        <f t="shared" si="3"/>
        <v>48264.820000000007</v>
      </c>
      <c r="J48" s="7">
        <v>22</v>
      </c>
      <c r="K48" s="70">
        <f t="shared" si="4"/>
        <v>275.61</v>
      </c>
      <c r="L48" s="70">
        <f t="shared" si="5"/>
        <v>193.39</v>
      </c>
      <c r="M48" s="70">
        <f t="shared" si="6"/>
        <v>82.220000000000027</v>
      </c>
      <c r="N48" s="70">
        <f t="shared" si="7"/>
        <v>48264.820000000007</v>
      </c>
    </row>
    <row r="49" spans="1:14" ht="14.25" customHeight="1">
      <c r="A49" s="7">
        <v>23</v>
      </c>
      <c r="B49" s="70">
        <f t="shared" si="0"/>
        <v>275.61</v>
      </c>
      <c r="C49" s="70">
        <f t="shared" si="1"/>
        <v>193.06</v>
      </c>
      <c r="D49" s="70">
        <f t="shared" si="2"/>
        <v>82.550000000000011</v>
      </c>
      <c r="E49" s="70">
        <f t="shared" si="3"/>
        <v>48182.270000000004</v>
      </c>
      <c r="J49" s="7">
        <v>23</v>
      </c>
      <c r="K49" s="70">
        <f t="shared" si="4"/>
        <v>275.61</v>
      </c>
      <c r="L49" s="70">
        <f t="shared" si="5"/>
        <v>193.06</v>
      </c>
      <c r="M49" s="70">
        <f t="shared" si="6"/>
        <v>82.550000000000011</v>
      </c>
      <c r="N49" s="70">
        <f t="shared" si="7"/>
        <v>48182.270000000004</v>
      </c>
    </row>
    <row r="50" spans="1:14" ht="14.25" customHeight="1">
      <c r="A50" s="7">
        <v>24</v>
      </c>
      <c r="B50" s="70">
        <f t="shared" si="0"/>
        <v>275.61</v>
      </c>
      <c r="C50" s="70">
        <f t="shared" si="1"/>
        <v>192.73</v>
      </c>
      <c r="D50" s="70">
        <f t="shared" si="2"/>
        <v>82.880000000000024</v>
      </c>
      <c r="E50" s="70">
        <f t="shared" si="3"/>
        <v>48099.390000000007</v>
      </c>
      <c r="J50" s="7">
        <v>24</v>
      </c>
      <c r="K50" s="70">
        <f t="shared" si="4"/>
        <v>275.61</v>
      </c>
      <c r="L50" s="70">
        <f t="shared" si="5"/>
        <v>192.73</v>
      </c>
      <c r="M50" s="70">
        <f t="shared" si="6"/>
        <v>82.880000000000024</v>
      </c>
      <c r="N50" s="70">
        <f t="shared" si="7"/>
        <v>48099.390000000007</v>
      </c>
    </row>
    <row r="51" spans="1:14" ht="14.25" customHeight="1">
      <c r="A51" s="7">
        <v>25</v>
      </c>
      <c r="B51" s="70">
        <f t="shared" si="0"/>
        <v>275.61</v>
      </c>
      <c r="C51" s="70">
        <f t="shared" si="1"/>
        <v>192.4</v>
      </c>
      <c r="D51" s="70">
        <f t="shared" si="2"/>
        <v>83.210000000000008</v>
      </c>
      <c r="E51" s="70">
        <f t="shared" si="3"/>
        <v>48016.180000000008</v>
      </c>
      <c r="J51" s="7">
        <v>25</v>
      </c>
      <c r="K51" s="70">
        <f t="shared" si="4"/>
        <v>275.61</v>
      </c>
      <c r="L51" s="70">
        <f t="shared" si="5"/>
        <v>192.4</v>
      </c>
      <c r="M51" s="70">
        <f t="shared" si="6"/>
        <v>83.210000000000008</v>
      </c>
      <c r="N51" s="70">
        <f t="shared" si="7"/>
        <v>48016.180000000008</v>
      </c>
    </row>
    <row r="52" spans="1:14" ht="14.25" customHeight="1">
      <c r="A52" s="7">
        <v>26</v>
      </c>
      <c r="B52" s="70">
        <f t="shared" si="0"/>
        <v>275.61</v>
      </c>
      <c r="C52" s="70">
        <f t="shared" si="1"/>
        <v>192.06</v>
      </c>
      <c r="D52" s="70">
        <f t="shared" si="2"/>
        <v>83.550000000000011</v>
      </c>
      <c r="E52" s="70">
        <f t="shared" si="3"/>
        <v>47932.630000000005</v>
      </c>
      <c r="J52" s="7">
        <v>26</v>
      </c>
      <c r="K52" s="70">
        <f t="shared" si="4"/>
        <v>275.61</v>
      </c>
      <c r="L52" s="70">
        <f t="shared" si="5"/>
        <v>192.06</v>
      </c>
      <c r="M52" s="70">
        <f t="shared" si="6"/>
        <v>83.550000000000011</v>
      </c>
      <c r="N52" s="70">
        <f t="shared" si="7"/>
        <v>47932.630000000005</v>
      </c>
    </row>
    <row r="53" spans="1:14" ht="14.25" customHeight="1">
      <c r="A53" s="7">
        <v>27</v>
      </c>
      <c r="B53" s="70">
        <f t="shared" si="0"/>
        <v>275.61</v>
      </c>
      <c r="C53" s="70">
        <f t="shared" si="1"/>
        <v>191.73</v>
      </c>
      <c r="D53" s="70">
        <f t="shared" si="2"/>
        <v>83.880000000000024</v>
      </c>
      <c r="E53" s="70">
        <f t="shared" si="3"/>
        <v>47848.750000000007</v>
      </c>
      <c r="J53" s="7">
        <v>27</v>
      </c>
      <c r="K53" s="70">
        <f t="shared" si="4"/>
        <v>275.61</v>
      </c>
      <c r="L53" s="70">
        <f t="shared" si="5"/>
        <v>191.73</v>
      </c>
      <c r="M53" s="70">
        <f t="shared" si="6"/>
        <v>83.880000000000024</v>
      </c>
      <c r="N53" s="70">
        <f t="shared" si="7"/>
        <v>47848.750000000007</v>
      </c>
    </row>
    <row r="54" spans="1:14" ht="14.25" customHeight="1">
      <c r="A54" s="7">
        <v>28</v>
      </c>
      <c r="B54" s="70">
        <f t="shared" si="0"/>
        <v>275.61</v>
      </c>
      <c r="C54" s="70">
        <f t="shared" si="1"/>
        <v>191.4</v>
      </c>
      <c r="D54" s="70">
        <f t="shared" si="2"/>
        <v>84.210000000000008</v>
      </c>
      <c r="E54" s="70">
        <f t="shared" si="3"/>
        <v>47764.540000000008</v>
      </c>
      <c r="J54" s="7">
        <v>28</v>
      </c>
      <c r="K54" s="70">
        <f t="shared" si="4"/>
        <v>275.61</v>
      </c>
      <c r="L54" s="70">
        <f t="shared" si="5"/>
        <v>191.4</v>
      </c>
      <c r="M54" s="70">
        <f t="shared" si="6"/>
        <v>84.210000000000008</v>
      </c>
      <c r="N54" s="70">
        <f t="shared" si="7"/>
        <v>47764.540000000008</v>
      </c>
    </row>
    <row r="55" spans="1:14" ht="14.25" customHeight="1">
      <c r="A55" s="7">
        <v>29</v>
      </c>
      <c r="B55" s="70">
        <f t="shared" si="0"/>
        <v>275.61</v>
      </c>
      <c r="C55" s="70">
        <f t="shared" si="1"/>
        <v>191.06</v>
      </c>
      <c r="D55" s="70">
        <f t="shared" si="2"/>
        <v>84.550000000000011</v>
      </c>
      <c r="E55" s="70">
        <f t="shared" si="3"/>
        <v>47679.990000000005</v>
      </c>
      <c r="J55" s="7">
        <v>29</v>
      </c>
      <c r="K55" s="70">
        <f t="shared" si="4"/>
        <v>275.61</v>
      </c>
      <c r="L55" s="70">
        <f t="shared" si="5"/>
        <v>191.06</v>
      </c>
      <c r="M55" s="70">
        <f t="shared" si="6"/>
        <v>84.550000000000011</v>
      </c>
      <c r="N55" s="70">
        <f t="shared" si="7"/>
        <v>47679.990000000005</v>
      </c>
    </row>
    <row r="56" spans="1:14" ht="14.25" customHeight="1">
      <c r="A56" s="7">
        <v>30</v>
      </c>
      <c r="B56" s="70">
        <f t="shared" si="0"/>
        <v>275.61</v>
      </c>
      <c r="C56" s="70">
        <f t="shared" si="1"/>
        <v>190.72</v>
      </c>
      <c r="D56" s="70">
        <f t="shared" si="2"/>
        <v>84.890000000000015</v>
      </c>
      <c r="E56" s="70">
        <f t="shared" si="3"/>
        <v>47595.100000000006</v>
      </c>
      <c r="J56" s="7">
        <v>30</v>
      </c>
      <c r="K56" s="70">
        <f t="shared" si="4"/>
        <v>275.61</v>
      </c>
      <c r="L56" s="70">
        <f t="shared" si="5"/>
        <v>190.72</v>
      </c>
      <c r="M56" s="70">
        <f t="shared" si="6"/>
        <v>84.890000000000015</v>
      </c>
      <c r="N56" s="70">
        <f t="shared" si="7"/>
        <v>47595.100000000006</v>
      </c>
    </row>
    <row r="57" spans="1:14" ht="14.25" customHeight="1">
      <c r="A57" s="7">
        <v>31</v>
      </c>
      <c r="B57" s="70">
        <f t="shared" si="0"/>
        <v>275.61</v>
      </c>
      <c r="C57" s="70">
        <f t="shared" si="1"/>
        <v>190.38</v>
      </c>
      <c r="D57" s="70">
        <f t="shared" si="2"/>
        <v>85.230000000000018</v>
      </c>
      <c r="E57" s="70">
        <f t="shared" si="3"/>
        <v>47509.87</v>
      </c>
      <c r="J57" s="7">
        <v>31</v>
      </c>
      <c r="K57" s="70">
        <f t="shared" si="4"/>
        <v>275.61</v>
      </c>
      <c r="L57" s="70">
        <f t="shared" si="5"/>
        <v>190.38</v>
      </c>
      <c r="M57" s="70">
        <f t="shared" si="6"/>
        <v>85.230000000000018</v>
      </c>
      <c r="N57" s="70">
        <f t="shared" si="7"/>
        <v>47509.87</v>
      </c>
    </row>
    <row r="58" spans="1:14" ht="14.25" customHeight="1">
      <c r="A58" s="7">
        <v>32</v>
      </c>
      <c r="B58" s="70">
        <f t="shared" si="0"/>
        <v>275.61</v>
      </c>
      <c r="C58" s="70">
        <f t="shared" si="1"/>
        <v>190.04</v>
      </c>
      <c r="D58" s="70">
        <f t="shared" si="2"/>
        <v>85.570000000000022</v>
      </c>
      <c r="E58" s="70">
        <f t="shared" si="3"/>
        <v>47424.3</v>
      </c>
      <c r="J58" s="7">
        <v>32</v>
      </c>
      <c r="K58" s="70">
        <f t="shared" si="4"/>
        <v>275.61</v>
      </c>
      <c r="L58" s="70">
        <f t="shared" si="5"/>
        <v>190.04</v>
      </c>
      <c r="M58" s="70">
        <f t="shared" si="6"/>
        <v>85.570000000000022</v>
      </c>
      <c r="N58" s="70">
        <f t="shared" si="7"/>
        <v>47424.3</v>
      </c>
    </row>
    <row r="59" spans="1:14" ht="14.25" customHeight="1">
      <c r="A59" s="7">
        <v>33</v>
      </c>
      <c r="B59" s="70">
        <f t="shared" si="0"/>
        <v>275.61</v>
      </c>
      <c r="C59" s="70">
        <f t="shared" si="1"/>
        <v>189.7</v>
      </c>
      <c r="D59" s="70">
        <f t="shared" si="2"/>
        <v>85.910000000000025</v>
      </c>
      <c r="E59" s="70">
        <f t="shared" si="3"/>
        <v>47338.39</v>
      </c>
      <c r="J59" s="7">
        <v>33</v>
      </c>
      <c r="K59" s="70">
        <f t="shared" si="4"/>
        <v>275.61</v>
      </c>
      <c r="L59" s="70">
        <f t="shared" si="5"/>
        <v>189.7</v>
      </c>
      <c r="M59" s="70">
        <f t="shared" si="6"/>
        <v>85.910000000000025</v>
      </c>
      <c r="N59" s="70">
        <f t="shared" si="7"/>
        <v>47338.39</v>
      </c>
    </row>
    <row r="60" spans="1:14" ht="14.25" customHeight="1">
      <c r="A60" s="7">
        <v>34</v>
      </c>
      <c r="B60" s="70">
        <f t="shared" si="0"/>
        <v>275.61</v>
      </c>
      <c r="C60" s="70">
        <f t="shared" si="1"/>
        <v>189.35</v>
      </c>
      <c r="D60" s="70">
        <f t="shared" si="2"/>
        <v>86.260000000000019</v>
      </c>
      <c r="E60" s="70">
        <f t="shared" si="3"/>
        <v>47252.13</v>
      </c>
      <c r="J60" s="7">
        <v>34</v>
      </c>
      <c r="K60" s="70">
        <f t="shared" si="4"/>
        <v>275.61</v>
      </c>
      <c r="L60" s="70">
        <f t="shared" si="5"/>
        <v>189.35</v>
      </c>
      <c r="M60" s="70">
        <f t="shared" si="6"/>
        <v>86.260000000000019</v>
      </c>
      <c r="N60" s="70">
        <f t="shared" si="7"/>
        <v>47252.13</v>
      </c>
    </row>
    <row r="61" spans="1:14" ht="14.25" customHeight="1">
      <c r="A61" s="7">
        <v>35</v>
      </c>
      <c r="B61" s="70">
        <f t="shared" si="0"/>
        <v>275.61</v>
      </c>
      <c r="C61" s="70">
        <f t="shared" si="1"/>
        <v>189.01</v>
      </c>
      <c r="D61" s="70">
        <f t="shared" si="2"/>
        <v>86.600000000000023</v>
      </c>
      <c r="E61" s="70">
        <f t="shared" si="3"/>
        <v>47165.53</v>
      </c>
      <c r="J61" s="7">
        <v>35</v>
      </c>
      <c r="K61" s="70">
        <f t="shared" si="4"/>
        <v>275.61</v>
      </c>
      <c r="L61" s="70">
        <f t="shared" si="5"/>
        <v>189.01</v>
      </c>
      <c r="M61" s="70">
        <f t="shared" si="6"/>
        <v>86.600000000000023</v>
      </c>
      <c r="N61" s="70">
        <f t="shared" si="7"/>
        <v>47165.53</v>
      </c>
    </row>
    <row r="62" spans="1:14" ht="14.25" customHeight="1">
      <c r="A62" s="7">
        <v>36</v>
      </c>
      <c r="B62" s="70">
        <f t="shared" si="0"/>
        <v>275.61</v>
      </c>
      <c r="C62" s="70">
        <f t="shared" si="1"/>
        <v>188.66</v>
      </c>
      <c r="D62" s="70">
        <f t="shared" si="2"/>
        <v>86.950000000000017</v>
      </c>
      <c r="E62" s="70">
        <f t="shared" si="3"/>
        <v>47078.58</v>
      </c>
      <c r="J62" s="7">
        <v>36</v>
      </c>
      <c r="K62" s="70">
        <f t="shared" si="4"/>
        <v>275.61</v>
      </c>
      <c r="L62" s="70">
        <f t="shared" si="5"/>
        <v>188.66</v>
      </c>
      <c r="M62" s="70">
        <f t="shared" si="6"/>
        <v>86.950000000000017</v>
      </c>
      <c r="N62" s="70">
        <f t="shared" si="7"/>
        <v>47078.58</v>
      </c>
    </row>
    <row r="63" spans="1:14" ht="14.25" customHeight="1">
      <c r="A63" s="7">
        <v>37</v>
      </c>
      <c r="B63" s="70">
        <f t="shared" si="0"/>
        <v>275.61</v>
      </c>
      <c r="C63" s="70">
        <f t="shared" si="1"/>
        <v>188.31</v>
      </c>
      <c r="D63" s="70">
        <f t="shared" si="2"/>
        <v>87.300000000000011</v>
      </c>
      <c r="E63" s="70">
        <f t="shared" si="3"/>
        <v>46991.28</v>
      </c>
      <c r="J63" s="7">
        <v>37</v>
      </c>
      <c r="K63" s="70">
        <f t="shared" si="4"/>
        <v>275.61</v>
      </c>
      <c r="L63" s="70">
        <f t="shared" si="5"/>
        <v>188.31</v>
      </c>
      <c r="M63" s="70">
        <f t="shared" si="6"/>
        <v>87.300000000000011</v>
      </c>
      <c r="N63" s="70">
        <f t="shared" si="7"/>
        <v>46991.28</v>
      </c>
    </row>
    <row r="64" spans="1:14" ht="14.25" customHeight="1">
      <c r="A64" s="7">
        <v>38</v>
      </c>
      <c r="B64" s="70">
        <f t="shared" si="0"/>
        <v>275.61</v>
      </c>
      <c r="C64" s="70">
        <f t="shared" si="1"/>
        <v>187.97</v>
      </c>
      <c r="D64" s="70">
        <f t="shared" si="2"/>
        <v>87.640000000000015</v>
      </c>
      <c r="E64" s="70">
        <f t="shared" si="3"/>
        <v>46903.64</v>
      </c>
      <c r="J64" s="7">
        <v>38</v>
      </c>
      <c r="K64" s="70">
        <f t="shared" si="4"/>
        <v>275.61</v>
      </c>
      <c r="L64" s="70">
        <f t="shared" si="5"/>
        <v>187.97</v>
      </c>
      <c r="M64" s="70">
        <f t="shared" si="6"/>
        <v>87.640000000000015</v>
      </c>
      <c r="N64" s="70">
        <f t="shared" si="7"/>
        <v>46903.64</v>
      </c>
    </row>
    <row r="65" spans="1:18" ht="14.25" customHeight="1">
      <c r="A65" s="7">
        <v>39</v>
      </c>
      <c r="B65" s="70">
        <f t="shared" si="0"/>
        <v>275.61</v>
      </c>
      <c r="C65" s="70">
        <f t="shared" si="1"/>
        <v>187.61</v>
      </c>
      <c r="D65" s="70">
        <f t="shared" si="2"/>
        <v>88</v>
      </c>
      <c r="E65" s="70">
        <f t="shared" si="3"/>
        <v>46815.64</v>
      </c>
      <c r="J65" s="7">
        <v>39</v>
      </c>
      <c r="K65" s="70">
        <f t="shared" si="4"/>
        <v>275.61</v>
      </c>
      <c r="L65" s="70">
        <f t="shared" si="5"/>
        <v>187.61</v>
      </c>
      <c r="M65" s="70">
        <f t="shared" si="6"/>
        <v>88</v>
      </c>
      <c r="N65" s="70">
        <f t="shared" si="7"/>
        <v>46815.64</v>
      </c>
    </row>
    <row r="66" spans="1:18" ht="14.25" customHeight="1">
      <c r="A66" s="7">
        <v>40</v>
      </c>
      <c r="B66" s="70">
        <f t="shared" si="0"/>
        <v>275.61</v>
      </c>
      <c r="C66" s="70">
        <f t="shared" si="1"/>
        <v>187.26</v>
      </c>
      <c r="D66" s="70">
        <f t="shared" si="2"/>
        <v>88.350000000000023</v>
      </c>
      <c r="E66" s="70">
        <f t="shared" si="3"/>
        <v>46727.29</v>
      </c>
      <c r="J66" s="7">
        <v>40</v>
      </c>
      <c r="K66" s="70">
        <f t="shared" si="4"/>
        <v>275.61</v>
      </c>
      <c r="L66" s="70">
        <f t="shared" si="5"/>
        <v>187.26</v>
      </c>
      <c r="M66" s="70">
        <f t="shared" si="6"/>
        <v>88.350000000000023</v>
      </c>
      <c r="N66" s="70">
        <f t="shared" si="7"/>
        <v>46727.29</v>
      </c>
    </row>
    <row r="67" spans="1:18" ht="14.25" customHeight="1">
      <c r="A67" s="7">
        <v>41</v>
      </c>
      <c r="B67" s="70">
        <f t="shared" si="0"/>
        <v>275.61</v>
      </c>
      <c r="C67" s="70">
        <f t="shared" si="1"/>
        <v>186.91</v>
      </c>
      <c r="D67" s="70">
        <f t="shared" si="2"/>
        <v>88.700000000000017</v>
      </c>
      <c r="E67" s="70">
        <f t="shared" si="3"/>
        <v>46638.590000000004</v>
      </c>
      <c r="J67" s="7">
        <v>41</v>
      </c>
      <c r="K67" s="70">
        <f t="shared" si="4"/>
        <v>275.61</v>
      </c>
      <c r="L67" s="70">
        <f t="shared" si="5"/>
        <v>186.91</v>
      </c>
      <c r="M67" s="70">
        <f t="shared" si="6"/>
        <v>88.700000000000017</v>
      </c>
      <c r="N67" s="70">
        <f t="shared" si="7"/>
        <v>46638.590000000004</v>
      </c>
    </row>
    <row r="68" spans="1:18" ht="14.25" customHeight="1">
      <c r="A68" s="7">
        <v>42</v>
      </c>
      <c r="B68" s="70">
        <f t="shared" si="0"/>
        <v>275.61</v>
      </c>
      <c r="C68" s="70">
        <f t="shared" si="1"/>
        <v>186.55</v>
      </c>
      <c r="D68" s="70">
        <f t="shared" si="2"/>
        <v>89.06</v>
      </c>
      <c r="E68" s="70">
        <f t="shared" si="3"/>
        <v>46549.530000000006</v>
      </c>
      <c r="J68" s="7">
        <v>42</v>
      </c>
      <c r="K68" s="70">
        <f t="shared" si="4"/>
        <v>275.61</v>
      </c>
      <c r="L68" s="70">
        <f t="shared" si="5"/>
        <v>186.55</v>
      </c>
      <c r="M68" s="70">
        <f t="shared" si="6"/>
        <v>89.06</v>
      </c>
      <c r="N68" s="70">
        <f t="shared" si="7"/>
        <v>46549.530000000006</v>
      </c>
    </row>
    <row r="69" spans="1:18" ht="14.25" customHeight="1">
      <c r="A69" s="7">
        <v>43</v>
      </c>
      <c r="B69" s="70">
        <f t="shared" si="0"/>
        <v>275.61</v>
      </c>
      <c r="C69" s="70">
        <f t="shared" si="1"/>
        <v>186.2</v>
      </c>
      <c r="D69" s="70">
        <f t="shared" si="2"/>
        <v>89.410000000000025</v>
      </c>
      <c r="E69" s="70">
        <f t="shared" si="3"/>
        <v>46460.12</v>
      </c>
      <c r="J69" s="7">
        <v>43</v>
      </c>
      <c r="K69" s="70">
        <f t="shared" si="4"/>
        <v>275.61</v>
      </c>
      <c r="L69" s="70">
        <f t="shared" si="5"/>
        <v>186.2</v>
      </c>
      <c r="M69" s="70">
        <f t="shared" si="6"/>
        <v>89.410000000000025</v>
      </c>
      <c r="N69" s="70">
        <f t="shared" si="7"/>
        <v>46460.12</v>
      </c>
    </row>
    <row r="70" spans="1:18" ht="14.25" customHeight="1">
      <c r="A70" s="7">
        <v>44</v>
      </c>
      <c r="B70" s="70">
        <f t="shared" si="0"/>
        <v>275.61</v>
      </c>
      <c r="C70" s="70">
        <f t="shared" si="1"/>
        <v>185.84</v>
      </c>
      <c r="D70" s="70">
        <f t="shared" si="2"/>
        <v>89.77000000000001</v>
      </c>
      <c r="E70" s="70">
        <f t="shared" si="3"/>
        <v>46370.350000000006</v>
      </c>
      <c r="J70" s="7">
        <v>44</v>
      </c>
      <c r="K70" s="70">
        <f t="shared" si="4"/>
        <v>275.61</v>
      </c>
      <c r="L70" s="70">
        <f t="shared" si="5"/>
        <v>185.84</v>
      </c>
      <c r="M70" s="70">
        <f t="shared" si="6"/>
        <v>89.77000000000001</v>
      </c>
      <c r="N70" s="70">
        <f t="shared" si="7"/>
        <v>46370.350000000006</v>
      </c>
    </row>
    <row r="71" spans="1:18" ht="14.25" customHeight="1">
      <c r="A71" s="7">
        <v>45</v>
      </c>
      <c r="B71" s="70">
        <f t="shared" si="0"/>
        <v>275.61</v>
      </c>
      <c r="C71" s="70">
        <f t="shared" si="1"/>
        <v>185.48</v>
      </c>
      <c r="D71" s="70">
        <f t="shared" si="2"/>
        <v>90.130000000000024</v>
      </c>
      <c r="E71" s="70">
        <f t="shared" si="3"/>
        <v>46280.220000000008</v>
      </c>
      <c r="J71" s="7">
        <v>45</v>
      </c>
      <c r="K71" s="70">
        <f t="shared" si="4"/>
        <v>275.61</v>
      </c>
      <c r="L71" s="70">
        <f t="shared" si="5"/>
        <v>185.48</v>
      </c>
      <c r="M71" s="70">
        <f t="shared" si="6"/>
        <v>90.130000000000024</v>
      </c>
      <c r="N71" s="70">
        <f t="shared" si="7"/>
        <v>46280.220000000008</v>
      </c>
    </row>
    <row r="72" spans="1:18" ht="14.25" customHeight="1">
      <c r="A72" s="7">
        <v>46</v>
      </c>
      <c r="B72" s="70">
        <f t="shared" si="0"/>
        <v>275.61</v>
      </c>
      <c r="C72" s="70">
        <f t="shared" si="1"/>
        <v>185.12</v>
      </c>
      <c r="D72" s="70">
        <f t="shared" si="2"/>
        <v>90.490000000000009</v>
      </c>
      <c r="E72" s="70">
        <f t="shared" si="3"/>
        <v>46189.73000000001</v>
      </c>
      <c r="J72" s="7">
        <v>46</v>
      </c>
      <c r="K72" s="70">
        <f t="shared" si="4"/>
        <v>275.61</v>
      </c>
      <c r="L72" s="70">
        <f t="shared" si="5"/>
        <v>185.12</v>
      </c>
      <c r="M72" s="70">
        <f t="shared" si="6"/>
        <v>90.490000000000009</v>
      </c>
      <c r="N72" s="70">
        <f t="shared" si="7"/>
        <v>46189.73000000001</v>
      </c>
    </row>
    <row r="73" spans="1:18" ht="14.25" customHeight="1">
      <c r="A73" s="7">
        <v>47</v>
      </c>
      <c r="B73" s="70">
        <f t="shared" si="0"/>
        <v>275.61</v>
      </c>
      <c r="C73" s="70">
        <f t="shared" si="1"/>
        <v>184.76</v>
      </c>
      <c r="D73" s="70">
        <f t="shared" si="2"/>
        <v>90.850000000000023</v>
      </c>
      <c r="E73" s="70">
        <f t="shared" si="3"/>
        <v>46098.880000000012</v>
      </c>
      <c r="J73" s="7">
        <v>47</v>
      </c>
      <c r="K73" s="70">
        <f t="shared" si="4"/>
        <v>275.61</v>
      </c>
      <c r="L73" s="70">
        <f t="shared" si="5"/>
        <v>184.76</v>
      </c>
      <c r="M73" s="70">
        <f t="shared" si="6"/>
        <v>90.850000000000023</v>
      </c>
      <c r="N73" s="70">
        <f t="shared" si="7"/>
        <v>46098.880000000012</v>
      </c>
    </row>
    <row r="74" spans="1:18" ht="14.25" customHeight="1">
      <c r="A74" s="7">
        <v>48</v>
      </c>
      <c r="B74" s="70">
        <f t="shared" si="0"/>
        <v>275.61</v>
      </c>
      <c r="C74" s="70">
        <f t="shared" si="1"/>
        <v>184.4</v>
      </c>
      <c r="D74" s="70">
        <f t="shared" si="2"/>
        <v>91.210000000000008</v>
      </c>
      <c r="E74" s="70">
        <f t="shared" si="3"/>
        <v>46007.670000000013</v>
      </c>
      <c r="J74" s="7">
        <v>48</v>
      </c>
      <c r="K74" s="70">
        <f t="shared" si="4"/>
        <v>275.61</v>
      </c>
      <c r="L74" s="70">
        <f t="shared" si="5"/>
        <v>184.4</v>
      </c>
      <c r="M74" s="70">
        <f t="shared" si="6"/>
        <v>91.210000000000008</v>
      </c>
      <c r="N74" s="72">
        <f t="shared" si="7"/>
        <v>46007.670000000013</v>
      </c>
      <c r="P74" s="14" t="s">
        <v>89</v>
      </c>
      <c r="Q74" s="62">
        <f>N74</f>
        <v>46007.670000000013</v>
      </c>
      <c r="R74" s="24"/>
    </row>
    <row r="75" spans="1:18" ht="14.25" customHeight="1">
      <c r="A75" s="7">
        <v>49</v>
      </c>
      <c r="B75" s="70">
        <f t="shared" si="0"/>
        <v>275.61</v>
      </c>
      <c r="C75" s="70">
        <f t="shared" si="1"/>
        <v>184.03</v>
      </c>
      <c r="D75" s="70">
        <f t="shared" si="2"/>
        <v>91.580000000000013</v>
      </c>
      <c r="E75" s="70">
        <f t="shared" si="3"/>
        <v>45916.090000000011</v>
      </c>
      <c r="J75" s="7">
        <v>49</v>
      </c>
      <c r="K75" s="72">
        <f t="shared" ref="K75:K134" si="8">-$Q$84</f>
        <v>283.47000000000003</v>
      </c>
      <c r="L75" s="72">
        <f>ROUND(N74*$Q$80,2)</f>
        <v>195.53</v>
      </c>
      <c r="M75" s="72">
        <f t="shared" si="6"/>
        <v>87.940000000000026</v>
      </c>
      <c r="N75" s="72">
        <f t="shared" si="7"/>
        <v>45919.73000000001</v>
      </c>
      <c r="P75" s="14" t="s">
        <v>132</v>
      </c>
      <c r="Q75" s="73">
        <f>27-4</f>
        <v>23</v>
      </c>
      <c r="R75" s="24"/>
    </row>
    <row r="76" spans="1:18" ht="14.25" customHeight="1">
      <c r="A76" s="7">
        <v>50</v>
      </c>
      <c r="B76" s="70">
        <f t="shared" si="0"/>
        <v>275.61</v>
      </c>
      <c r="C76" s="70">
        <f t="shared" si="1"/>
        <v>183.66</v>
      </c>
      <c r="D76" s="70">
        <f t="shared" si="2"/>
        <v>91.950000000000017</v>
      </c>
      <c r="E76" s="70">
        <f t="shared" si="3"/>
        <v>45824.140000000014</v>
      </c>
      <c r="J76" s="7">
        <v>50</v>
      </c>
      <c r="K76" s="70">
        <f t="shared" si="8"/>
        <v>283.47000000000003</v>
      </c>
      <c r="L76" s="70">
        <f t="shared" ref="L76:L134" si="9">ROUND(N75*$Q$80,2)</f>
        <v>195.16</v>
      </c>
      <c r="M76" s="70">
        <f t="shared" si="6"/>
        <v>88.310000000000031</v>
      </c>
      <c r="N76" s="70">
        <f t="shared" si="7"/>
        <v>45831.420000000013</v>
      </c>
      <c r="P76" s="38" t="s">
        <v>90</v>
      </c>
      <c r="Q76" s="16">
        <f>4.8%+0.3%</f>
        <v>5.1000000000000004E-2</v>
      </c>
      <c r="R76" s="24"/>
    </row>
    <row r="77" spans="1:18" ht="14.25" customHeight="1">
      <c r="A77" s="7">
        <v>51</v>
      </c>
      <c r="B77" s="70">
        <f t="shared" si="0"/>
        <v>275.61</v>
      </c>
      <c r="C77" s="70">
        <f t="shared" si="1"/>
        <v>183.3</v>
      </c>
      <c r="D77" s="70">
        <f t="shared" si="2"/>
        <v>92.31</v>
      </c>
      <c r="E77" s="70">
        <f t="shared" si="3"/>
        <v>45731.830000000016</v>
      </c>
      <c r="J77" s="7">
        <v>51</v>
      </c>
      <c r="K77" s="70">
        <f t="shared" si="8"/>
        <v>283.47000000000003</v>
      </c>
      <c r="L77" s="70">
        <f t="shared" si="9"/>
        <v>194.78</v>
      </c>
      <c r="M77" s="70">
        <f t="shared" si="6"/>
        <v>88.690000000000026</v>
      </c>
      <c r="N77" s="70">
        <f t="shared" si="7"/>
        <v>45742.73000000001</v>
      </c>
      <c r="P77" s="14" t="s">
        <v>91</v>
      </c>
      <c r="Q77" s="67">
        <f>1+Q76</f>
        <v>1.0509999999999999</v>
      </c>
      <c r="R77" s="24"/>
    </row>
    <row r="78" spans="1:18" ht="14.25" customHeight="1">
      <c r="A78" s="7">
        <v>52</v>
      </c>
      <c r="B78" s="70">
        <f t="shared" si="0"/>
        <v>275.61</v>
      </c>
      <c r="C78" s="70">
        <f t="shared" si="1"/>
        <v>182.93</v>
      </c>
      <c r="D78" s="70">
        <f t="shared" si="2"/>
        <v>92.68</v>
      </c>
      <c r="E78" s="70">
        <f t="shared" si="3"/>
        <v>45639.150000000016</v>
      </c>
      <c r="J78" s="7">
        <v>52</v>
      </c>
      <c r="K78" s="70">
        <f t="shared" si="8"/>
        <v>283.47000000000003</v>
      </c>
      <c r="L78" s="70">
        <f t="shared" si="9"/>
        <v>194.41</v>
      </c>
      <c r="M78" s="70">
        <f t="shared" si="6"/>
        <v>89.060000000000031</v>
      </c>
      <c r="N78" s="70">
        <f t="shared" si="7"/>
        <v>45653.670000000013</v>
      </c>
      <c r="P78" s="14" t="s">
        <v>133</v>
      </c>
      <c r="Q78" s="24">
        <v>12</v>
      </c>
      <c r="R78" s="24"/>
    </row>
    <row r="79" spans="1:18" ht="14.25" customHeight="1">
      <c r="A79" s="7">
        <v>53</v>
      </c>
      <c r="B79" s="70">
        <f t="shared" si="0"/>
        <v>275.61</v>
      </c>
      <c r="C79" s="70">
        <f t="shared" si="1"/>
        <v>182.56</v>
      </c>
      <c r="D79" s="70">
        <f t="shared" si="2"/>
        <v>93.050000000000011</v>
      </c>
      <c r="E79" s="70">
        <f t="shared" si="3"/>
        <v>45546.100000000013</v>
      </c>
      <c r="J79" s="7">
        <v>53</v>
      </c>
      <c r="K79" s="70">
        <f t="shared" si="8"/>
        <v>283.47000000000003</v>
      </c>
      <c r="L79" s="70">
        <f t="shared" si="9"/>
        <v>194.03</v>
      </c>
      <c r="M79" s="70">
        <f t="shared" si="6"/>
        <v>89.440000000000026</v>
      </c>
      <c r="N79" s="70">
        <f t="shared" si="7"/>
        <v>45564.23000000001</v>
      </c>
      <c r="P79" s="204" t="s">
        <v>134</v>
      </c>
      <c r="Q79" s="188"/>
      <c r="R79" s="24"/>
    </row>
    <row r="80" spans="1:18" ht="14.25" customHeight="1">
      <c r="A80" s="7">
        <v>54</v>
      </c>
      <c r="B80" s="70">
        <f t="shared" si="0"/>
        <v>275.61</v>
      </c>
      <c r="C80" s="70">
        <f t="shared" si="1"/>
        <v>182.18</v>
      </c>
      <c r="D80" s="70">
        <f t="shared" si="2"/>
        <v>93.43</v>
      </c>
      <c r="E80" s="70">
        <f t="shared" si="3"/>
        <v>45452.670000000013</v>
      </c>
      <c r="J80" s="7">
        <v>54</v>
      </c>
      <c r="K80" s="70">
        <f t="shared" si="8"/>
        <v>283.47000000000003</v>
      </c>
      <c r="L80" s="70">
        <f t="shared" si="9"/>
        <v>193.65</v>
      </c>
      <c r="M80" s="70">
        <f t="shared" si="6"/>
        <v>89.820000000000022</v>
      </c>
      <c r="N80" s="70">
        <f t="shared" si="7"/>
        <v>45474.410000000011</v>
      </c>
      <c r="P80" s="14" t="s">
        <v>135</v>
      </c>
      <c r="Q80" s="68">
        <f>Q76/Q78</f>
        <v>4.2500000000000003E-3</v>
      </c>
      <c r="R80" s="24"/>
    </row>
    <row r="81" spans="1:18" ht="14.25" customHeight="1">
      <c r="A81" s="7">
        <v>55</v>
      </c>
      <c r="B81" s="70">
        <f t="shared" si="0"/>
        <v>275.61</v>
      </c>
      <c r="C81" s="70">
        <f t="shared" si="1"/>
        <v>181.81</v>
      </c>
      <c r="D81" s="70">
        <f t="shared" si="2"/>
        <v>93.800000000000011</v>
      </c>
      <c r="E81" s="70">
        <f t="shared" si="3"/>
        <v>45358.87000000001</v>
      </c>
      <c r="J81" s="7">
        <v>55</v>
      </c>
      <c r="K81" s="70">
        <f t="shared" si="8"/>
        <v>283.47000000000003</v>
      </c>
      <c r="L81" s="70">
        <f t="shared" si="9"/>
        <v>193.27</v>
      </c>
      <c r="M81" s="70">
        <f t="shared" si="6"/>
        <v>90.200000000000017</v>
      </c>
      <c r="N81" s="70">
        <f t="shared" si="7"/>
        <v>45384.210000000014</v>
      </c>
      <c r="P81" s="14" t="s">
        <v>136</v>
      </c>
      <c r="Q81" s="68">
        <f>1+Q80</f>
        <v>1.0042500000000001</v>
      </c>
      <c r="R81" s="24"/>
    </row>
    <row r="82" spans="1:18" ht="14.25" customHeight="1">
      <c r="A82" s="7">
        <v>56</v>
      </c>
      <c r="B82" s="70">
        <f t="shared" si="0"/>
        <v>275.61</v>
      </c>
      <c r="C82" s="70">
        <f t="shared" si="1"/>
        <v>181.44</v>
      </c>
      <c r="D82" s="70">
        <f t="shared" si="2"/>
        <v>94.170000000000016</v>
      </c>
      <c r="E82" s="70">
        <f t="shared" si="3"/>
        <v>45264.700000000012</v>
      </c>
      <c r="J82" s="7">
        <v>56</v>
      </c>
      <c r="K82" s="70">
        <f t="shared" si="8"/>
        <v>283.47000000000003</v>
      </c>
      <c r="L82" s="70">
        <f t="shared" si="9"/>
        <v>192.88</v>
      </c>
      <c r="M82" s="70">
        <f t="shared" si="6"/>
        <v>90.590000000000032</v>
      </c>
      <c r="N82" s="70">
        <f t="shared" si="7"/>
        <v>45293.620000000017</v>
      </c>
      <c r="P82" s="14" t="s">
        <v>137</v>
      </c>
      <c r="Q82" s="3">
        <f>Q75*Q78</f>
        <v>276</v>
      </c>
      <c r="R82" s="24"/>
    </row>
    <row r="83" spans="1:18" ht="14.25" customHeight="1">
      <c r="A83" s="7">
        <v>57</v>
      </c>
      <c r="B83" s="70">
        <f t="shared" si="0"/>
        <v>275.61</v>
      </c>
      <c r="C83" s="70">
        <f t="shared" si="1"/>
        <v>181.06</v>
      </c>
      <c r="D83" s="70">
        <f t="shared" si="2"/>
        <v>94.550000000000011</v>
      </c>
      <c r="E83" s="70">
        <f t="shared" si="3"/>
        <v>45170.150000000009</v>
      </c>
      <c r="J83" s="7">
        <v>57</v>
      </c>
      <c r="K83" s="70">
        <f t="shared" si="8"/>
        <v>283.47000000000003</v>
      </c>
      <c r="L83" s="70">
        <f t="shared" si="9"/>
        <v>192.5</v>
      </c>
      <c r="M83" s="70">
        <f t="shared" si="6"/>
        <v>90.970000000000027</v>
      </c>
      <c r="N83" s="70">
        <f t="shared" si="7"/>
        <v>45202.650000000016</v>
      </c>
      <c r="P83" s="14"/>
      <c r="R83" s="24"/>
    </row>
    <row r="84" spans="1:18" ht="14.25" customHeight="1">
      <c r="A84" s="7">
        <v>58</v>
      </c>
      <c r="B84" s="70">
        <f t="shared" si="0"/>
        <v>275.61</v>
      </c>
      <c r="C84" s="70">
        <f t="shared" si="1"/>
        <v>180.68</v>
      </c>
      <c r="D84" s="70">
        <f t="shared" si="2"/>
        <v>94.93</v>
      </c>
      <c r="E84" s="70">
        <f t="shared" si="3"/>
        <v>45075.220000000008</v>
      </c>
      <c r="J84" s="7">
        <v>58</v>
      </c>
      <c r="K84" s="70">
        <f t="shared" si="8"/>
        <v>283.47000000000003</v>
      </c>
      <c r="L84" s="70">
        <f t="shared" si="9"/>
        <v>192.11</v>
      </c>
      <c r="M84" s="70">
        <f t="shared" si="6"/>
        <v>91.360000000000014</v>
      </c>
      <c r="N84" s="70">
        <f t="shared" si="7"/>
        <v>45111.290000000015</v>
      </c>
      <c r="P84" s="14" t="s">
        <v>138</v>
      </c>
      <c r="Q84" s="48">
        <f>ROUND(PMT(Q80,Q82,Q74,0,0),2)</f>
        <v>-283.47000000000003</v>
      </c>
      <c r="R84" s="24" t="s">
        <v>30</v>
      </c>
    </row>
    <row r="85" spans="1:18" ht="14.25" customHeight="1">
      <c r="A85" s="7">
        <v>59</v>
      </c>
      <c r="B85" s="70">
        <f t="shared" si="0"/>
        <v>275.61</v>
      </c>
      <c r="C85" s="70">
        <f t="shared" si="1"/>
        <v>180.3</v>
      </c>
      <c r="D85" s="70">
        <f t="shared" si="2"/>
        <v>95.31</v>
      </c>
      <c r="E85" s="70">
        <f t="shared" si="3"/>
        <v>44979.910000000011</v>
      </c>
      <c r="J85" s="7">
        <v>59</v>
      </c>
      <c r="K85" s="70">
        <f t="shared" si="8"/>
        <v>283.47000000000003</v>
      </c>
      <c r="L85" s="70">
        <f t="shared" si="9"/>
        <v>191.72</v>
      </c>
      <c r="M85" s="70">
        <f t="shared" si="6"/>
        <v>91.750000000000028</v>
      </c>
      <c r="N85" s="70">
        <f t="shared" si="7"/>
        <v>45019.540000000015</v>
      </c>
    </row>
    <row r="86" spans="1:18" ht="14.25" customHeight="1">
      <c r="A86" s="7">
        <v>60</v>
      </c>
      <c r="B86" s="70">
        <f t="shared" si="0"/>
        <v>275.61</v>
      </c>
      <c r="C86" s="70">
        <f t="shared" si="1"/>
        <v>179.92</v>
      </c>
      <c r="D86" s="70">
        <f t="shared" si="2"/>
        <v>95.690000000000026</v>
      </c>
      <c r="E86" s="70">
        <f t="shared" si="3"/>
        <v>44884.220000000008</v>
      </c>
      <c r="J86" s="7">
        <v>60</v>
      </c>
      <c r="K86" s="70">
        <f t="shared" si="8"/>
        <v>283.47000000000003</v>
      </c>
      <c r="L86" s="70">
        <f t="shared" si="9"/>
        <v>191.33</v>
      </c>
      <c r="M86" s="70">
        <f t="shared" si="6"/>
        <v>92.140000000000015</v>
      </c>
      <c r="N86" s="70">
        <f t="shared" si="7"/>
        <v>44927.400000000016</v>
      </c>
    </row>
    <row r="87" spans="1:18" ht="14.25" customHeight="1">
      <c r="A87" s="7">
        <v>61</v>
      </c>
      <c r="B87" s="70">
        <f t="shared" si="0"/>
        <v>275.61</v>
      </c>
      <c r="C87" s="70">
        <f t="shared" si="1"/>
        <v>179.54</v>
      </c>
      <c r="D87" s="70">
        <f t="shared" si="2"/>
        <v>96.070000000000022</v>
      </c>
      <c r="E87" s="70">
        <f t="shared" si="3"/>
        <v>44788.150000000009</v>
      </c>
      <c r="J87" s="7">
        <v>61</v>
      </c>
      <c r="K87" s="70">
        <f t="shared" si="8"/>
        <v>283.47000000000003</v>
      </c>
      <c r="L87" s="70">
        <f t="shared" si="9"/>
        <v>190.94</v>
      </c>
      <c r="M87" s="70">
        <f t="shared" si="6"/>
        <v>92.53000000000003</v>
      </c>
      <c r="N87" s="70">
        <f t="shared" si="7"/>
        <v>44834.870000000017</v>
      </c>
    </row>
    <row r="88" spans="1:18" ht="14.25" customHeight="1">
      <c r="A88" s="7">
        <v>62</v>
      </c>
      <c r="B88" s="70">
        <f t="shared" si="0"/>
        <v>275.61</v>
      </c>
      <c r="C88" s="70">
        <f t="shared" si="1"/>
        <v>179.15</v>
      </c>
      <c r="D88" s="70">
        <f t="shared" si="2"/>
        <v>96.460000000000008</v>
      </c>
      <c r="E88" s="70">
        <f t="shared" si="3"/>
        <v>44691.69000000001</v>
      </c>
      <c r="J88" s="7">
        <v>62</v>
      </c>
      <c r="K88" s="70">
        <f t="shared" si="8"/>
        <v>283.47000000000003</v>
      </c>
      <c r="L88" s="70">
        <f t="shared" si="9"/>
        <v>190.55</v>
      </c>
      <c r="M88" s="70">
        <f t="shared" si="6"/>
        <v>92.920000000000016</v>
      </c>
      <c r="N88" s="70">
        <f t="shared" si="7"/>
        <v>44741.950000000019</v>
      </c>
    </row>
    <row r="89" spans="1:18" ht="14.25" customHeight="1">
      <c r="A89" s="7">
        <v>63</v>
      </c>
      <c r="B89" s="70">
        <f t="shared" si="0"/>
        <v>275.61</v>
      </c>
      <c r="C89" s="70">
        <f t="shared" si="1"/>
        <v>178.77</v>
      </c>
      <c r="D89" s="70">
        <f t="shared" si="2"/>
        <v>96.84</v>
      </c>
      <c r="E89" s="70">
        <f t="shared" si="3"/>
        <v>44594.850000000013</v>
      </c>
      <c r="J89" s="7">
        <v>63</v>
      </c>
      <c r="K89" s="70">
        <f t="shared" si="8"/>
        <v>283.47000000000003</v>
      </c>
      <c r="L89" s="70">
        <f t="shared" si="9"/>
        <v>190.15</v>
      </c>
      <c r="M89" s="70">
        <f t="shared" si="6"/>
        <v>93.320000000000022</v>
      </c>
      <c r="N89" s="70">
        <f t="shared" si="7"/>
        <v>44648.630000000019</v>
      </c>
    </row>
    <row r="90" spans="1:18" ht="14.25" customHeight="1">
      <c r="A90" s="7">
        <v>64</v>
      </c>
      <c r="B90" s="70">
        <f t="shared" si="0"/>
        <v>275.61</v>
      </c>
      <c r="C90" s="70">
        <f t="shared" si="1"/>
        <v>178.38</v>
      </c>
      <c r="D90" s="70">
        <f t="shared" si="2"/>
        <v>97.230000000000018</v>
      </c>
      <c r="E90" s="70">
        <f t="shared" si="3"/>
        <v>44497.62000000001</v>
      </c>
      <c r="J90" s="7">
        <v>64</v>
      </c>
      <c r="K90" s="70">
        <f t="shared" si="8"/>
        <v>283.47000000000003</v>
      </c>
      <c r="L90" s="70">
        <f t="shared" si="9"/>
        <v>189.76</v>
      </c>
      <c r="M90" s="70">
        <f t="shared" si="6"/>
        <v>93.710000000000036</v>
      </c>
      <c r="N90" s="70">
        <f t="shared" si="7"/>
        <v>44554.92000000002</v>
      </c>
    </row>
    <row r="91" spans="1:18" ht="14.25" customHeight="1">
      <c r="A91" s="7">
        <v>65</v>
      </c>
      <c r="B91" s="70">
        <f t="shared" si="0"/>
        <v>275.61</v>
      </c>
      <c r="C91" s="70">
        <f t="shared" si="1"/>
        <v>177.99</v>
      </c>
      <c r="D91" s="70">
        <f t="shared" si="2"/>
        <v>97.62</v>
      </c>
      <c r="E91" s="70">
        <f t="shared" si="3"/>
        <v>44400.000000000007</v>
      </c>
      <c r="J91" s="7">
        <v>65</v>
      </c>
      <c r="K91" s="70">
        <f t="shared" si="8"/>
        <v>283.47000000000003</v>
      </c>
      <c r="L91" s="70">
        <f t="shared" si="9"/>
        <v>189.36</v>
      </c>
      <c r="M91" s="70">
        <f t="shared" si="6"/>
        <v>94.110000000000014</v>
      </c>
      <c r="N91" s="70">
        <f t="shared" si="7"/>
        <v>44460.810000000019</v>
      </c>
    </row>
    <row r="92" spans="1:18" ht="14.25" customHeight="1">
      <c r="A92" s="7">
        <v>66</v>
      </c>
      <c r="B92" s="70">
        <f t="shared" si="0"/>
        <v>275.61</v>
      </c>
      <c r="C92" s="70">
        <f t="shared" si="1"/>
        <v>177.6</v>
      </c>
      <c r="D92" s="70">
        <f t="shared" si="2"/>
        <v>98.010000000000019</v>
      </c>
      <c r="E92" s="70">
        <f t="shared" si="3"/>
        <v>44301.990000000005</v>
      </c>
      <c r="J92" s="7">
        <v>66</v>
      </c>
      <c r="K92" s="70">
        <f t="shared" si="8"/>
        <v>283.47000000000003</v>
      </c>
      <c r="L92" s="70">
        <f t="shared" si="9"/>
        <v>188.96</v>
      </c>
      <c r="M92" s="70">
        <f t="shared" si="6"/>
        <v>94.510000000000019</v>
      </c>
      <c r="N92" s="70">
        <f t="shared" si="7"/>
        <v>44366.300000000017</v>
      </c>
    </row>
    <row r="93" spans="1:18" ht="14.25" customHeight="1">
      <c r="A93" s="7">
        <v>67</v>
      </c>
      <c r="B93" s="70">
        <f t="shared" si="0"/>
        <v>275.61</v>
      </c>
      <c r="C93" s="70">
        <f t="shared" si="1"/>
        <v>177.21</v>
      </c>
      <c r="D93" s="70">
        <f t="shared" si="2"/>
        <v>98.4</v>
      </c>
      <c r="E93" s="70">
        <f t="shared" si="3"/>
        <v>44203.590000000004</v>
      </c>
      <c r="J93" s="7">
        <v>67</v>
      </c>
      <c r="K93" s="70">
        <f t="shared" si="8"/>
        <v>283.47000000000003</v>
      </c>
      <c r="L93" s="70">
        <f t="shared" si="9"/>
        <v>188.56</v>
      </c>
      <c r="M93" s="70">
        <f t="shared" si="6"/>
        <v>94.910000000000025</v>
      </c>
      <c r="N93" s="70">
        <f t="shared" si="7"/>
        <v>44271.390000000014</v>
      </c>
    </row>
    <row r="94" spans="1:18" ht="14.25" customHeight="1">
      <c r="A94" s="7">
        <v>68</v>
      </c>
      <c r="B94" s="70">
        <f t="shared" si="0"/>
        <v>275.61</v>
      </c>
      <c r="C94" s="70">
        <f t="shared" si="1"/>
        <v>176.81</v>
      </c>
      <c r="D94" s="70">
        <f t="shared" si="2"/>
        <v>98.800000000000011</v>
      </c>
      <c r="E94" s="70">
        <f t="shared" si="3"/>
        <v>44104.79</v>
      </c>
      <c r="J94" s="7">
        <v>68</v>
      </c>
      <c r="K94" s="70">
        <f t="shared" si="8"/>
        <v>283.47000000000003</v>
      </c>
      <c r="L94" s="70">
        <f t="shared" si="9"/>
        <v>188.15</v>
      </c>
      <c r="M94" s="70">
        <f t="shared" si="6"/>
        <v>95.320000000000022</v>
      </c>
      <c r="N94" s="70">
        <f t="shared" si="7"/>
        <v>44176.070000000014</v>
      </c>
    </row>
    <row r="95" spans="1:18" ht="14.25" customHeight="1">
      <c r="A95" s="7">
        <v>69</v>
      </c>
      <c r="B95" s="70">
        <f t="shared" si="0"/>
        <v>275.61</v>
      </c>
      <c r="C95" s="70">
        <f t="shared" si="1"/>
        <v>176.42</v>
      </c>
      <c r="D95" s="70">
        <f t="shared" si="2"/>
        <v>99.190000000000026</v>
      </c>
      <c r="E95" s="70">
        <f t="shared" si="3"/>
        <v>44005.599999999999</v>
      </c>
      <c r="J95" s="7">
        <v>69</v>
      </c>
      <c r="K95" s="70">
        <f t="shared" si="8"/>
        <v>283.47000000000003</v>
      </c>
      <c r="L95" s="70">
        <f t="shared" si="9"/>
        <v>187.75</v>
      </c>
      <c r="M95" s="70">
        <f t="shared" si="6"/>
        <v>95.720000000000027</v>
      </c>
      <c r="N95" s="70">
        <f t="shared" si="7"/>
        <v>44080.350000000013</v>
      </c>
    </row>
    <row r="96" spans="1:18" ht="14.25" customHeight="1">
      <c r="A96" s="7">
        <v>70</v>
      </c>
      <c r="B96" s="70">
        <f t="shared" si="0"/>
        <v>275.61</v>
      </c>
      <c r="C96" s="70">
        <f t="shared" si="1"/>
        <v>176.02</v>
      </c>
      <c r="D96" s="70">
        <f t="shared" si="2"/>
        <v>99.59</v>
      </c>
      <c r="E96" s="70">
        <f t="shared" si="3"/>
        <v>43906.01</v>
      </c>
      <c r="J96" s="7">
        <v>70</v>
      </c>
      <c r="K96" s="70">
        <f t="shared" si="8"/>
        <v>283.47000000000003</v>
      </c>
      <c r="L96" s="70">
        <f t="shared" si="9"/>
        <v>187.34</v>
      </c>
      <c r="M96" s="70">
        <f t="shared" si="6"/>
        <v>96.130000000000024</v>
      </c>
      <c r="N96" s="70">
        <f t="shared" si="7"/>
        <v>43984.220000000016</v>
      </c>
    </row>
    <row r="97" spans="1:14" ht="14.25" customHeight="1">
      <c r="A97" s="7">
        <v>71</v>
      </c>
      <c r="B97" s="70">
        <f t="shared" si="0"/>
        <v>275.61</v>
      </c>
      <c r="C97" s="70">
        <f t="shared" si="1"/>
        <v>175.62</v>
      </c>
      <c r="D97" s="70">
        <f t="shared" si="2"/>
        <v>99.990000000000009</v>
      </c>
      <c r="E97" s="70">
        <f t="shared" si="3"/>
        <v>43806.020000000004</v>
      </c>
      <c r="J97" s="7">
        <v>71</v>
      </c>
      <c r="K97" s="70">
        <f t="shared" si="8"/>
        <v>283.47000000000003</v>
      </c>
      <c r="L97" s="70">
        <f t="shared" si="9"/>
        <v>186.93</v>
      </c>
      <c r="M97" s="70">
        <f t="shared" si="6"/>
        <v>96.54000000000002</v>
      </c>
      <c r="N97" s="70">
        <f t="shared" si="7"/>
        <v>43887.680000000015</v>
      </c>
    </row>
    <row r="98" spans="1:14" ht="14.25" customHeight="1">
      <c r="A98" s="7">
        <v>72</v>
      </c>
      <c r="B98" s="70">
        <f t="shared" si="0"/>
        <v>275.61</v>
      </c>
      <c r="C98" s="70">
        <f t="shared" si="1"/>
        <v>175.22</v>
      </c>
      <c r="D98" s="70">
        <f t="shared" si="2"/>
        <v>100.39000000000001</v>
      </c>
      <c r="E98" s="70">
        <f t="shared" si="3"/>
        <v>43705.630000000005</v>
      </c>
      <c r="J98" s="7">
        <v>72</v>
      </c>
      <c r="K98" s="70">
        <f t="shared" si="8"/>
        <v>283.47000000000003</v>
      </c>
      <c r="L98" s="70">
        <f t="shared" si="9"/>
        <v>186.52</v>
      </c>
      <c r="M98" s="70">
        <f t="shared" si="6"/>
        <v>96.950000000000017</v>
      </c>
      <c r="N98" s="70">
        <f t="shared" si="7"/>
        <v>43790.730000000018</v>
      </c>
    </row>
    <row r="99" spans="1:14" ht="14.25" customHeight="1">
      <c r="A99" s="7">
        <v>73</v>
      </c>
      <c r="B99" s="70">
        <f t="shared" si="0"/>
        <v>275.61</v>
      </c>
      <c r="C99" s="70">
        <f t="shared" si="1"/>
        <v>174.82</v>
      </c>
      <c r="D99" s="70">
        <f t="shared" si="2"/>
        <v>100.79000000000002</v>
      </c>
      <c r="E99" s="70">
        <f t="shared" si="3"/>
        <v>43604.840000000004</v>
      </c>
      <c r="J99" s="7">
        <v>73</v>
      </c>
      <c r="K99" s="70">
        <f t="shared" si="8"/>
        <v>283.47000000000003</v>
      </c>
      <c r="L99" s="70">
        <f t="shared" si="9"/>
        <v>186.11</v>
      </c>
      <c r="M99" s="70">
        <f t="shared" si="6"/>
        <v>97.360000000000014</v>
      </c>
      <c r="N99" s="70">
        <f t="shared" si="7"/>
        <v>43693.370000000017</v>
      </c>
    </row>
    <row r="100" spans="1:14" ht="14.25" customHeight="1">
      <c r="A100" s="7">
        <v>74</v>
      </c>
      <c r="B100" s="70">
        <f t="shared" si="0"/>
        <v>275.61</v>
      </c>
      <c r="C100" s="70">
        <f t="shared" si="1"/>
        <v>174.42</v>
      </c>
      <c r="D100" s="70">
        <f t="shared" si="2"/>
        <v>101.19000000000003</v>
      </c>
      <c r="E100" s="70">
        <f t="shared" si="3"/>
        <v>43503.65</v>
      </c>
      <c r="J100" s="7">
        <v>74</v>
      </c>
      <c r="K100" s="70">
        <f t="shared" si="8"/>
        <v>283.47000000000003</v>
      </c>
      <c r="L100" s="70">
        <f t="shared" si="9"/>
        <v>185.7</v>
      </c>
      <c r="M100" s="70">
        <f t="shared" si="6"/>
        <v>97.770000000000039</v>
      </c>
      <c r="N100" s="70">
        <f t="shared" si="7"/>
        <v>43595.60000000002</v>
      </c>
    </row>
    <row r="101" spans="1:14" ht="14.25" customHeight="1">
      <c r="A101" s="7">
        <v>75</v>
      </c>
      <c r="B101" s="70">
        <f t="shared" si="0"/>
        <v>275.61</v>
      </c>
      <c r="C101" s="70">
        <f t="shared" si="1"/>
        <v>174.01</v>
      </c>
      <c r="D101" s="70">
        <f t="shared" si="2"/>
        <v>101.60000000000002</v>
      </c>
      <c r="E101" s="70">
        <f t="shared" si="3"/>
        <v>43402.05</v>
      </c>
      <c r="J101" s="7">
        <v>75</v>
      </c>
      <c r="K101" s="70">
        <f t="shared" si="8"/>
        <v>283.47000000000003</v>
      </c>
      <c r="L101" s="70">
        <f t="shared" si="9"/>
        <v>185.28</v>
      </c>
      <c r="M101" s="70">
        <f t="shared" si="6"/>
        <v>98.190000000000026</v>
      </c>
      <c r="N101" s="70">
        <f t="shared" si="7"/>
        <v>43497.410000000018</v>
      </c>
    </row>
    <row r="102" spans="1:14" ht="14.25" customHeight="1">
      <c r="A102" s="7">
        <v>76</v>
      </c>
      <c r="B102" s="70">
        <f t="shared" si="0"/>
        <v>275.61</v>
      </c>
      <c r="C102" s="70">
        <f t="shared" si="1"/>
        <v>173.61</v>
      </c>
      <c r="D102" s="70">
        <f t="shared" si="2"/>
        <v>102</v>
      </c>
      <c r="E102" s="70">
        <f t="shared" si="3"/>
        <v>43300.05</v>
      </c>
      <c r="J102" s="7">
        <v>76</v>
      </c>
      <c r="K102" s="70">
        <f t="shared" si="8"/>
        <v>283.47000000000003</v>
      </c>
      <c r="L102" s="70">
        <f t="shared" si="9"/>
        <v>184.86</v>
      </c>
      <c r="M102" s="70">
        <f t="shared" si="6"/>
        <v>98.610000000000014</v>
      </c>
      <c r="N102" s="70">
        <f t="shared" si="7"/>
        <v>43398.800000000017</v>
      </c>
    </row>
    <row r="103" spans="1:14" ht="14.25" customHeight="1">
      <c r="A103" s="7">
        <v>77</v>
      </c>
      <c r="B103" s="70">
        <f t="shared" si="0"/>
        <v>275.61</v>
      </c>
      <c r="C103" s="70">
        <f t="shared" si="1"/>
        <v>173.2</v>
      </c>
      <c r="D103" s="70">
        <f t="shared" si="2"/>
        <v>102.41000000000003</v>
      </c>
      <c r="E103" s="70">
        <f t="shared" si="3"/>
        <v>43197.64</v>
      </c>
      <c r="J103" s="7">
        <v>77</v>
      </c>
      <c r="K103" s="70">
        <f t="shared" si="8"/>
        <v>283.47000000000003</v>
      </c>
      <c r="L103" s="70">
        <f t="shared" si="9"/>
        <v>184.44</v>
      </c>
      <c r="M103" s="70">
        <f t="shared" si="6"/>
        <v>99.03000000000003</v>
      </c>
      <c r="N103" s="70">
        <f t="shared" si="7"/>
        <v>43299.770000000019</v>
      </c>
    </row>
    <row r="104" spans="1:14" ht="14.25" customHeight="1">
      <c r="A104" s="7">
        <v>78</v>
      </c>
      <c r="B104" s="70">
        <f t="shared" si="0"/>
        <v>275.61</v>
      </c>
      <c r="C104" s="70">
        <f t="shared" si="1"/>
        <v>172.79</v>
      </c>
      <c r="D104" s="70">
        <f t="shared" si="2"/>
        <v>102.82000000000002</v>
      </c>
      <c r="E104" s="70">
        <f t="shared" si="3"/>
        <v>43094.82</v>
      </c>
      <c r="J104" s="7">
        <v>78</v>
      </c>
      <c r="K104" s="70">
        <f t="shared" si="8"/>
        <v>283.47000000000003</v>
      </c>
      <c r="L104" s="70">
        <f t="shared" si="9"/>
        <v>184.02</v>
      </c>
      <c r="M104" s="70">
        <f t="shared" si="6"/>
        <v>99.450000000000017</v>
      </c>
      <c r="N104" s="70">
        <f t="shared" si="7"/>
        <v>43200.320000000022</v>
      </c>
    </row>
    <row r="105" spans="1:14" ht="14.25" customHeight="1">
      <c r="A105" s="7">
        <v>79</v>
      </c>
      <c r="B105" s="70">
        <f t="shared" si="0"/>
        <v>275.61</v>
      </c>
      <c r="C105" s="70">
        <f t="shared" si="1"/>
        <v>172.38</v>
      </c>
      <c r="D105" s="70">
        <f t="shared" si="2"/>
        <v>103.23000000000002</v>
      </c>
      <c r="E105" s="70">
        <f t="shared" si="3"/>
        <v>42991.59</v>
      </c>
      <c r="J105" s="7">
        <v>79</v>
      </c>
      <c r="K105" s="70">
        <f t="shared" si="8"/>
        <v>283.47000000000003</v>
      </c>
      <c r="L105" s="70">
        <f t="shared" si="9"/>
        <v>183.6</v>
      </c>
      <c r="M105" s="70">
        <f t="shared" si="6"/>
        <v>99.870000000000033</v>
      </c>
      <c r="N105" s="70">
        <f t="shared" si="7"/>
        <v>43100.450000000019</v>
      </c>
    </row>
    <row r="106" spans="1:14" ht="14.25" customHeight="1">
      <c r="A106" s="7">
        <v>80</v>
      </c>
      <c r="B106" s="70">
        <f t="shared" si="0"/>
        <v>275.61</v>
      </c>
      <c r="C106" s="70">
        <f t="shared" si="1"/>
        <v>171.97</v>
      </c>
      <c r="D106" s="70">
        <f t="shared" si="2"/>
        <v>103.64000000000001</v>
      </c>
      <c r="E106" s="70">
        <f t="shared" si="3"/>
        <v>42887.95</v>
      </c>
      <c r="J106" s="7">
        <v>80</v>
      </c>
      <c r="K106" s="70">
        <f t="shared" si="8"/>
        <v>283.47000000000003</v>
      </c>
      <c r="L106" s="70">
        <f t="shared" si="9"/>
        <v>183.18</v>
      </c>
      <c r="M106" s="70">
        <f t="shared" si="6"/>
        <v>100.29000000000002</v>
      </c>
      <c r="N106" s="70">
        <f t="shared" si="7"/>
        <v>43000.160000000018</v>
      </c>
    </row>
    <row r="107" spans="1:14" ht="14.25" customHeight="1">
      <c r="A107" s="7">
        <v>81</v>
      </c>
      <c r="B107" s="70">
        <f t="shared" si="0"/>
        <v>275.61</v>
      </c>
      <c r="C107" s="70">
        <f t="shared" si="1"/>
        <v>171.55</v>
      </c>
      <c r="D107" s="70">
        <f t="shared" si="2"/>
        <v>104.06</v>
      </c>
      <c r="E107" s="70">
        <f t="shared" si="3"/>
        <v>42783.89</v>
      </c>
      <c r="J107" s="7">
        <v>81</v>
      </c>
      <c r="K107" s="70">
        <f t="shared" si="8"/>
        <v>283.47000000000003</v>
      </c>
      <c r="L107" s="70">
        <f t="shared" si="9"/>
        <v>182.75</v>
      </c>
      <c r="M107" s="70">
        <f t="shared" si="6"/>
        <v>100.72000000000003</v>
      </c>
      <c r="N107" s="70">
        <f t="shared" si="7"/>
        <v>42899.440000000017</v>
      </c>
    </row>
    <row r="108" spans="1:14" ht="14.25" customHeight="1">
      <c r="A108" s="7">
        <v>82</v>
      </c>
      <c r="B108" s="70">
        <f t="shared" si="0"/>
        <v>275.61</v>
      </c>
      <c r="C108" s="70">
        <f t="shared" si="1"/>
        <v>171.14</v>
      </c>
      <c r="D108" s="70">
        <f t="shared" si="2"/>
        <v>104.47000000000003</v>
      </c>
      <c r="E108" s="70">
        <f t="shared" si="3"/>
        <v>42679.42</v>
      </c>
      <c r="J108" s="7">
        <v>82</v>
      </c>
      <c r="K108" s="70">
        <f t="shared" si="8"/>
        <v>283.47000000000003</v>
      </c>
      <c r="L108" s="70">
        <f t="shared" si="9"/>
        <v>182.32</v>
      </c>
      <c r="M108" s="70">
        <f t="shared" si="6"/>
        <v>101.15000000000003</v>
      </c>
      <c r="N108" s="70">
        <f t="shared" si="7"/>
        <v>42798.290000000015</v>
      </c>
    </row>
    <row r="109" spans="1:14" ht="14.25" customHeight="1">
      <c r="A109" s="7">
        <v>83</v>
      </c>
      <c r="B109" s="70">
        <f t="shared" si="0"/>
        <v>275.61</v>
      </c>
      <c r="C109" s="70">
        <f t="shared" si="1"/>
        <v>170.72</v>
      </c>
      <c r="D109" s="70">
        <f t="shared" si="2"/>
        <v>104.89000000000001</v>
      </c>
      <c r="E109" s="70">
        <f t="shared" si="3"/>
        <v>42574.53</v>
      </c>
      <c r="J109" s="7">
        <v>83</v>
      </c>
      <c r="K109" s="70">
        <f t="shared" si="8"/>
        <v>283.47000000000003</v>
      </c>
      <c r="L109" s="70">
        <f t="shared" si="9"/>
        <v>181.89</v>
      </c>
      <c r="M109" s="70">
        <f t="shared" si="6"/>
        <v>101.58000000000004</v>
      </c>
      <c r="N109" s="70">
        <f t="shared" si="7"/>
        <v>42696.710000000014</v>
      </c>
    </row>
    <row r="110" spans="1:14" ht="14.25" customHeight="1">
      <c r="A110" s="7">
        <v>84</v>
      </c>
      <c r="B110" s="70">
        <f t="shared" si="0"/>
        <v>275.61</v>
      </c>
      <c r="C110" s="70">
        <f t="shared" si="1"/>
        <v>170.3</v>
      </c>
      <c r="D110" s="70">
        <f t="shared" si="2"/>
        <v>105.31</v>
      </c>
      <c r="E110" s="70">
        <f t="shared" si="3"/>
        <v>42469.22</v>
      </c>
      <c r="J110" s="7">
        <v>84</v>
      </c>
      <c r="K110" s="70">
        <f t="shared" si="8"/>
        <v>283.47000000000003</v>
      </c>
      <c r="L110" s="70">
        <f t="shared" si="9"/>
        <v>181.46</v>
      </c>
      <c r="M110" s="70">
        <f t="shared" si="6"/>
        <v>102.01000000000002</v>
      </c>
      <c r="N110" s="70">
        <f t="shared" si="7"/>
        <v>42594.700000000012</v>
      </c>
    </row>
    <row r="111" spans="1:14" ht="14.25" customHeight="1">
      <c r="A111" s="7">
        <v>85</v>
      </c>
      <c r="B111" s="70">
        <f t="shared" si="0"/>
        <v>275.61</v>
      </c>
      <c r="C111" s="70">
        <f t="shared" si="1"/>
        <v>169.88</v>
      </c>
      <c r="D111" s="70">
        <f t="shared" si="2"/>
        <v>105.73000000000002</v>
      </c>
      <c r="E111" s="70">
        <f t="shared" si="3"/>
        <v>42363.49</v>
      </c>
      <c r="J111" s="7">
        <v>85</v>
      </c>
      <c r="K111" s="70">
        <f t="shared" si="8"/>
        <v>283.47000000000003</v>
      </c>
      <c r="L111" s="70">
        <f t="shared" si="9"/>
        <v>181.03</v>
      </c>
      <c r="M111" s="70">
        <f t="shared" si="6"/>
        <v>102.44000000000003</v>
      </c>
      <c r="N111" s="70">
        <f t="shared" si="7"/>
        <v>42492.260000000009</v>
      </c>
    </row>
    <row r="112" spans="1:14" ht="14.25" customHeight="1">
      <c r="A112" s="7">
        <v>86</v>
      </c>
      <c r="B112" s="70">
        <f t="shared" si="0"/>
        <v>275.61</v>
      </c>
      <c r="C112" s="70">
        <f t="shared" si="1"/>
        <v>169.45</v>
      </c>
      <c r="D112" s="70">
        <f t="shared" si="2"/>
        <v>106.16000000000003</v>
      </c>
      <c r="E112" s="70">
        <f t="shared" si="3"/>
        <v>42257.329999999994</v>
      </c>
      <c r="J112" s="7">
        <v>86</v>
      </c>
      <c r="K112" s="70">
        <f t="shared" si="8"/>
        <v>283.47000000000003</v>
      </c>
      <c r="L112" s="70">
        <f t="shared" si="9"/>
        <v>180.59</v>
      </c>
      <c r="M112" s="70">
        <f t="shared" si="6"/>
        <v>102.88000000000002</v>
      </c>
      <c r="N112" s="70">
        <f t="shared" si="7"/>
        <v>42389.380000000012</v>
      </c>
    </row>
    <row r="113" spans="1:14" ht="14.25" customHeight="1">
      <c r="A113" s="7">
        <v>87</v>
      </c>
      <c r="B113" s="70">
        <f t="shared" si="0"/>
        <v>275.61</v>
      </c>
      <c r="C113" s="70">
        <f t="shared" si="1"/>
        <v>169.03</v>
      </c>
      <c r="D113" s="70">
        <f t="shared" si="2"/>
        <v>106.58000000000001</v>
      </c>
      <c r="E113" s="70">
        <f t="shared" si="3"/>
        <v>42150.749999999993</v>
      </c>
      <c r="J113" s="7">
        <v>87</v>
      </c>
      <c r="K113" s="70">
        <f t="shared" si="8"/>
        <v>283.47000000000003</v>
      </c>
      <c r="L113" s="70">
        <f t="shared" si="9"/>
        <v>180.15</v>
      </c>
      <c r="M113" s="70">
        <f t="shared" si="6"/>
        <v>103.32000000000002</v>
      </c>
      <c r="N113" s="70">
        <f t="shared" si="7"/>
        <v>42286.060000000012</v>
      </c>
    </row>
    <row r="114" spans="1:14" ht="14.25" customHeight="1">
      <c r="A114" s="7">
        <v>88</v>
      </c>
      <c r="B114" s="70">
        <f t="shared" si="0"/>
        <v>275.61</v>
      </c>
      <c r="C114" s="70">
        <f t="shared" si="1"/>
        <v>168.6</v>
      </c>
      <c r="D114" s="70">
        <f t="shared" si="2"/>
        <v>107.01000000000002</v>
      </c>
      <c r="E114" s="70">
        <f t="shared" si="3"/>
        <v>42043.739999999991</v>
      </c>
      <c r="J114" s="7">
        <v>88</v>
      </c>
      <c r="K114" s="70">
        <f t="shared" si="8"/>
        <v>283.47000000000003</v>
      </c>
      <c r="L114" s="70">
        <f t="shared" si="9"/>
        <v>179.72</v>
      </c>
      <c r="M114" s="70">
        <f t="shared" si="6"/>
        <v>103.75000000000003</v>
      </c>
      <c r="N114" s="70">
        <f t="shared" si="7"/>
        <v>42182.310000000012</v>
      </c>
    </row>
    <row r="115" spans="1:14" ht="14.25" customHeight="1">
      <c r="A115" s="7">
        <v>89</v>
      </c>
      <c r="B115" s="70">
        <f t="shared" si="0"/>
        <v>275.61</v>
      </c>
      <c r="C115" s="70">
        <f t="shared" si="1"/>
        <v>168.17</v>
      </c>
      <c r="D115" s="70">
        <f t="shared" si="2"/>
        <v>107.44000000000003</v>
      </c>
      <c r="E115" s="70">
        <f t="shared" si="3"/>
        <v>41936.299999999988</v>
      </c>
      <c r="J115" s="7">
        <v>89</v>
      </c>
      <c r="K115" s="70">
        <f t="shared" si="8"/>
        <v>283.47000000000003</v>
      </c>
      <c r="L115" s="70">
        <f t="shared" si="9"/>
        <v>179.27</v>
      </c>
      <c r="M115" s="70">
        <f t="shared" si="6"/>
        <v>104.20000000000002</v>
      </c>
      <c r="N115" s="70">
        <f t="shared" si="7"/>
        <v>42078.110000000015</v>
      </c>
    </row>
    <row r="116" spans="1:14" ht="14.25" customHeight="1">
      <c r="A116" s="7">
        <v>90</v>
      </c>
      <c r="B116" s="70">
        <f t="shared" si="0"/>
        <v>275.61</v>
      </c>
      <c r="C116" s="70">
        <f t="shared" si="1"/>
        <v>167.75</v>
      </c>
      <c r="D116" s="70">
        <f t="shared" si="2"/>
        <v>107.86000000000001</v>
      </c>
      <c r="E116" s="70">
        <f t="shared" si="3"/>
        <v>41828.439999999988</v>
      </c>
      <c r="J116" s="7">
        <v>90</v>
      </c>
      <c r="K116" s="70">
        <f t="shared" si="8"/>
        <v>283.47000000000003</v>
      </c>
      <c r="L116" s="70">
        <f t="shared" si="9"/>
        <v>178.83</v>
      </c>
      <c r="M116" s="70">
        <f t="shared" si="6"/>
        <v>104.64000000000001</v>
      </c>
      <c r="N116" s="70">
        <f t="shared" si="7"/>
        <v>41973.470000000016</v>
      </c>
    </row>
    <row r="117" spans="1:14" ht="14.25" customHeight="1">
      <c r="A117" s="7">
        <v>91</v>
      </c>
      <c r="B117" s="70">
        <f t="shared" si="0"/>
        <v>275.61</v>
      </c>
      <c r="C117" s="70">
        <f t="shared" si="1"/>
        <v>167.31</v>
      </c>
      <c r="D117" s="70">
        <f t="shared" si="2"/>
        <v>108.30000000000001</v>
      </c>
      <c r="E117" s="70">
        <f t="shared" si="3"/>
        <v>41720.139999999985</v>
      </c>
      <c r="J117" s="7">
        <v>91</v>
      </c>
      <c r="K117" s="70">
        <f t="shared" si="8"/>
        <v>283.47000000000003</v>
      </c>
      <c r="L117" s="70">
        <f t="shared" si="9"/>
        <v>178.39</v>
      </c>
      <c r="M117" s="70">
        <f t="shared" si="6"/>
        <v>105.08000000000004</v>
      </c>
      <c r="N117" s="70">
        <f t="shared" si="7"/>
        <v>41868.390000000014</v>
      </c>
    </row>
    <row r="118" spans="1:14" ht="14.25" customHeight="1">
      <c r="A118" s="7">
        <v>92</v>
      </c>
      <c r="B118" s="70">
        <f t="shared" si="0"/>
        <v>275.61</v>
      </c>
      <c r="C118" s="70">
        <f t="shared" si="1"/>
        <v>166.88</v>
      </c>
      <c r="D118" s="70">
        <f t="shared" si="2"/>
        <v>108.73000000000002</v>
      </c>
      <c r="E118" s="70">
        <f t="shared" si="3"/>
        <v>41611.409999999982</v>
      </c>
      <c r="J118" s="7">
        <v>92</v>
      </c>
      <c r="K118" s="70">
        <f t="shared" si="8"/>
        <v>283.47000000000003</v>
      </c>
      <c r="L118" s="70">
        <f t="shared" si="9"/>
        <v>177.94</v>
      </c>
      <c r="M118" s="70">
        <f t="shared" si="6"/>
        <v>105.53000000000003</v>
      </c>
      <c r="N118" s="70">
        <f t="shared" si="7"/>
        <v>41762.860000000015</v>
      </c>
    </row>
    <row r="119" spans="1:14" ht="14.25" customHeight="1">
      <c r="A119" s="7">
        <v>93</v>
      </c>
      <c r="B119" s="70">
        <f t="shared" si="0"/>
        <v>275.61</v>
      </c>
      <c r="C119" s="70">
        <f t="shared" si="1"/>
        <v>166.45</v>
      </c>
      <c r="D119" s="70">
        <f t="shared" si="2"/>
        <v>109.16000000000003</v>
      </c>
      <c r="E119" s="70">
        <f t="shared" si="3"/>
        <v>41502.249999999978</v>
      </c>
      <c r="J119" s="7">
        <v>93</v>
      </c>
      <c r="K119" s="70">
        <f t="shared" si="8"/>
        <v>283.47000000000003</v>
      </c>
      <c r="L119" s="70">
        <f t="shared" si="9"/>
        <v>177.49</v>
      </c>
      <c r="M119" s="70">
        <f t="shared" si="6"/>
        <v>105.98000000000002</v>
      </c>
      <c r="N119" s="70">
        <f t="shared" si="7"/>
        <v>41656.880000000012</v>
      </c>
    </row>
    <row r="120" spans="1:14" ht="14.25" customHeight="1">
      <c r="A120" s="7">
        <v>94</v>
      </c>
      <c r="B120" s="70">
        <f t="shared" si="0"/>
        <v>275.61</v>
      </c>
      <c r="C120" s="70">
        <f t="shared" si="1"/>
        <v>166.01</v>
      </c>
      <c r="D120" s="70">
        <f t="shared" si="2"/>
        <v>109.60000000000002</v>
      </c>
      <c r="E120" s="70">
        <f t="shared" si="3"/>
        <v>41392.64999999998</v>
      </c>
      <c r="J120" s="7">
        <v>94</v>
      </c>
      <c r="K120" s="70">
        <f t="shared" si="8"/>
        <v>283.47000000000003</v>
      </c>
      <c r="L120" s="70">
        <f t="shared" si="9"/>
        <v>177.04</v>
      </c>
      <c r="M120" s="70">
        <f t="shared" si="6"/>
        <v>106.43000000000004</v>
      </c>
      <c r="N120" s="70">
        <f t="shared" si="7"/>
        <v>41550.450000000012</v>
      </c>
    </row>
    <row r="121" spans="1:14" ht="14.25" customHeight="1">
      <c r="A121" s="7">
        <v>95</v>
      </c>
      <c r="B121" s="70">
        <f t="shared" si="0"/>
        <v>275.61</v>
      </c>
      <c r="C121" s="70">
        <f t="shared" si="1"/>
        <v>165.57</v>
      </c>
      <c r="D121" s="70">
        <f t="shared" si="2"/>
        <v>110.04000000000002</v>
      </c>
      <c r="E121" s="70">
        <f t="shared" si="3"/>
        <v>41282.609999999979</v>
      </c>
      <c r="J121" s="7">
        <v>95</v>
      </c>
      <c r="K121" s="70">
        <f t="shared" si="8"/>
        <v>283.47000000000003</v>
      </c>
      <c r="L121" s="70">
        <f t="shared" si="9"/>
        <v>176.59</v>
      </c>
      <c r="M121" s="70">
        <f t="shared" si="6"/>
        <v>106.88000000000002</v>
      </c>
      <c r="N121" s="70">
        <f t="shared" si="7"/>
        <v>41443.570000000014</v>
      </c>
    </row>
    <row r="122" spans="1:14" ht="14.25" customHeight="1">
      <c r="A122" s="7">
        <v>96</v>
      </c>
      <c r="B122" s="70">
        <f t="shared" si="0"/>
        <v>275.61</v>
      </c>
      <c r="C122" s="70">
        <f t="shared" si="1"/>
        <v>165.13</v>
      </c>
      <c r="D122" s="70">
        <f t="shared" si="2"/>
        <v>110.48000000000002</v>
      </c>
      <c r="E122" s="70">
        <f t="shared" si="3"/>
        <v>41172.129999999976</v>
      </c>
      <c r="J122" s="7">
        <v>96</v>
      </c>
      <c r="K122" s="70">
        <f t="shared" si="8"/>
        <v>283.47000000000003</v>
      </c>
      <c r="L122" s="70">
        <f t="shared" si="9"/>
        <v>176.14</v>
      </c>
      <c r="M122" s="70">
        <f t="shared" si="6"/>
        <v>107.33000000000004</v>
      </c>
      <c r="N122" s="70">
        <f t="shared" si="7"/>
        <v>41336.240000000013</v>
      </c>
    </row>
    <row r="123" spans="1:14" ht="14.25" customHeight="1">
      <c r="A123" s="7">
        <v>97</v>
      </c>
      <c r="B123" s="70">
        <f t="shared" si="0"/>
        <v>275.61</v>
      </c>
      <c r="C123" s="70">
        <f t="shared" si="1"/>
        <v>164.69</v>
      </c>
      <c r="D123" s="70">
        <f t="shared" si="2"/>
        <v>110.92000000000002</v>
      </c>
      <c r="E123" s="70">
        <f t="shared" si="3"/>
        <v>41061.209999999977</v>
      </c>
      <c r="J123" s="7">
        <v>97</v>
      </c>
      <c r="K123" s="70">
        <f t="shared" si="8"/>
        <v>283.47000000000003</v>
      </c>
      <c r="L123" s="70">
        <f t="shared" si="9"/>
        <v>175.68</v>
      </c>
      <c r="M123" s="70">
        <f t="shared" si="6"/>
        <v>107.79000000000002</v>
      </c>
      <c r="N123" s="70">
        <f t="shared" si="7"/>
        <v>41228.450000000012</v>
      </c>
    </row>
    <row r="124" spans="1:14" ht="14.25" customHeight="1">
      <c r="A124" s="7">
        <v>98</v>
      </c>
      <c r="B124" s="70">
        <f t="shared" si="0"/>
        <v>275.61</v>
      </c>
      <c r="C124" s="70">
        <f t="shared" si="1"/>
        <v>164.24</v>
      </c>
      <c r="D124" s="70">
        <f t="shared" si="2"/>
        <v>111.37</v>
      </c>
      <c r="E124" s="70">
        <f t="shared" si="3"/>
        <v>40949.839999999975</v>
      </c>
      <c r="J124" s="7">
        <v>98</v>
      </c>
      <c r="K124" s="70">
        <f t="shared" si="8"/>
        <v>283.47000000000003</v>
      </c>
      <c r="L124" s="70">
        <f t="shared" si="9"/>
        <v>175.22</v>
      </c>
      <c r="M124" s="70">
        <f t="shared" si="6"/>
        <v>108.25000000000003</v>
      </c>
      <c r="N124" s="70">
        <f t="shared" si="7"/>
        <v>41120.200000000012</v>
      </c>
    </row>
    <row r="125" spans="1:14" ht="14.25" customHeight="1">
      <c r="A125" s="7">
        <v>99</v>
      </c>
      <c r="B125" s="70">
        <f t="shared" si="0"/>
        <v>275.61</v>
      </c>
      <c r="C125" s="70">
        <f t="shared" si="1"/>
        <v>163.80000000000001</v>
      </c>
      <c r="D125" s="70">
        <f t="shared" si="2"/>
        <v>111.81</v>
      </c>
      <c r="E125" s="70">
        <f t="shared" si="3"/>
        <v>40838.029999999977</v>
      </c>
      <c r="J125" s="7">
        <v>99</v>
      </c>
      <c r="K125" s="70">
        <f t="shared" si="8"/>
        <v>283.47000000000003</v>
      </c>
      <c r="L125" s="70">
        <f t="shared" si="9"/>
        <v>174.76</v>
      </c>
      <c r="M125" s="70">
        <f t="shared" si="6"/>
        <v>108.71000000000004</v>
      </c>
      <c r="N125" s="70">
        <f t="shared" si="7"/>
        <v>41011.490000000013</v>
      </c>
    </row>
    <row r="126" spans="1:14" ht="14.25" customHeight="1">
      <c r="A126" s="7">
        <v>100</v>
      </c>
      <c r="B126" s="70">
        <f t="shared" si="0"/>
        <v>275.61</v>
      </c>
      <c r="C126" s="70">
        <f t="shared" si="1"/>
        <v>163.35</v>
      </c>
      <c r="D126" s="70">
        <f t="shared" si="2"/>
        <v>112.26000000000002</v>
      </c>
      <c r="E126" s="70">
        <f t="shared" si="3"/>
        <v>40725.769999999975</v>
      </c>
      <c r="J126" s="7">
        <v>100</v>
      </c>
      <c r="K126" s="70">
        <f t="shared" si="8"/>
        <v>283.47000000000003</v>
      </c>
      <c r="L126" s="70">
        <f t="shared" si="9"/>
        <v>174.3</v>
      </c>
      <c r="M126" s="70">
        <f t="shared" si="6"/>
        <v>109.17000000000002</v>
      </c>
      <c r="N126" s="70">
        <f t="shared" si="7"/>
        <v>40902.320000000014</v>
      </c>
    </row>
    <row r="127" spans="1:14" ht="14.25" customHeight="1">
      <c r="A127" s="7">
        <v>101</v>
      </c>
      <c r="B127" s="70">
        <f t="shared" si="0"/>
        <v>275.61</v>
      </c>
      <c r="C127" s="70">
        <f t="shared" si="1"/>
        <v>162.9</v>
      </c>
      <c r="D127" s="70">
        <f t="shared" si="2"/>
        <v>112.71000000000001</v>
      </c>
      <c r="E127" s="70">
        <f t="shared" si="3"/>
        <v>40613.059999999976</v>
      </c>
      <c r="J127" s="7">
        <v>101</v>
      </c>
      <c r="K127" s="70">
        <f t="shared" si="8"/>
        <v>283.47000000000003</v>
      </c>
      <c r="L127" s="70">
        <f t="shared" si="9"/>
        <v>173.83</v>
      </c>
      <c r="M127" s="70">
        <f t="shared" si="6"/>
        <v>109.64000000000001</v>
      </c>
      <c r="N127" s="70">
        <f t="shared" si="7"/>
        <v>40792.680000000015</v>
      </c>
    </row>
    <row r="128" spans="1:14" ht="14.25" customHeight="1">
      <c r="A128" s="7">
        <v>102</v>
      </c>
      <c r="B128" s="70">
        <f t="shared" si="0"/>
        <v>275.61</v>
      </c>
      <c r="C128" s="70">
        <f t="shared" si="1"/>
        <v>162.44999999999999</v>
      </c>
      <c r="D128" s="70">
        <f t="shared" si="2"/>
        <v>113.16000000000003</v>
      </c>
      <c r="E128" s="70">
        <f t="shared" si="3"/>
        <v>40499.899999999972</v>
      </c>
      <c r="J128" s="7">
        <v>102</v>
      </c>
      <c r="K128" s="70">
        <f t="shared" si="8"/>
        <v>283.47000000000003</v>
      </c>
      <c r="L128" s="70">
        <f t="shared" si="9"/>
        <v>173.37</v>
      </c>
      <c r="M128" s="70">
        <f t="shared" si="6"/>
        <v>110.10000000000002</v>
      </c>
      <c r="N128" s="70">
        <f t="shared" si="7"/>
        <v>40682.580000000016</v>
      </c>
    </row>
    <row r="129" spans="1:18" ht="14.25" customHeight="1">
      <c r="A129" s="7">
        <v>103</v>
      </c>
      <c r="B129" s="70">
        <f t="shared" si="0"/>
        <v>275.61</v>
      </c>
      <c r="C129" s="70">
        <f t="shared" si="1"/>
        <v>162</v>
      </c>
      <c r="D129" s="70">
        <f t="shared" si="2"/>
        <v>113.61000000000001</v>
      </c>
      <c r="E129" s="70">
        <f t="shared" si="3"/>
        <v>40386.289999999972</v>
      </c>
      <c r="J129" s="7">
        <v>103</v>
      </c>
      <c r="K129" s="70">
        <f t="shared" si="8"/>
        <v>283.47000000000003</v>
      </c>
      <c r="L129" s="70">
        <f t="shared" si="9"/>
        <v>172.9</v>
      </c>
      <c r="M129" s="70">
        <f t="shared" si="6"/>
        <v>110.57000000000002</v>
      </c>
      <c r="N129" s="70">
        <f t="shared" si="7"/>
        <v>40572.010000000017</v>
      </c>
    </row>
    <row r="130" spans="1:18" ht="14.25" customHeight="1">
      <c r="A130" s="7">
        <v>104</v>
      </c>
      <c r="B130" s="70">
        <f t="shared" si="0"/>
        <v>275.61</v>
      </c>
      <c r="C130" s="70">
        <f t="shared" si="1"/>
        <v>161.55000000000001</v>
      </c>
      <c r="D130" s="70">
        <f t="shared" si="2"/>
        <v>114.06</v>
      </c>
      <c r="E130" s="70">
        <f t="shared" si="3"/>
        <v>40272.229999999974</v>
      </c>
      <c r="J130" s="7">
        <v>104</v>
      </c>
      <c r="K130" s="70">
        <f t="shared" si="8"/>
        <v>283.47000000000003</v>
      </c>
      <c r="L130" s="70">
        <f t="shared" si="9"/>
        <v>172.43</v>
      </c>
      <c r="M130" s="70">
        <f t="shared" si="6"/>
        <v>111.04000000000002</v>
      </c>
      <c r="N130" s="70">
        <f t="shared" si="7"/>
        <v>40460.970000000016</v>
      </c>
    </row>
    <row r="131" spans="1:18" ht="14.25" customHeight="1">
      <c r="A131" s="7">
        <v>105</v>
      </c>
      <c r="B131" s="70">
        <f t="shared" si="0"/>
        <v>275.61</v>
      </c>
      <c r="C131" s="70">
        <f t="shared" si="1"/>
        <v>161.09</v>
      </c>
      <c r="D131" s="70">
        <f t="shared" si="2"/>
        <v>114.52000000000001</v>
      </c>
      <c r="E131" s="70">
        <f t="shared" si="3"/>
        <v>40157.709999999977</v>
      </c>
      <c r="J131" s="7">
        <v>105</v>
      </c>
      <c r="K131" s="70">
        <f t="shared" si="8"/>
        <v>283.47000000000003</v>
      </c>
      <c r="L131" s="70">
        <f t="shared" si="9"/>
        <v>171.96</v>
      </c>
      <c r="M131" s="70">
        <f t="shared" si="6"/>
        <v>111.51000000000002</v>
      </c>
      <c r="N131" s="70">
        <f t="shared" si="7"/>
        <v>40349.460000000014</v>
      </c>
    </row>
    <row r="132" spans="1:18" ht="14.25" customHeight="1">
      <c r="A132" s="7">
        <v>106</v>
      </c>
      <c r="B132" s="70">
        <f t="shared" si="0"/>
        <v>275.61</v>
      </c>
      <c r="C132" s="70">
        <f t="shared" si="1"/>
        <v>160.63</v>
      </c>
      <c r="D132" s="70">
        <f t="shared" si="2"/>
        <v>114.98000000000002</v>
      </c>
      <c r="E132" s="70">
        <f t="shared" si="3"/>
        <v>40042.729999999974</v>
      </c>
      <c r="J132" s="7">
        <v>106</v>
      </c>
      <c r="K132" s="70">
        <f t="shared" si="8"/>
        <v>283.47000000000003</v>
      </c>
      <c r="L132" s="70">
        <f t="shared" si="9"/>
        <v>171.49</v>
      </c>
      <c r="M132" s="70">
        <f t="shared" si="6"/>
        <v>111.98000000000002</v>
      </c>
      <c r="N132" s="70">
        <f t="shared" si="7"/>
        <v>40237.48000000001</v>
      </c>
    </row>
    <row r="133" spans="1:18" ht="14.25" customHeight="1">
      <c r="A133" s="7">
        <v>107</v>
      </c>
      <c r="B133" s="70">
        <f t="shared" si="0"/>
        <v>275.61</v>
      </c>
      <c r="C133" s="70">
        <f t="shared" si="1"/>
        <v>160.16999999999999</v>
      </c>
      <c r="D133" s="70">
        <f t="shared" si="2"/>
        <v>115.44000000000003</v>
      </c>
      <c r="E133" s="70">
        <f t="shared" si="3"/>
        <v>39927.289999999972</v>
      </c>
      <c r="J133" s="7">
        <v>107</v>
      </c>
      <c r="K133" s="70">
        <f t="shared" si="8"/>
        <v>283.47000000000003</v>
      </c>
      <c r="L133" s="70">
        <f t="shared" si="9"/>
        <v>171.01</v>
      </c>
      <c r="M133" s="70">
        <f t="shared" si="6"/>
        <v>112.46000000000004</v>
      </c>
      <c r="N133" s="70">
        <f t="shared" si="7"/>
        <v>40125.020000000011</v>
      </c>
    </row>
    <row r="134" spans="1:18" ht="14.25" customHeight="1">
      <c r="A134" s="7">
        <v>108</v>
      </c>
      <c r="B134" s="70">
        <f t="shared" si="0"/>
        <v>275.61</v>
      </c>
      <c r="C134" s="70">
        <f t="shared" si="1"/>
        <v>159.71</v>
      </c>
      <c r="D134" s="70">
        <f t="shared" si="2"/>
        <v>115.9</v>
      </c>
      <c r="E134" s="70">
        <f t="shared" si="3"/>
        <v>39811.38999999997</v>
      </c>
      <c r="J134" s="7">
        <v>108</v>
      </c>
      <c r="K134" s="70">
        <f t="shared" si="8"/>
        <v>283.47000000000003</v>
      </c>
      <c r="L134" s="70">
        <f t="shared" si="9"/>
        <v>170.53</v>
      </c>
      <c r="M134" s="70">
        <f t="shared" si="6"/>
        <v>112.94000000000003</v>
      </c>
      <c r="N134" s="72">
        <f t="shared" si="7"/>
        <v>40012.080000000009</v>
      </c>
      <c r="P134" s="14" t="s">
        <v>89</v>
      </c>
      <c r="Q134" s="62">
        <f>N134</f>
        <v>40012.080000000009</v>
      </c>
      <c r="R134" s="24"/>
    </row>
    <row r="135" spans="1:18" ht="14.25" customHeight="1">
      <c r="A135" s="7">
        <v>109</v>
      </c>
      <c r="B135" s="70">
        <f t="shared" si="0"/>
        <v>275.61</v>
      </c>
      <c r="C135" s="70">
        <f t="shared" si="1"/>
        <v>159.25</v>
      </c>
      <c r="D135" s="70">
        <f t="shared" si="2"/>
        <v>116.36000000000001</v>
      </c>
      <c r="E135" s="70">
        <f t="shared" si="3"/>
        <v>39695.02999999997</v>
      </c>
      <c r="J135" s="7">
        <v>109</v>
      </c>
      <c r="K135" s="72">
        <f t="shared" ref="K135:K385" si="10">-$Q$144</f>
        <v>268.07</v>
      </c>
      <c r="L135" s="72">
        <f>ROUND(N134*$Q$140,2)</f>
        <v>183.39</v>
      </c>
      <c r="M135" s="72">
        <f t="shared" si="6"/>
        <v>84.68</v>
      </c>
      <c r="N135" s="72">
        <f t="shared" si="7"/>
        <v>39927.400000000009</v>
      </c>
      <c r="P135" s="14" t="s">
        <v>132</v>
      </c>
      <c r="Q135" s="73">
        <f>27-9+3</f>
        <v>21</v>
      </c>
      <c r="R135" s="24"/>
    </row>
    <row r="136" spans="1:18" ht="14.25" customHeight="1">
      <c r="A136" s="7">
        <v>110</v>
      </c>
      <c r="B136" s="70">
        <f t="shared" si="0"/>
        <v>275.61</v>
      </c>
      <c r="C136" s="70">
        <f t="shared" si="1"/>
        <v>158.78</v>
      </c>
      <c r="D136" s="70">
        <f t="shared" si="2"/>
        <v>116.83000000000001</v>
      </c>
      <c r="E136" s="70">
        <f t="shared" si="3"/>
        <v>39578.199999999968</v>
      </c>
      <c r="J136" s="7">
        <v>110</v>
      </c>
      <c r="K136" s="70">
        <f t="shared" si="10"/>
        <v>268.07</v>
      </c>
      <c r="L136" s="70">
        <f t="shared" ref="L136:L386" si="11">ROUND(N135*$Q$140,2)</f>
        <v>183</v>
      </c>
      <c r="M136" s="70">
        <f t="shared" si="6"/>
        <v>85.07</v>
      </c>
      <c r="N136" s="70">
        <f t="shared" si="7"/>
        <v>39842.330000000009</v>
      </c>
      <c r="P136" s="38" t="s">
        <v>90</v>
      </c>
      <c r="Q136" s="16">
        <f>4.8%+0.3%+0.4%</f>
        <v>5.5000000000000007E-2</v>
      </c>
      <c r="R136" s="24"/>
    </row>
    <row r="137" spans="1:18" ht="14.25" customHeight="1">
      <c r="A137" s="7">
        <v>111</v>
      </c>
      <c r="B137" s="70">
        <f t="shared" si="0"/>
        <v>275.61</v>
      </c>
      <c r="C137" s="70">
        <f t="shared" si="1"/>
        <v>158.31</v>
      </c>
      <c r="D137" s="70">
        <f t="shared" si="2"/>
        <v>117.30000000000001</v>
      </c>
      <c r="E137" s="70">
        <f t="shared" si="3"/>
        <v>39460.899999999965</v>
      </c>
      <c r="J137" s="7">
        <v>111</v>
      </c>
      <c r="K137" s="70">
        <f t="shared" si="10"/>
        <v>268.07</v>
      </c>
      <c r="L137" s="70">
        <f t="shared" si="11"/>
        <v>182.61</v>
      </c>
      <c r="M137" s="70">
        <f t="shared" si="6"/>
        <v>85.45999999999998</v>
      </c>
      <c r="N137" s="70">
        <f t="shared" si="7"/>
        <v>39756.87000000001</v>
      </c>
      <c r="P137" s="14" t="s">
        <v>91</v>
      </c>
      <c r="Q137" s="67">
        <f>1+Q136</f>
        <v>1.0549999999999999</v>
      </c>
      <c r="R137" s="24"/>
    </row>
    <row r="138" spans="1:18" ht="14.25" customHeight="1">
      <c r="A138" s="7">
        <v>112</v>
      </c>
      <c r="B138" s="70">
        <f t="shared" si="0"/>
        <v>275.61</v>
      </c>
      <c r="C138" s="70">
        <f t="shared" si="1"/>
        <v>157.84</v>
      </c>
      <c r="D138" s="70">
        <f t="shared" si="2"/>
        <v>117.77000000000001</v>
      </c>
      <c r="E138" s="70">
        <f t="shared" si="3"/>
        <v>39343.129999999968</v>
      </c>
      <c r="J138" s="7">
        <v>112</v>
      </c>
      <c r="K138" s="70">
        <f t="shared" si="10"/>
        <v>268.07</v>
      </c>
      <c r="L138" s="70">
        <f t="shared" si="11"/>
        <v>182.22</v>
      </c>
      <c r="M138" s="70">
        <f t="shared" si="6"/>
        <v>85.85</v>
      </c>
      <c r="N138" s="70">
        <f t="shared" si="7"/>
        <v>39671.020000000011</v>
      </c>
      <c r="P138" s="14" t="s">
        <v>133</v>
      </c>
      <c r="Q138" s="24">
        <v>12</v>
      </c>
      <c r="R138" s="24"/>
    </row>
    <row r="139" spans="1:18" ht="14.25" customHeight="1">
      <c r="A139" s="7">
        <v>113</v>
      </c>
      <c r="B139" s="70">
        <f t="shared" si="0"/>
        <v>275.61</v>
      </c>
      <c r="C139" s="70">
        <f t="shared" si="1"/>
        <v>157.37</v>
      </c>
      <c r="D139" s="70">
        <f t="shared" si="2"/>
        <v>118.24000000000001</v>
      </c>
      <c r="E139" s="70">
        <f t="shared" si="3"/>
        <v>39224.88999999997</v>
      </c>
      <c r="J139" s="7">
        <v>113</v>
      </c>
      <c r="K139" s="70">
        <f t="shared" si="10"/>
        <v>268.07</v>
      </c>
      <c r="L139" s="70">
        <f t="shared" si="11"/>
        <v>181.83</v>
      </c>
      <c r="M139" s="70">
        <f t="shared" si="6"/>
        <v>86.239999999999981</v>
      </c>
      <c r="N139" s="70">
        <f t="shared" si="7"/>
        <v>39584.780000000013</v>
      </c>
      <c r="P139" s="204" t="s">
        <v>134</v>
      </c>
      <c r="Q139" s="188"/>
      <c r="R139" s="24"/>
    </row>
    <row r="140" spans="1:18" ht="14.25" customHeight="1">
      <c r="A140" s="7">
        <v>114</v>
      </c>
      <c r="B140" s="70">
        <f t="shared" si="0"/>
        <v>275.61</v>
      </c>
      <c r="C140" s="70">
        <f t="shared" si="1"/>
        <v>156.9</v>
      </c>
      <c r="D140" s="70">
        <f t="shared" si="2"/>
        <v>118.71000000000001</v>
      </c>
      <c r="E140" s="70">
        <f t="shared" si="3"/>
        <v>39106.179999999971</v>
      </c>
      <c r="J140" s="7">
        <v>114</v>
      </c>
      <c r="K140" s="70">
        <f t="shared" si="10"/>
        <v>268.07</v>
      </c>
      <c r="L140" s="70">
        <f t="shared" si="11"/>
        <v>181.43</v>
      </c>
      <c r="M140" s="70">
        <f t="shared" si="6"/>
        <v>86.639999999999986</v>
      </c>
      <c r="N140" s="70">
        <f t="shared" si="7"/>
        <v>39498.140000000014</v>
      </c>
      <c r="P140" s="14" t="s">
        <v>135</v>
      </c>
      <c r="Q140" s="68">
        <f>Q136/Q138</f>
        <v>4.5833333333333342E-3</v>
      </c>
      <c r="R140" s="24"/>
    </row>
    <row r="141" spans="1:18" ht="14.25" customHeight="1">
      <c r="A141" s="7">
        <v>115</v>
      </c>
      <c r="B141" s="70">
        <f t="shared" si="0"/>
        <v>275.61</v>
      </c>
      <c r="C141" s="70">
        <f t="shared" si="1"/>
        <v>156.41999999999999</v>
      </c>
      <c r="D141" s="70">
        <f t="shared" si="2"/>
        <v>119.19000000000003</v>
      </c>
      <c r="E141" s="70">
        <f t="shared" si="3"/>
        <v>38986.989999999969</v>
      </c>
      <c r="J141" s="7">
        <v>115</v>
      </c>
      <c r="K141" s="70">
        <f t="shared" si="10"/>
        <v>268.07</v>
      </c>
      <c r="L141" s="70">
        <f t="shared" si="11"/>
        <v>181.03</v>
      </c>
      <c r="M141" s="70">
        <f t="shared" si="6"/>
        <v>87.039999999999992</v>
      </c>
      <c r="N141" s="70">
        <f t="shared" si="7"/>
        <v>39411.100000000013</v>
      </c>
      <c r="P141" s="14" t="s">
        <v>136</v>
      </c>
      <c r="Q141" s="68">
        <f>1+Q140</f>
        <v>1.0045833333333334</v>
      </c>
      <c r="R141" s="24"/>
    </row>
    <row r="142" spans="1:18" ht="14.25" customHeight="1">
      <c r="A142" s="7">
        <v>116</v>
      </c>
      <c r="B142" s="70">
        <f t="shared" si="0"/>
        <v>275.61</v>
      </c>
      <c r="C142" s="70">
        <f t="shared" si="1"/>
        <v>155.94999999999999</v>
      </c>
      <c r="D142" s="70">
        <f t="shared" si="2"/>
        <v>119.66000000000003</v>
      </c>
      <c r="E142" s="70">
        <f t="shared" si="3"/>
        <v>38867.329999999965</v>
      </c>
      <c r="J142" s="7">
        <v>116</v>
      </c>
      <c r="K142" s="70">
        <f t="shared" si="10"/>
        <v>268.07</v>
      </c>
      <c r="L142" s="70">
        <f t="shared" si="11"/>
        <v>180.63</v>
      </c>
      <c r="M142" s="70">
        <f t="shared" si="6"/>
        <v>87.44</v>
      </c>
      <c r="N142" s="70">
        <f t="shared" si="7"/>
        <v>39323.660000000011</v>
      </c>
      <c r="P142" s="14" t="s">
        <v>137</v>
      </c>
      <c r="Q142" s="3">
        <f>Q135*Q138</f>
        <v>252</v>
      </c>
      <c r="R142" s="24"/>
    </row>
    <row r="143" spans="1:18" ht="14.25" customHeight="1">
      <c r="A143" s="7">
        <v>117</v>
      </c>
      <c r="B143" s="70">
        <f t="shared" si="0"/>
        <v>275.61</v>
      </c>
      <c r="C143" s="70">
        <f t="shared" si="1"/>
        <v>155.47</v>
      </c>
      <c r="D143" s="70">
        <f t="shared" si="2"/>
        <v>120.14000000000001</v>
      </c>
      <c r="E143" s="70">
        <f t="shared" si="3"/>
        <v>38747.189999999966</v>
      </c>
      <c r="J143" s="7">
        <v>117</v>
      </c>
      <c r="K143" s="70">
        <f t="shared" si="10"/>
        <v>268.07</v>
      </c>
      <c r="L143" s="70">
        <f t="shared" si="11"/>
        <v>180.23</v>
      </c>
      <c r="M143" s="70">
        <f t="shared" si="6"/>
        <v>87.84</v>
      </c>
      <c r="N143" s="70">
        <f t="shared" si="7"/>
        <v>39235.820000000014</v>
      </c>
      <c r="P143" s="14"/>
      <c r="R143" s="24"/>
    </row>
    <row r="144" spans="1:18" ht="14.25" customHeight="1">
      <c r="A144" s="7">
        <v>118</v>
      </c>
      <c r="B144" s="70">
        <f t="shared" si="0"/>
        <v>275.61</v>
      </c>
      <c r="C144" s="70">
        <f t="shared" si="1"/>
        <v>154.99</v>
      </c>
      <c r="D144" s="70">
        <f t="shared" si="2"/>
        <v>120.62</v>
      </c>
      <c r="E144" s="70">
        <f t="shared" si="3"/>
        <v>38626.569999999963</v>
      </c>
      <c r="J144" s="7">
        <v>118</v>
      </c>
      <c r="K144" s="70">
        <f t="shared" si="10"/>
        <v>268.07</v>
      </c>
      <c r="L144" s="70">
        <f t="shared" si="11"/>
        <v>179.83</v>
      </c>
      <c r="M144" s="70">
        <f t="shared" si="6"/>
        <v>88.239999999999981</v>
      </c>
      <c r="N144" s="70">
        <f t="shared" si="7"/>
        <v>39147.580000000016</v>
      </c>
      <c r="P144" s="14" t="s">
        <v>138</v>
      </c>
      <c r="Q144" s="48">
        <f>ROUND(PMT(Q140,Q142,Q134,0,0),2)</f>
        <v>-268.07</v>
      </c>
      <c r="R144" s="24" t="s">
        <v>30</v>
      </c>
    </row>
    <row r="145" spans="1:14" ht="14.25" customHeight="1">
      <c r="A145" s="7">
        <v>119</v>
      </c>
      <c r="B145" s="70">
        <f t="shared" si="0"/>
        <v>275.61</v>
      </c>
      <c r="C145" s="70">
        <f t="shared" si="1"/>
        <v>154.51</v>
      </c>
      <c r="D145" s="70">
        <f t="shared" si="2"/>
        <v>121.10000000000002</v>
      </c>
      <c r="E145" s="70">
        <f t="shared" si="3"/>
        <v>38505.469999999965</v>
      </c>
      <c r="J145" s="7">
        <v>119</v>
      </c>
      <c r="K145" s="70">
        <f t="shared" si="10"/>
        <v>268.07</v>
      </c>
      <c r="L145" s="70">
        <f t="shared" si="11"/>
        <v>179.43</v>
      </c>
      <c r="M145" s="70">
        <f t="shared" si="6"/>
        <v>88.639999999999986</v>
      </c>
      <c r="N145" s="70">
        <f t="shared" si="7"/>
        <v>39058.940000000017</v>
      </c>
    </row>
    <row r="146" spans="1:14" ht="14.25" customHeight="1">
      <c r="A146" s="7">
        <v>120</v>
      </c>
      <c r="B146" s="70">
        <f t="shared" si="0"/>
        <v>275.61</v>
      </c>
      <c r="C146" s="70">
        <f t="shared" si="1"/>
        <v>154.02000000000001</v>
      </c>
      <c r="D146" s="70">
        <f t="shared" si="2"/>
        <v>121.59</v>
      </c>
      <c r="E146" s="70">
        <f t="shared" si="3"/>
        <v>38383.879999999968</v>
      </c>
      <c r="J146" s="7">
        <v>120</v>
      </c>
      <c r="K146" s="70">
        <f t="shared" si="10"/>
        <v>268.07</v>
      </c>
      <c r="L146" s="70">
        <f t="shared" si="11"/>
        <v>179.02</v>
      </c>
      <c r="M146" s="70">
        <f t="shared" si="6"/>
        <v>89.049999999999983</v>
      </c>
      <c r="N146" s="70">
        <f t="shared" si="7"/>
        <v>38969.890000000014</v>
      </c>
    </row>
    <row r="147" spans="1:14" ht="14.25" customHeight="1">
      <c r="A147" s="7">
        <v>121</v>
      </c>
      <c r="B147" s="70">
        <f t="shared" si="0"/>
        <v>275.61</v>
      </c>
      <c r="C147" s="70">
        <f t="shared" si="1"/>
        <v>153.54</v>
      </c>
      <c r="D147" s="70">
        <f t="shared" si="2"/>
        <v>122.07000000000002</v>
      </c>
      <c r="E147" s="70">
        <f t="shared" si="3"/>
        <v>38261.809999999969</v>
      </c>
      <c r="J147" s="7">
        <v>121</v>
      </c>
      <c r="K147" s="70">
        <f t="shared" si="10"/>
        <v>268.07</v>
      </c>
      <c r="L147" s="70">
        <f t="shared" si="11"/>
        <v>178.61</v>
      </c>
      <c r="M147" s="70">
        <f t="shared" si="6"/>
        <v>89.45999999999998</v>
      </c>
      <c r="N147" s="70">
        <f t="shared" si="7"/>
        <v>38880.430000000015</v>
      </c>
    </row>
    <row r="148" spans="1:14" ht="14.25" customHeight="1">
      <c r="A148" s="7">
        <v>122</v>
      </c>
      <c r="B148" s="70">
        <f t="shared" si="0"/>
        <v>275.61</v>
      </c>
      <c r="C148" s="70">
        <f t="shared" si="1"/>
        <v>153.05000000000001</v>
      </c>
      <c r="D148" s="70">
        <f t="shared" si="2"/>
        <v>122.56</v>
      </c>
      <c r="E148" s="70">
        <f t="shared" si="3"/>
        <v>38139.249999999971</v>
      </c>
      <c r="J148" s="7">
        <v>122</v>
      </c>
      <c r="K148" s="70">
        <f t="shared" si="10"/>
        <v>268.07</v>
      </c>
      <c r="L148" s="70">
        <f t="shared" si="11"/>
        <v>178.2</v>
      </c>
      <c r="M148" s="70">
        <f t="shared" si="6"/>
        <v>89.87</v>
      </c>
      <c r="N148" s="70">
        <f t="shared" si="7"/>
        <v>38790.560000000012</v>
      </c>
    </row>
    <row r="149" spans="1:14" ht="14.25" customHeight="1">
      <c r="A149" s="7">
        <v>123</v>
      </c>
      <c r="B149" s="70">
        <f t="shared" si="0"/>
        <v>275.61</v>
      </c>
      <c r="C149" s="70">
        <f t="shared" si="1"/>
        <v>152.56</v>
      </c>
      <c r="D149" s="70">
        <f t="shared" si="2"/>
        <v>123.05000000000001</v>
      </c>
      <c r="E149" s="70">
        <f t="shared" si="3"/>
        <v>38016.199999999968</v>
      </c>
      <c r="J149" s="7">
        <v>123</v>
      </c>
      <c r="K149" s="70">
        <f t="shared" si="10"/>
        <v>268.07</v>
      </c>
      <c r="L149" s="70">
        <f t="shared" si="11"/>
        <v>177.79</v>
      </c>
      <c r="M149" s="70">
        <f t="shared" si="6"/>
        <v>90.28</v>
      </c>
      <c r="N149" s="70">
        <f t="shared" si="7"/>
        <v>38700.280000000013</v>
      </c>
    </row>
    <row r="150" spans="1:14" ht="14.25" customHeight="1">
      <c r="A150" s="7">
        <v>124</v>
      </c>
      <c r="B150" s="70">
        <f t="shared" si="0"/>
        <v>275.61</v>
      </c>
      <c r="C150" s="70">
        <f t="shared" si="1"/>
        <v>152.06</v>
      </c>
      <c r="D150" s="70">
        <f t="shared" si="2"/>
        <v>123.55000000000001</v>
      </c>
      <c r="E150" s="70">
        <f t="shared" si="3"/>
        <v>37892.649999999965</v>
      </c>
      <c r="J150" s="7">
        <v>124</v>
      </c>
      <c r="K150" s="70">
        <f t="shared" si="10"/>
        <v>268.07</v>
      </c>
      <c r="L150" s="70">
        <f t="shared" si="11"/>
        <v>177.38</v>
      </c>
      <c r="M150" s="70">
        <f t="shared" si="6"/>
        <v>90.69</v>
      </c>
      <c r="N150" s="70">
        <f t="shared" si="7"/>
        <v>38609.590000000011</v>
      </c>
    </row>
    <row r="151" spans="1:14" ht="14.25" customHeight="1">
      <c r="A151" s="7">
        <v>125</v>
      </c>
      <c r="B151" s="70">
        <f t="shared" si="0"/>
        <v>275.61</v>
      </c>
      <c r="C151" s="70">
        <f t="shared" si="1"/>
        <v>151.57</v>
      </c>
      <c r="D151" s="70">
        <f t="shared" si="2"/>
        <v>124.04000000000002</v>
      </c>
      <c r="E151" s="70">
        <f t="shared" si="3"/>
        <v>37768.609999999964</v>
      </c>
      <c r="J151" s="7">
        <v>125</v>
      </c>
      <c r="K151" s="70">
        <f t="shared" si="10"/>
        <v>268.07</v>
      </c>
      <c r="L151" s="70">
        <f t="shared" si="11"/>
        <v>176.96</v>
      </c>
      <c r="M151" s="70">
        <f t="shared" si="6"/>
        <v>91.109999999999985</v>
      </c>
      <c r="N151" s="70">
        <f t="shared" si="7"/>
        <v>38518.48000000001</v>
      </c>
    </row>
    <row r="152" spans="1:14" ht="14.25" customHeight="1">
      <c r="A152" s="7">
        <v>126</v>
      </c>
      <c r="B152" s="70">
        <f t="shared" si="0"/>
        <v>275.61</v>
      </c>
      <c r="C152" s="70">
        <f t="shared" si="1"/>
        <v>151.07</v>
      </c>
      <c r="D152" s="70">
        <f t="shared" si="2"/>
        <v>124.54000000000002</v>
      </c>
      <c r="E152" s="70">
        <f t="shared" si="3"/>
        <v>37644.069999999963</v>
      </c>
      <c r="J152" s="7">
        <v>126</v>
      </c>
      <c r="K152" s="70">
        <f t="shared" si="10"/>
        <v>268.07</v>
      </c>
      <c r="L152" s="70">
        <f t="shared" si="11"/>
        <v>176.54</v>
      </c>
      <c r="M152" s="70">
        <f t="shared" si="6"/>
        <v>91.53</v>
      </c>
      <c r="N152" s="70">
        <f t="shared" si="7"/>
        <v>38426.950000000012</v>
      </c>
    </row>
    <row r="153" spans="1:14" ht="14.25" customHeight="1">
      <c r="A153" s="7">
        <v>127</v>
      </c>
      <c r="B153" s="70">
        <f t="shared" si="0"/>
        <v>275.61</v>
      </c>
      <c r="C153" s="70">
        <f t="shared" si="1"/>
        <v>150.58000000000001</v>
      </c>
      <c r="D153" s="70">
        <f t="shared" si="2"/>
        <v>125.03</v>
      </c>
      <c r="E153" s="70">
        <f t="shared" si="3"/>
        <v>37519.039999999964</v>
      </c>
      <c r="J153" s="7">
        <v>127</v>
      </c>
      <c r="K153" s="70">
        <f t="shared" si="10"/>
        <v>268.07</v>
      </c>
      <c r="L153" s="70">
        <f t="shared" si="11"/>
        <v>176.12</v>
      </c>
      <c r="M153" s="70">
        <f t="shared" si="6"/>
        <v>91.949999999999989</v>
      </c>
      <c r="N153" s="70">
        <f t="shared" si="7"/>
        <v>38335.000000000015</v>
      </c>
    </row>
    <row r="154" spans="1:14" ht="14.25" customHeight="1">
      <c r="A154" s="7">
        <v>128</v>
      </c>
      <c r="B154" s="70">
        <f t="shared" si="0"/>
        <v>275.61</v>
      </c>
      <c r="C154" s="70">
        <f t="shared" si="1"/>
        <v>150.08000000000001</v>
      </c>
      <c r="D154" s="70">
        <f t="shared" si="2"/>
        <v>125.53</v>
      </c>
      <c r="E154" s="70">
        <f t="shared" si="3"/>
        <v>37393.509999999966</v>
      </c>
      <c r="J154" s="7">
        <v>128</v>
      </c>
      <c r="K154" s="70">
        <f t="shared" si="10"/>
        <v>268.07</v>
      </c>
      <c r="L154" s="70">
        <f t="shared" si="11"/>
        <v>175.7</v>
      </c>
      <c r="M154" s="70">
        <f t="shared" si="6"/>
        <v>92.37</v>
      </c>
      <c r="N154" s="70">
        <f t="shared" si="7"/>
        <v>38242.630000000012</v>
      </c>
    </row>
    <row r="155" spans="1:14" ht="14.25" customHeight="1">
      <c r="A155" s="7">
        <v>129</v>
      </c>
      <c r="B155" s="70">
        <f t="shared" si="0"/>
        <v>275.61</v>
      </c>
      <c r="C155" s="70">
        <f t="shared" si="1"/>
        <v>149.57</v>
      </c>
      <c r="D155" s="70">
        <f t="shared" si="2"/>
        <v>126.04000000000002</v>
      </c>
      <c r="E155" s="70">
        <f t="shared" si="3"/>
        <v>37267.469999999965</v>
      </c>
      <c r="J155" s="7">
        <v>129</v>
      </c>
      <c r="K155" s="70">
        <f t="shared" si="10"/>
        <v>268.07</v>
      </c>
      <c r="L155" s="70">
        <f t="shared" si="11"/>
        <v>175.28</v>
      </c>
      <c r="M155" s="70">
        <f t="shared" si="6"/>
        <v>92.789999999999992</v>
      </c>
      <c r="N155" s="70">
        <f t="shared" si="7"/>
        <v>38149.840000000011</v>
      </c>
    </row>
    <row r="156" spans="1:14" ht="14.25" customHeight="1">
      <c r="A156" s="7">
        <v>130</v>
      </c>
      <c r="B156" s="70">
        <f t="shared" si="0"/>
        <v>275.61</v>
      </c>
      <c r="C156" s="70">
        <f t="shared" si="1"/>
        <v>149.07</v>
      </c>
      <c r="D156" s="70">
        <f t="shared" si="2"/>
        <v>126.54000000000002</v>
      </c>
      <c r="E156" s="70">
        <f t="shared" si="3"/>
        <v>37140.929999999964</v>
      </c>
      <c r="J156" s="7">
        <v>130</v>
      </c>
      <c r="K156" s="70">
        <f t="shared" si="10"/>
        <v>268.07</v>
      </c>
      <c r="L156" s="70">
        <f t="shared" si="11"/>
        <v>174.85</v>
      </c>
      <c r="M156" s="70">
        <f t="shared" si="6"/>
        <v>93.22</v>
      </c>
      <c r="N156" s="70">
        <f t="shared" si="7"/>
        <v>38056.62000000001</v>
      </c>
    </row>
    <row r="157" spans="1:14" ht="14.25" customHeight="1">
      <c r="A157" s="7">
        <v>131</v>
      </c>
      <c r="B157" s="70">
        <f t="shared" si="0"/>
        <v>275.61</v>
      </c>
      <c r="C157" s="70">
        <f t="shared" si="1"/>
        <v>148.56</v>
      </c>
      <c r="D157" s="70">
        <f t="shared" si="2"/>
        <v>127.05000000000001</v>
      </c>
      <c r="E157" s="70">
        <f t="shared" si="3"/>
        <v>37013.879999999961</v>
      </c>
      <c r="J157" s="7">
        <v>131</v>
      </c>
      <c r="K157" s="70">
        <f t="shared" si="10"/>
        <v>268.07</v>
      </c>
      <c r="L157" s="70">
        <f t="shared" si="11"/>
        <v>174.43</v>
      </c>
      <c r="M157" s="70">
        <f t="shared" si="6"/>
        <v>93.639999999999986</v>
      </c>
      <c r="N157" s="70">
        <f t="shared" si="7"/>
        <v>37962.98000000001</v>
      </c>
    </row>
    <row r="158" spans="1:14" ht="14.25" customHeight="1">
      <c r="A158" s="7">
        <v>132</v>
      </c>
      <c r="B158" s="70">
        <f t="shared" si="0"/>
        <v>275.61</v>
      </c>
      <c r="C158" s="70">
        <f t="shared" si="1"/>
        <v>148.06</v>
      </c>
      <c r="D158" s="70">
        <f t="shared" si="2"/>
        <v>127.55000000000001</v>
      </c>
      <c r="E158" s="70">
        <f t="shared" si="3"/>
        <v>36886.329999999958</v>
      </c>
      <c r="J158" s="7">
        <v>132</v>
      </c>
      <c r="K158" s="70">
        <f t="shared" si="10"/>
        <v>268.07</v>
      </c>
      <c r="L158" s="70">
        <f t="shared" si="11"/>
        <v>174</v>
      </c>
      <c r="M158" s="70">
        <f t="shared" si="6"/>
        <v>94.07</v>
      </c>
      <c r="N158" s="70">
        <f t="shared" si="7"/>
        <v>37868.910000000011</v>
      </c>
    </row>
    <row r="159" spans="1:14" ht="14.25" customHeight="1">
      <c r="A159" s="7">
        <v>133</v>
      </c>
      <c r="B159" s="70">
        <f t="shared" si="0"/>
        <v>275.61</v>
      </c>
      <c r="C159" s="70">
        <f t="shared" si="1"/>
        <v>147.55000000000001</v>
      </c>
      <c r="D159" s="70">
        <f t="shared" si="2"/>
        <v>128.06</v>
      </c>
      <c r="E159" s="70">
        <f t="shared" si="3"/>
        <v>36758.26999999996</v>
      </c>
      <c r="J159" s="7">
        <v>133</v>
      </c>
      <c r="K159" s="70">
        <f t="shared" si="10"/>
        <v>268.07</v>
      </c>
      <c r="L159" s="70">
        <f t="shared" si="11"/>
        <v>173.57</v>
      </c>
      <c r="M159" s="70">
        <f t="shared" si="6"/>
        <v>94.5</v>
      </c>
      <c r="N159" s="70">
        <f t="shared" si="7"/>
        <v>37774.410000000011</v>
      </c>
    </row>
    <row r="160" spans="1:14" ht="14.25" customHeight="1">
      <c r="A160" s="7">
        <v>134</v>
      </c>
      <c r="B160" s="70">
        <f t="shared" si="0"/>
        <v>275.61</v>
      </c>
      <c r="C160" s="70">
        <f t="shared" si="1"/>
        <v>147.03</v>
      </c>
      <c r="D160" s="70">
        <f t="shared" si="2"/>
        <v>128.58000000000001</v>
      </c>
      <c r="E160" s="70">
        <f t="shared" si="3"/>
        <v>36629.689999999959</v>
      </c>
      <c r="J160" s="7">
        <v>134</v>
      </c>
      <c r="K160" s="70">
        <f t="shared" si="10"/>
        <v>268.07</v>
      </c>
      <c r="L160" s="70">
        <f t="shared" si="11"/>
        <v>173.13</v>
      </c>
      <c r="M160" s="70">
        <f t="shared" si="6"/>
        <v>94.94</v>
      </c>
      <c r="N160" s="70">
        <f t="shared" si="7"/>
        <v>37679.470000000008</v>
      </c>
    </row>
    <row r="161" spans="1:14" ht="14.25" customHeight="1">
      <c r="A161" s="7">
        <v>135</v>
      </c>
      <c r="B161" s="70">
        <f t="shared" si="0"/>
        <v>275.61</v>
      </c>
      <c r="C161" s="70">
        <f t="shared" si="1"/>
        <v>146.52000000000001</v>
      </c>
      <c r="D161" s="70">
        <f t="shared" si="2"/>
        <v>129.09</v>
      </c>
      <c r="E161" s="70">
        <f t="shared" si="3"/>
        <v>36500.599999999962</v>
      </c>
      <c r="J161" s="7">
        <v>135</v>
      </c>
      <c r="K161" s="70">
        <f t="shared" si="10"/>
        <v>268.07</v>
      </c>
      <c r="L161" s="70">
        <f t="shared" si="11"/>
        <v>172.7</v>
      </c>
      <c r="M161" s="70">
        <f t="shared" si="6"/>
        <v>95.37</v>
      </c>
      <c r="N161" s="70">
        <f t="shared" si="7"/>
        <v>37584.100000000006</v>
      </c>
    </row>
    <row r="162" spans="1:14" ht="14.25" customHeight="1">
      <c r="A162" s="7">
        <v>136</v>
      </c>
      <c r="B162" s="70">
        <f t="shared" si="0"/>
        <v>275.61</v>
      </c>
      <c r="C162" s="70">
        <f t="shared" si="1"/>
        <v>146</v>
      </c>
      <c r="D162" s="70">
        <f t="shared" si="2"/>
        <v>129.61000000000001</v>
      </c>
      <c r="E162" s="70">
        <f t="shared" si="3"/>
        <v>36370.989999999962</v>
      </c>
      <c r="J162" s="7">
        <v>136</v>
      </c>
      <c r="K162" s="70">
        <f t="shared" si="10"/>
        <v>268.07</v>
      </c>
      <c r="L162" s="70">
        <f t="shared" si="11"/>
        <v>172.26</v>
      </c>
      <c r="M162" s="70">
        <f t="shared" si="6"/>
        <v>95.81</v>
      </c>
      <c r="N162" s="70">
        <f t="shared" si="7"/>
        <v>37488.290000000008</v>
      </c>
    </row>
    <row r="163" spans="1:14" ht="14.25" customHeight="1">
      <c r="A163" s="7">
        <v>137</v>
      </c>
      <c r="B163" s="70">
        <f t="shared" si="0"/>
        <v>275.61</v>
      </c>
      <c r="C163" s="70">
        <f t="shared" si="1"/>
        <v>145.47999999999999</v>
      </c>
      <c r="D163" s="70">
        <f t="shared" si="2"/>
        <v>130.13000000000002</v>
      </c>
      <c r="E163" s="70">
        <f t="shared" si="3"/>
        <v>36240.859999999964</v>
      </c>
      <c r="J163" s="7">
        <v>137</v>
      </c>
      <c r="K163" s="70">
        <f t="shared" si="10"/>
        <v>268.07</v>
      </c>
      <c r="L163" s="70">
        <f t="shared" si="11"/>
        <v>171.82</v>
      </c>
      <c r="M163" s="70">
        <f t="shared" si="6"/>
        <v>96.25</v>
      </c>
      <c r="N163" s="70">
        <f t="shared" si="7"/>
        <v>37392.040000000008</v>
      </c>
    </row>
    <row r="164" spans="1:14" ht="14.25" customHeight="1">
      <c r="A164" s="7">
        <v>138</v>
      </c>
      <c r="B164" s="70">
        <f t="shared" si="0"/>
        <v>275.61</v>
      </c>
      <c r="C164" s="70">
        <f t="shared" si="1"/>
        <v>144.96</v>
      </c>
      <c r="D164" s="70">
        <f t="shared" si="2"/>
        <v>130.65</v>
      </c>
      <c r="E164" s="70">
        <f t="shared" si="3"/>
        <v>36110.209999999963</v>
      </c>
      <c r="J164" s="7">
        <v>138</v>
      </c>
      <c r="K164" s="70">
        <f t="shared" si="10"/>
        <v>268.07</v>
      </c>
      <c r="L164" s="70">
        <f t="shared" si="11"/>
        <v>171.38</v>
      </c>
      <c r="M164" s="70">
        <f t="shared" si="6"/>
        <v>96.69</v>
      </c>
      <c r="N164" s="70">
        <f t="shared" si="7"/>
        <v>37295.350000000006</v>
      </c>
    </row>
    <row r="165" spans="1:14" ht="14.25" customHeight="1">
      <c r="A165" s="7">
        <v>139</v>
      </c>
      <c r="B165" s="70">
        <f t="shared" si="0"/>
        <v>275.61</v>
      </c>
      <c r="C165" s="70">
        <f t="shared" si="1"/>
        <v>144.44</v>
      </c>
      <c r="D165" s="70">
        <f t="shared" si="2"/>
        <v>131.17000000000002</v>
      </c>
      <c r="E165" s="70">
        <f t="shared" si="3"/>
        <v>35979.039999999964</v>
      </c>
      <c r="J165" s="7">
        <v>139</v>
      </c>
      <c r="K165" s="70">
        <f t="shared" si="10"/>
        <v>268.07</v>
      </c>
      <c r="L165" s="70">
        <f t="shared" si="11"/>
        <v>170.94</v>
      </c>
      <c r="M165" s="70">
        <f t="shared" si="6"/>
        <v>97.13</v>
      </c>
      <c r="N165" s="70">
        <f t="shared" si="7"/>
        <v>37198.220000000008</v>
      </c>
    </row>
    <row r="166" spans="1:14" ht="14.25" customHeight="1">
      <c r="A166" s="7">
        <v>140</v>
      </c>
      <c r="B166" s="70">
        <f t="shared" si="0"/>
        <v>275.61</v>
      </c>
      <c r="C166" s="70">
        <f t="shared" si="1"/>
        <v>143.91999999999999</v>
      </c>
      <c r="D166" s="70">
        <f t="shared" si="2"/>
        <v>131.69000000000003</v>
      </c>
      <c r="E166" s="70">
        <f t="shared" si="3"/>
        <v>35847.349999999962</v>
      </c>
      <c r="J166" s="7">
        <v>140</v>
      </c>
      <c r="K166" s="70">
        <f t="shared" si="10"/>
        <v>268.07</v>
      </c>
      <c r="L166" s="70">
        <f t="shared" si="11"/>
        <v>170.49</v>
      </c>
      <c r="M166" s="70">
        <f t="shared" si="6"/>
        <v>97.579999999999984</v>
      </c>
      <c r="N166" s="70">
        <f t="shared" si="7"/>
        <v>37100.640000000007</v>
      </c>
    </row>
    <row r="167" spans="1:14" ht="14.25" customHeight="1">
      <c r="A167" s="7">
        <v>141</v>
      </c>
      <c r="B167" s="70">
        <f t="shared" si="0"/>
        <v>275.61</v>
      </c>
      <c r="C167" s="70">
        <f t="shared" si="1"/>
        <v>143.38999999999999</v>
      </c>
      <c r="D167" s="70">
        <f t="shared" si="2"/>
        <v>132.22000000000003</v>
      </c>
      <c r="E167" s="70">
        <f t="shared" si="3"/>
        <v>35715.129999999961</v>
      </c>
      <c r="J167" s="7">
        <v>141</v>
      </c>
      <c r="K167" s="70">
        <f t="shared" si="10"/>
        <v>268.07</v>
      </c>
      <c r="L167" s="70">
        <f t="shared" si="11"/>
        <v>170.04</v>
      </c>
      <c r="M167" s="70">
        <f t="shared" si="6"/>
        <v>98.03</v>
      </c>
      <c r="N167" s="70">
        <f t="shared" si="7"/>
        <v>37002.610000000008</v>
      </c>
    </row>
    <row r="168" spans="1:14" ht="14.25" customHeight="1">
      <c r="A168" s="7">
        <v>142</v>
      </c>
      <c r="B168" s="70">
        <f t="shared" si="0"/>
        <v>275.61</v>
      </c>
      <c r="C168" s="70">
        <f t="shared" si="1"/>
        <v>142.86000000000001</v>
      </c>
      <c r="D168" s="70">
        <f t="shared" si="2"/>
        <v>132.75</v>
      </c>
      <c r="E168" s="70">
        <f t="shared" si="3"/>
        <v>35582.379999999961</v>
      </c>
      <c r="J168" s="7">
        <v>142</v>
      </c>
      <c r="K168" s="70">
        <f t="shared" si="10"/>
        <v>268.07</v>
      </c>
      <c r="L168" s="70">
        <f t="shared" si="11"/>
        <v>169.6</v>
      </c>
      <c r="M168" s="70">
        <f t="shared" si="6"/>
        <v>98.47</v>
      </c>
      <c r="N168" s="70">
        <f t="shared" si="7"/>
        <v>36904.140000000007</v>
      </c>
    </row>
    <row r="169" spans="1:14" ht="14.25" customHeight="1">
      <c r="A169" s="7">
        <v>143</v>
      </c>
      <c r="B169" s="70">
        <f t="shared" si="0"/>
        <v>275.61</v>
      </c>
      <c r="C169" s="70">
        <f t="shared" si="1"/>
        <v>142.33000000000001</v>
      </c>
      <c r="D169" s="70">
        <f t="shared" si="2"/>
        <v>133.28</v>
      </c>
      <c r="E169" s="70">
        <f t="shared" si="3"/>
        <v>35449.099999999962</v>
      </c>
      <c r="J169" s="7">
        <v>143</v>
      </c>
      <c r="K169" s="70">
        <f t="shared" si="10"/>
        <v>268.07</v>
      </c>
      <c r="L169" s="70">
        <f t="shared" si="11"/>
        <v>169.14</v>
      </c>
      <c r="M169" s="70">
        <f t="shared" si="6"/>
        <v>98.93</v>
      </c>
      <c r="N169" s="70">
        <f t="shared" si="7"/>
        <v>36805.210000000006</v>
      </c>
    </row>
    <row r="170" spans="1:14" ht="14.25" customHeight="1">
      <c r="A170" s="7">
        <v>144</v>
      </c>
      <c r="B170" s="70">
        <f t="shared" si="0"/>
        <v>275.61</v>
      </c>
      <c r="C170" s="70">
        <f t="shared" si="1"/>
        <v>141.80000000000001</v>
      </c>
      <c r="D170" s="70">
        <f t="shared" si="2"/>
        <v>133.81</v>
      </c>
      <c r="E170" s="70">
        <f t="shared" si="3"/>
        <v>35315.289999999964</v>
      </c>
      <c r="J170" s="7">
        <v>144</v>
      </c>
      <c r="K170" s="70">
        <f t="shared" si="10"/>
        <v>268.07</v>
      </c>
      <c r="L170" s="70">
        <f t="shared" si="11"/>
        <v>168.69</v>
      </c>
      <c r="M170" s="70">
        <f t="shared" si="6"/>
        <v>99.38</v>
      </c>
      <c r="N170" s="70">
        <f t="shared" si="7"/>
        <v>36705.830000000009</v>
      </c>
    </row>
    <row r="171" spans="1:14" ht="14.25" customHeight="1">
      <c r="A171" s="7">
        <v>145</v>
      </c>
      <c r="B171" s="70">
        <f t="shared" si="0"/>
        <v>275.61</v>
      </c>
      <c r="C171" s="70">
        <f t="shared" si="1"/>
        <v>141.26</v>
      </c>
      <c r="D171" s="70">
        <f t="shared" si="2"/>
        <v>134.35000000000002</v>
      </c>
      <c r="E171" s="70">
        <f t="shared" si="3"/>
        <v>35180.939999999966</v>
      </c>
      <c r="J171" s="7">
        <v>145</v>
      </c>
      <c r="K171" s="70">
        <f t="shared" si="10"/>
        <v>268.07</v>
      </c>
      <c r="L171" s="70">
        <f t="shared" si="11"/>
        <v>168.24</v>
      </c>
      <c r="M171" s="70">
        <f t="shared" si="6"/>
        <v>99.829999999999984</v>
      </c>
      <c r="N171" s="70">
        <f t="shared" si="7"/>
        <v>36606.000000000007</v>
      </c>
    </row>
    <row r="172" spans="1:14" ht="14.25" customHeight="1">
      <c r="A172" s="7">
        <v>146</v>
      </c>
      <c r="B172" s="70">
        <f t="shared" si="0"/>
        <v>275.61</v>
      </c>
      <c r="C172" s="70">
        <f t="shared" si="1"/>
        <v>140.72</v>
      </c>
      <c r="D172" s="70">
        <f t="shared" si="2"/>
        <v>134.89000000000001</v>
      </c>
      <c r="E172" s="70">
        <f t="shared" si="3"/>
        <v>35046.049999999967</v>
      </c>
      <c r="J172" s="7">
        <v>146</v>
      </c>
      <c r="K172" s="70">
        <f t="shared" si="10"/>
        <v>268.07</v>
      </c>
      <c r="L172" s="70">
        <f t="shared" si="11"/>
        <v>167.78</v>
      </c>
      <c r="M172" s="70">
        <f t="shared" si="6"/>
        <v>100.28999999999999</v>
      </c>
      <c r="N172" s="70">
        <f t="shared" si="7"/>
        <v>36505.710000000006</v>
      </c>
    </row>
    <row r="173" spans="1:14" ht="14.25" customHeight="1">
      <c r="A173" s="7">
        <v>147</v>
      </c>
      <c r="B173" s="70">
        <f t="shared" si="0"/>
        <v>275.61</v>
      </c>
      <c r="C173" s="70">
        <f t="shared" si="1"/>
        <v>140.18</v>
      </c>
      <c r="D173" s="70">
        <f t="shared" si="2"/>
        <v>135.43</v>
      </c>
      <c r="E173" s="70">
        <f t="shared" si="3"/>
        <v>34910.619999999966</v>
      </c>
      <c r="J173" s="7">
        <v>147</v>
      </c>
      <c r="K173" s="70">
        <f t="shared" si="10"/>
        <v>268.07</v>
      </c>
      <c r="L173" s="70">
        <f t="shared" si="11"/>
        <v>167.32</v>
      </c>
      <c r="M173" s="70">
        <f t="shared" si="6"/>
        <v>100.75</v>
      </c>
      <c r="N173" s="70">
        <f t="shared" si="7"/>
        <v>36404.960000000006</v>
      </c>
    </row>
    <row r="174" spans="1:14" ht="14.25" customHeight="1">
      <c r="A174" s="7">
        <v>148</v>
      </c>
      <c r="B174" s="70">
        <f t="shared" si="0"/>
        <v>275.61</v>
      </c>
      <c r="C174" s="70">
        <f t="shared" si="1"/>
        <v>139.63999999999999</v>
      </c>
      <c r="D174" s="70">
        <f t="shared" si="2"/>
        <v>135.97000000000003</v>
      </c>
      <c r="E174" s="70">
        <f t="shared" si="3"/>
        <v>34774.649999999965</v>
      </c>
      <c r="J174" s="7">
        <v>148</v>
      </c>
      <c r="K174" s="70">
        <f t="shared" si="10"/>
        <v>268.07</v>
      </c>
      <c r="L174" s="70">
        <f t="shared" si="11"/>
        <v>166.86</v>
      </c>
      <c r="M174" s="70">
        <f t="shared" si="6"/>
        <v>101.20999999999998</v>
      </c>
      <c r="N174" s="70">
        <f t="shared" si="7"/>
        <v>36303.750000000007</v>
      </c>
    </row>
    <row r="175" spans="1:14" ht="14.25" customHeight="1">
      <c r="A175" s="7">
        <v>149</v>
      </c>
      <c r="B175" s="70">
        <f t="shared" si="0"/>
        <v>275.61</v>
      </c>
      <c r="C175" s="70">
        <f t="shared" si="1"/>
        <v>139.1</v>
      </c>
      <c r="D175" s="70">
        <f t="shared" si="2"/>
        <v>136.51000000000002</v>
      </c>
      <c r="E175" s="70">
        <f t="shared" si="3"/>
        <v>34638.139999999963</v>
      </c>
      <c r="J175" s="7">
        <v>149</v>
      </c>
      <c r="K175" s="70">
        <f t="shared" si="10"/>
        <v>268.07</v>
      </c>
      <c r="L175" s="70">
        <f t="shared" si="11"/>
        <v>166.39</v>
      </c>
      <c r="M175" s="70">
        <f t="shared" si="6"/>
        <v>101.68</v>
      </c>
      <c r="N175" s="70">
        <f t="shared" si="7"/>
        <v>36202.070000000007</v>
      </c>
    </row>
    <row r="176" spans="1:14" ht="14.25" customHeight="1">
      <c r="A176" s="7">
        <v>150</v>
      </c>
      <c r="B176" s="70">
        <f t="shared" si="0"/>
        <v>275.61</v>
      </c>
      <c r="C176" s="70">
        <f t="shared" si="1"/>
        <v>138.55000000000001</v>
      </c>
      <c r="D176" s="70">
        <f t="shared" si="2"/>
        <v>137.06</v>
      </c>
      <c r="E176" s="70">
        <f t="shared" si="3"/>
        <v>34501.079999999965</v>
      </c>
      <c r="J176" s="7">
        <v>150</v>
      </c>
      <c r="K176" s="70">
        <f t="shared" si="10"/>
        <v>268.07</v>
      </c>
      <c r="L176" s="70">
        <f t="shared" si="11"/>
        <v>165.93</v>
      </c>
      <c r="M176" s="70">
        <f t="shared" si="6"/>
        <v>102.13999999999999</v>
      </c>
      <c r="N176" s="70">
        <f t="shared" si="7"/>
        <v>36099.930000000008</v>
      </c>
    </row>
    <row r="177" spans="1:14" ht="14.25" customHeight="1">
      <c r="A177" s="7">
        <v>151</v>
      </c>
      <c r="B177" s="70">
        <f t="shared" si="0"/>
        <v>275.61</v>
      </c>
      <c r="C177" s="70">
        <f t="shared" si="1"/>
        <v>138</v>
      </c>
      <c r="D177" s="70">
        <f t="shared" si="2"/>
        <v>137.61000000000001</v>
      </c>
      <c r="E177" s="70">
        <f t="shared" si="3"/>
        <v>34363.469999999965</v>
      </c>
      <c r="J177" s="7">
        <v>151</v>
      </c>
      <c r="K177" s="70">
        <f t="shared" si="10"/>
        <v>268.07</v>
      </c>
      <c r="L177" s="70">
        <f t="shared" si="11"/>
        <v>165.46</v>
      </c>
      <c r="M177" s="70">
        <f t="shared" si="6"/>
        <v>102.60999999999999</v>
      </c>
      <c r="N177" s="70">
        <f t="shared" si="7"/>
        <v>35997.320000000007</v>
      </c>
    </row>
    <row r="178" spans="1:14" ht="14.25" customHeight="1">
      <c r="A178" s="7">
        <v>152</v>
      </c>
      <c r="B178" s="70">
        <f t="shared" si="0"/>
        <v>275.61</v>
      </c>
      <c r="C178" s="70">
        <f t="shared" si="1"/>
        <v>137.44999999999999</v>
      </c>
      <c r="D178" s="70">
        <f t="shared" si="2"/>
        <v>138.16000000000003</v>
      </c>
      <c r="E178" s="70">
        <f t="shared" si="3"/>
        <v>34225.309999999961</v>
      </c>
      <c r="J178" s="7">
        <v>152</v>
      </c>
      <c r="K178" s="70">
        <f t="shared" si="10"/>
        <v>268.07</v>
      </c>
      <c r="L178" s="70">
        <f t="shared" si="11"/>
        <v>164.99</v>
      </c>
      <c r="M178" s="70">
        <f t="shared" si="6"/>
        <v>103.07999999999998</v>
      </c>
      <c r="N178" s="70">
        <f t="shared" si="7"/>
        <v>35894.240000000005</v>
      </c>
    </row>
    <row r="179" spans="1:14" ht="14.25" customHeight="1">
      <c r="A179" s="7">
        <v>153</v>
      </c>
      <c r="B179" s="70">
        <f t="shared" si="0"/>
        <v>275.61</v>
      </c>
      <c r="C179" s="70">
        <f t="shared" si="1"/>
        <v>136.9</v>
      </c>
      <c r="D179" s="70">
        <f t="shared" si="2"/>
        <v>138.71</v>
      </c>
      <c r="E179" s="70">
        <f t="shared" si="3"/>
        <v>34086.599999999962</v>
      </c>
      <c r="J179" s="7">
        <v>153</v>
      </c>
      <c r="K179" s="70">
        <f t="shared" si="10"/>
        <v>268.07</v>
      </c>
      <c r="L179" s="70">
        <f t="shared" si="11"/>
        <v>164.52</v>
      </c>
      <c r="M179" s="70">
        <f t="shared" si="6"/>
        <v>103.54999999999998</v>
      </c>
      <c r="N179" s="70">
        <f t="shared" si="7"/>
        <v>35790.69</v>
      </c>
    </row>
    <row r="180" spans="1:14" ht="14.25" customHeight="1">
      <c r="A180" s="7">
        <v>154</v>
      </c>
      <c r="B180" s="70">
        <f t="shared" si="0"/>
        <v>275.61</v>
      </c>
      <c r="C180" s="70">
        <f t="shared" si="1"/>
        <v>136.35</v>
      </c>
      <c r="D180" s="70">
        <f t="shared" si="2"/>
        <v>139.26000000000002</v>
      </c>
      <c r="E180" s="70">
        <f t="shared" si="3"/>
        <v>33947.33999999996</v>
      </c>
      <c r="J180" s="7">
        <v>154</v>
      </c>
      <c r="K180" s="70">
        <f t="shared" si="10"/>
        <v>268.07</v>
      </c>
      <c r="L180" s="70">
        <f t="shared" si="11"/>
        <v>164.04</v>
      </c>
      <c r="M180" s="70">
        <f t="shared" si="6"/>
        <v>104.03</v>
      </c>
      <c r="N180" s="70">
        <f t="shared" si="7"/>
        <v>35686.660000000003</v>
      </c>
    </row>
    <row r="181" spans="1:14" ht="14.25" customHeight="1">
      <c r="A181" s="7">
        <v>155</v>
      </c>
      <c r="B181" s="70">
        <f t="shared" si="0"/>
        <v>275.61</v>
      </c>
      <c r="C181" s="70">
        <f t="shared" si="1"/>
        <v>135.79</v>
      </c>
      <c r="D181" s="70">
        <f t="shared" si="2"/>
        <v>139.82000000000002</v>
      </c>
      <c r="E181" s="70">
        <f t="shared" si="3"/>
        <v>33807.51999999996</v>
      </c>
      <c r="J181" s="7">
        <v>155</v>
      </c>
      <c r="K181" s="70">
        <f t="shared" si="10"/>
        <v>268.07</v>
      </c>
      <c r="L181" s="70">
        <f t="shared" si="11"/>
        <v>163.56</v>
      </c>
      <c r="M181" s="70">
        <f t="shared" si="6"/>
        <v>104.50999999999999</v>
      </c>
      <c r="N181" s="70">
        <f t="shared" si="7"/>
        <v>35582.15</v>
      </c>
    </row>
    <row r="182" spans="1:14" ht="14.25" customHeight="1">
      <c r="A182" s="7">
        <v>156</v>
      </c>
      <c r="B182" s="70">
        <f t="shared" si="0"/>
        <v>275.61</v>
      </c>
      <c r="C182" s="70">
        <f t="shared" si="1"/>
        <v>135.22999999999999</v>
      </c>
      <c r="D182" s="70">
        <f t="shared" si="2"/>
        <v>140.38000000000002</v>
      </c>
      <c r="E182" s="70">
        <f t="shared" si="3"/>
        <v>33667.139999999963</v>
      </c>
      <c r="J182" s="7">
        <v>156</v>
      </c>
      <c r="K182" s="70">
        <f t="shared" si="10"/>
        <v>268.07</v>
      </c>
      <c r="L182" s="70">
        <f t="shared" si="11"/>
        <v>163.08000000000001</v>
      </c>
      <c r="M182" s="70">
        <f t="shared" si="6"/>
        <v>104.98999999999998</v>
      </c>
      <c r="N182" s="70">
        <f t="shared" si="7"/>
        <v>35477.160000000003</v>
      </c>
    </row>
    <row r="183" spans="1:14" ht="14.25" customHeight="1">
      <c r="A183" s="7">
        <v>157</v>
      </c>
      <c r="B183" s="70">
        <f t="shared" si="0"/>
        <v>275.61</v>
      </c>
      <c r="C183" s="70">
        <f t="shared" si="1"/>
        <v>134.66999999999999</v>
      </c>
      <c r="D183" s="70">
        <f t="shared" si="2"/>
        <v>140.94000000000003</v>
      </c>
      <c r="E183" s="70">
        <f t="shared" si="3"/>
        <v>33526.199999999961</v>
      </c>
      <c r="J183" s="7">
        <v>157</v>
      </c>
      <c r="K183" s="70">
        <f t="shared" si="10"/>
        <v>268.07</v>
      </c>
      <c r="L183" s="70">
        <f t="shared" si="11"/>
        <v>162.6</v>
      </c>
      <c r="M183" s="70">
        <f t="shared" si="6"/>
        <v>105.47</v>
      </c>
      <c r="N183" s="70">
        <f t="shared" si="7"/>
        <v>35371.69</v>
      </c>
    </row>
    <row r="184" spans="1:14" ht="14.25" customHeight="1">
      <c r="A184" s="7">
        <v>158</v>
      </c>
      <c r="B184" s="70">
        <f t="shared" si="0"/>
        <v>275.61</v>
      </c>
      <c r="C184" s="70">
        <f t="shared" si="1"/>
        <v>134.1</v>
      </c>
      <c r="D184" s="70">
        <f t="shared" si="2"/>
        <v>141.51000000000002</v>
      </c>
      <c r="E184" s="70">
        <f t="shared" si="3"/>
        <v>33384.689999999959</v>
      </c>
      <c r="J184" s="7">
        <v>158</v>
      </c>
      <c r="K184" s="70">
        <f t="shared" si="10"/>
        <v>268.07</v>
      </c>
      <c r="L184" s="70">
        <f t="shared" si="11"/>
        <v>162.12</v>
      </c>
      <c r="M184" s="70">
        <f t="shared" si="6"/>
        <v>105.94999999999999</v>
      </c>
      <c r="N184" s="70">
        <f t="shared" si="7"/>
        <v>35265.740000000005</v>
      </c>
    </row>
    <row r="185" spans="1:14" ht="14.25" customHeight="1">
      <c r="A185" s="7">
        <v>159</v>
      </c>
      <c r="B185" s="70">
        <f t="shared" si="0"/>
        <v>275.61</v>
      </c>
      <c r="C185" s="70">
        <f t="shared" si="1"/>
        <v>133.54</v>
      </c>
      <c r="D185" s="70">
        <f t="shared" si="2"/>
        <v>142.07000000000002</v>
      </c>
      <c r="E185" s="70">
        <f t="shared" si="3"/>
        <v>33242.619999999959</v>
      </c>
      <c r="J185" s="7">
        <v>159</v>
      </c>
      <c r="K185" s="70">
        <f t="shared" si="10"/>
        <v>268.07</v>
      </c>
      <c r="L185" s="70">
        <f t="shared" si="11"/>
        <v>161.63</v>
      </c>
      <c r="M185" s="70">
        <f t="shared" si="6"/>
        <v>106.44</v>
      </c>
      <c r="N185" s="70">
        <f t="shared" si="7"/>
        <v>35159.300000000003</v>
      </c>
    </row>
    <row r="186" spans="1:14" ht="14.25" customHeight="1">
      <c r="A186" s="7">
        <v>160</v>
      </c>
      <c r="B186" s="70">
        <f t="shared" si="0"/>
        <v>275.61</v>
      </c>
      <c r="C186" s="70">
        <f t="shared" si="1"/>
        <v>132.97</v>
      </c>
      <c r="D186" s="70">
        <f t="shared" si="2"/>
        <v>142.64000000000001</v>
      </c>
      <c r="E186" s="70">
        <f t="shared" si="3"/>
        <v>33099.97999999996</v>
      </c>
      <c r="J186" s="7">
        <v>160</v>
      </c>
      <c r="K186" s="70">
        <f t="shared" si="10"/>
        <v>268.07</v>
      </c>
      <c r="L186" s="70">
        <f t="shared" si="11"/>
        <v>161.15</v>
      </c>
      <c r="M186" s="70">
        <f t="shared" si="6"/>
        <v>106.91999999999999</v>
      </c>
      <c r="N186" s="70">
        <f t="shared" si="7"/>
        <v>35052.380000000005</v>
      </c>
    </row>
    <row r="187" spans="1:14" ht="14.25" customHeight="1">
      <c r="A187" s="7">
        <v>161</v>
      </c>
      <c r="B187" s="70">
        <f t="shared" si="0"/>
        <v>275.61</v>
      </c>
      <c r="C187" s="70">
        <f t="shared" si="1"/>
        <v>132.4</v>
      </c>
      <c r="D187" s="70">
        <f t="shared" si="2"/>
        <v>143.21</v>
      </c>
      <c r="E187" s="70">
        <f t="shared" si="3"/>
        <v>32956.76999999996</v>
      </c>
      <c r="J187" s="7">
        <v>161</v>
      </c>
      <c r="K187" s="70">
        <f t="shared" si="10"/>
        <v>268.07</v>
      </c>
      <c r="L187" s="70">
        <f t="shared" si="11"/>
        <v>160.66</v>
      </c>
      <c r="M187" s="70">
        <f t="shared" si="6"/>
        <v>107.41</v>
      </c>
      <c r="N187" s="70">
        <f t="shared" si="7"/>
        <v>34944.97</v>
      </c>
    </row>
    <row r="188" spans="1:14" ht="14.25" customHeight="1">
      <c r="A188" s="7">
        <v>162</v>
      </c>
      <c r="B188" s="70">
        <f t="shared" si="0"/>
        <v>275.61</v>
      </c>
      <c r="C188" s="70">
        <f t="shared" si="1"/>
        <v>131.83000000000001</v>
      </c>
      <c r="D188" s="70">
        <f t="shared" si="2"/>
        <v>143.78</v>
      </c>
      <c r="E188" s="70">
        <f t="shared" si="3"/>
        <v>32812.989999999962</v>
      </c>
      <c r="J188" s="7">
        <v>162</v>
      </c>
      <c r="K188" s="70">
        <f t="shared" si="10"/>
        <v>268.07</v>
      </c>
      <c r="L188" s="70">
        <f t="shared" si="11"/>
        <v>160.16</v>
      </c>
      <c r="M188" s="70">
        <f t="shared" si="6"/>
        <v>107.91</v>
      </c>
      <c r="N188" s="70">
        <f t="shared" si="7"/>
        <v>34837.06</v>
      </c>
    </row>
    <row r="189" spans="1:14" ht="14.25" customHeight="1">
      <c r="A189" s="7">
        <v>163</v>
      </c>
      <c r="B189" s="70">
        <f t="shared" si="0"/>
        <v>275.61</v>
      </c>
      <c r="C189" s="70">
        <f t="shared" si="1"/>
        <v>131.25</v>
      </c>
      <c r="D189" s="70">
        <f t="shared" si="2"/>
        <v>144.36000000000001</v>
      </c>
      <c r="E189" s="70">
        <f t="shared" si="3"/>
        <v>32668.629999999961</v>
      </c>
      <c r="J189" s="7">
        <v>163</v>
      </c>
      <c r="K189" s="70">
        <f t="shared" si="10"/>
        <v>268.07</v>
      </c>
      <c r="L189" s="70">
        <f t="shared" si="11"/>
        <v>159.66999999999999</v>
      </c>
      <c r="M189" s="70">
        <f t="shared" si="6"/>
        <v>108.4</v>
      </c>
      <c r="N189" s="70">
        <f t="shared" si="7"/>
        <v>34728.659999999996</v>
      </c>
    </row>
    <row r="190" spans="1:14" ht="14.25" customHeight="1">
      <c r="A190" s="7">
        <v>164</v>
      </c>
      <c r="B190" s="70">
        <f t="shared" si="0"/>
        <v>275.61</v>
      </c>
      <c r="C190" s="70">
        <f t="shared" si="1"/>
        <v>130.66999999999999</v>
      </c>
      <c r="D190" s="70">
        <f t="shared" si="2"/>
        <v>144.94000000000003</v>
      </c>
      <c r="E190" s="70">
        <f t="shared" si="3"/>
        <v>32523.689999999962</v>
      </c>
      <c r="J190" s="7">
        <v>164</v>
      </c>
      <c r="K190" s="70">
        <f t="shared" si="10"/>
        <v>268.07</v>
      </c>
      <c r="L190" s="70">
        <f t="shared" si="11"/>
        <v>159.16999999999999</v>
      </c>
      <c r="M190" s="70">
        <f t="shared" si="6"/>
        <v>108.9</v>
      </c>
      <c r="N190" s="70">
        <f t="shared" si="7"/>
        <v>34619.759999999995</v>
      </c>
    </row>
    <row r="191" spans="1:14" ht="14.25" customHeight="1">
      <c r="A191" s="7">
        <v>165</v>
      </c>
      <c r="B191" s="70">
        <f t="shared" si="0"/>
        <v>275.61</v>
      </c>
      <c r="C191" s="70">
        <f t="shared" si="1"/>
        <v>130.09</v>
      </c>
      <c r="D191" s="70">
        <f t="shared" si="2"/>
        <v>145.52000000000001</v>
      </c>
      <c r="E191" s="70">
        <f t="shared" si="3"/>
        <v>32378.169999999962</v>
      </c>
      <c r="J191" s="7">
        <v>165</v>
      </c>
      <c r="K191" s="70">
        <f t="shared" si="10"/>
        <v>268.07</v>
      </c>
      <c r="L191" s="70">
        <f t="shared" si="11"/>
        <v>158.66999999999999</v>
      </c>
      <c r="M191" s="70">
        <f t="shared" si="6"/>
        <v>109.4</v>
      </c>
      <c r="N191" s="70">
        <f t="shared" si="7"/>
        <v>34510.359999999993</v>
      </c>
    </row>
    <row r="192" spans="1:14" ht="14.25" customHeight="1">
      <c r="A192" s="7">
        <v>166</v>
      </c>
      <c r="B192" s="70">
        <f t="shared" si="0"/>
        <v>275.61</v>
      </c>
      <c r="C192" s="70">
        <f t="shared" si="1"/>
        <v>129.51</v>
      </c>
      <c r="D192" s="70">
        <f t="shared" si="2"/>
        <v>146.10000000000002</v>
      </c>
      <c r="E192" s="70">
        <f t="shared" si="3"/>
        <v>32232.069999999963</v>
      </c>
      <c r="J192" s="7">
        <v>166</v>
      </c>
      <c r="K192" s="70">
        <f t="shared" si="10"/>
        <v>268.07</v>
      </c>
      <c r="L192" s="70">
        <f t="shared" si="11"/>
        <v>158.16999999999999</v>
      </c>
      <c r="M192" s="70">
        <f t="shared" si="6"/>
        <v>109.9</v>
      </c>
      <c r="N192" s="70">
        <f t="shared" si="7"/>
        <v>34400.459999999992</v>
      </c>
    </row>
    <row r="193" spans="1:14" ht="14.25" customHeight="1">
      <c r="A193" s="7">
        <v>167</v>
      </c>
      <c r="B193" s="70">
        <f t="shared" si="0"/>
        <v>275.61</v>
      </c>
      <c r="C193" s="70">
        <f t="shared" si="1"/>
        <v>128.93</v>
      </c>
      <c r="D193" s="70">
        <f t="shared" si="2"/>
        <v>146.68</v>
      </c>
      <c r="E193" s="70">
        <f t="shared" si="3"/>
        <v>32085.389999999963</v>
      </c>
      <c r="J193" s="7">
        <v>167</v>
      </c>
      <c r="K193" s="70">
        <f t="shared" si="10"/>
        <v>268.07</v>
      </c>
      <c r="L193" s="70">
        <f t="shared" si="11"/>
        <v>157.66999999999999</v>
      </c>
      <c r="M193" s="70">
        <f t="shared" si="6"/>
        <v>110.4</v>
      </c>
      <c r="N193" s="70">
        <f t="shared" si="7"/>
        <v>34290.05999999999</v>
      </c>
    </row>
    <row r="194" spans="1:14" ht="14.25" customHeight="1">
      <c r="A194" s="7">
        <v>168</v>
      </c>
      <c r="B194" s="70">
        <f t="shared" si="0"/>
        <v>275.61</v>
      </c>
      <c r="C194" s="70">
        <f t="shared" si="1"/>
        <v>128.34</v>
      </c>
      <c r="D194" s="70">
        <f t="shared" si="2"/>
        <v>147.27000000000001</v>
      </c>
      <c r="E194" s="70">
        <f t="shared" si="3"/>
        <v>31938.119999999963</v>
      </c>
      <c r="J194" s="7">
        <v>168</v>
      </c>
      <c r="K194" s="70">
        <f t="shared" si="10"/>
        <v>268.07</v>
      </c>
      <c r="L194" s="70">
        <f t="shared" si="11"/>
        <v>157.16</v>
      </c>
      <c r="M194" s="70">
        <f t="shared" si="6"/>
        <v>110.91</v>
      </c>
      <c r="N194" s="70">
        <f t="shared" si="7"/>
        <v>34179.149999999987</v>
      </c>
    </row>
    <row r="195" spans="1:14" ht="14.25" customHeight="1">
      <c r="A195" s="7">
        <v>169</v>
      </c>
      <c r="B195" s="70">
        <f t="shared" si="0"/>
        <v>275.61</v>
      </c>
      <c r="C195" s="70">
        <f t="shared" si="1"/>
        <v>127.75</v>
      </c>
      <c r="D195" s="70">
        <f t="shared" si="2"/>
        <v>147.86000000000001</v>
      </c>
      <c r="E195" s="70">
        <f t="shared" si="3"/>
        <v>31790.259999999962</v>
      </c>
      <c r="J195" s="7">
        <v>169</v>
      </c>
      <c r="K195" s="70">
        <f t="shared" si="10"/>
        <v>268.07</v>
      </c>
      <c r="L195" s="70">
        <f t="shared" si="11"/>
        <v>156.65</v>
      </c>
      <c r="M195" s="70">
        <f t="shared" si="6"/>
        <v>111.41999999999999</v>
      </c>
      <c r="N195" s="70">
        <f t="shared" si="7"/>
        <v>34067.729999999989</v>
      </c>
    </row>
    <row r="196" spans="1:14" ht="14.25" customHeight="1">
      <c r="A196" s="7">
        <v>170</v>
      </c>
      <c r="B196" s="70">
        <f t="shared" si="0"/>
        <v>275.61</v>
      </c>
      <c r="C196" s="70">
        <f t="shared" si="1"/>
        <v>127.16</v>
      </c>
      <c r="D196" s="70">
        <f t="shared" si="2"/>
        <v>148.45000000000002</v>
      </c>
      <c r="E196" s="70">
        <f t="shared" si="3"/>
        <v>31641.809999999961</v>
      </c>
      <c r="J196" s="7">
        <v>170</v>
      </c>
      <c r="K196" s="70">
        <f t="shared" si="10"/>
        <v>268.07</v>
      </c>
      <c r="L196" s="70">
        <f t="shared" si="11"/>
        <v>156.13999999999999</v>
      </c>
      <c r="M196" s="70">
        <f t="shared" si="6"/>
        <v>111.93</v>
      </c>
      <c r="N196" s="70">
        <f t="shared" si="7"/>
        <v>33955.799999999988</v>
      </c>
    </row>
    <row r="197" spans="1:14" ht="14.25" customHeight="1">
      <c r="A197" s="7">
        <v>171</v>
      </c>
      <c r="B197" s="70">
        <f t="shared" si="0"/>
        <v>275.61</v>
      </c>
      <c r="C197" s="70">
        <f t="shared" si="1"/>
        <v>126.57</v>
      </c>
      <c r="D197" s="70">
        <f t="shared" si="2"/>
        <v>149.04000000000002</v>
      </c>
      <c r="E197" s="70">
        <f t="shared" si="3"/>
        <v>31492.76999999996</v>
      </c>
      <c r="J197" s="7">
        <v>171</v>
      </c>
      <c r="K197" s="70">
        <f t="shared" si="10"/>
        <v>268.07</v>
      </c>
      <c r="L197" s="70">
        <f t="shared" si="11"/>
        <v>155.63</v>
      </c>
      <c r="M197" s="70">
        <f t="shared" si="6"/>
        <v>112.44</v>
      </c>
      <c r="N197" s="70">
        <f t="shared" si="7"/>
        <v>33843.359999999986</v>
      </c>
    </row>
    <row r="198" spans="1:14" ht="14.25" customHeight="1">
      <c r="A198" s="7">
        <v>172</v>
      </c>
      <c r="B198" s="70">
        <f t="shared" si="0"/>
        <v>275.61</v>
      </c>
      <c r="C198" s="70">
        <f t="shared" si="1"/>
        <v>125.97</v>
      </c>
      <c r="D198" s="70">
        <f t="shared" si="2"/>
        <v>149.64000000000001</v>
      </c>
      <c r="E198" s="70">
        <f t="shared" si="3"/>
        <v>31343.129999999961</v>
      </c>
      <c r="J198" s="7">
        <v>172</v>
      </c>
      <c r="K198" s="70">
        <f t="shared" si="10"/>
        <v>268.07</v>
      </c>
      <c r="L198" s="70">
        <f t="shared" si="11"/>
        <v>155.12</v>
      </c>
      <c r="M198" s="70">
        <f t="shared" si="6"/>
        <v>112.94999999999999</v>
      </c>
      <c r="N198" s="70">
        <f t="shared" si="7"/>
        <v>33730.409999999989</v>
      </c>
    </row>
    <row r="199" spans="1:14" ht="14.25" customHeight="1">
      <c r="A199" s="7">
        <v>173</v>
      </c>
      <c r="B199" s="70">
        <f t="shared" si="0"/>
        <v>275.61</v>
      </c>
      <c r="C199" s="70">
        <f t="shared" si="1"/>
        <v>125.37</v>
      </c>
      <c r="D199" s="70">
        <f t="shared" si="2"/>
        <v>150.24</v>
      </c>
      <c r="E199" s="70">
        <f t="shared" si="3"/>
        <v>31192.889999999959</v>
      </c>
      <c r="J199" s="7">
        <v>173</v>
      </c>
      <c r="K199" s="70">
        <f t="shared" si="10"/>
        <v>268.07</v>
      </c>
      <c r="L199" s="70">
        <f t="shared" si="11"/>
        <v>154.6</v>
      </c>
      <c r="M199" s="70">
        <f t="shared" si="6"/>
        <v>113.47</v>
      </c>
      <c r="N199" s="70">
        <f t="shared" si="7"/>
        <v>33616.939999999988</v>
      </c>
    </row>
    <row r="200" spans="1:14" ht="14.25" customHeight="1">
      <c r="A200" s="7">
        <v>174</v>
      </c>
      <c r="B200" s="70">
        <f t="shared" si="0"/>
        <v>275.61</v>
      </c>
      <c r="C200" s="70">
        <f t="shared" si="1"/>
        <v>124.77</v>
      </c>
      <c r="D200" s="70">
        <f t="shared" si="2"/>
        <v>150.84000000000003</v>
      </c>
      <c r="E200" s="70">
        <f t="shared" si="3"/>
        <v>31042.049999999959</v>
      </c>
      <c r="J200" s="7">
        <v>174</v>
      </c>
      <c r="K200" s="70">
        <f t="shared" si="10"/>
        <v>268.07</v>
      </c>
      <c r="L200" s="70">
        <f t="shared" si="11"/>
        <v>154.08000000000001</v>
      </c>
      <c r="M200" s="70">
        <f t="shared" si="6"/>
        <v>113.98999999999998</v>
      </c>
      <c r="N200" s="70">
        <f t="shared" si="7"/>
        <v>33502.94999999999</v>
      </c>
    </row>
    <row r="201" spans="1:14" ht="14.25" customHeight="1">
      <c r="A201" s="7">
        <v>175</v>
      </c>
      <c r="B201" s="70">
        <f t="shared" si="0"/>
        <v>275.61</v>
      </c>
      <c r="C201" s="70">
        <f t="shared" si="1"/>
        <v>124.17</v>
      </c>
      <c r="D201" s="70">
        <f t="shared" si="2"/>
        <v>151.44</v>
      </c>
      <c r="E201" s="70">
        <f t="shared" si="3"/>
        <v>30890.609999999961</v>
      </c>
      <c r="J201" s="7">
        <v>175</v>
      </c>
      <c r="K201" s="70">
        <f t="shared" si="10"/>
        <v>268.07</v>
      </c>
      <c r="L201" s="70">
        <f t="shared" si="11"/>
        <v>153.56</v>
      </c>
      <c r="M201" s="70">
        <f t="shared" si="6"/>
        <v>114.50999999999999</v>
      </c>
      <c r="N201" s="70">
        <f t="shared" si="7"/>
        <v>33388.439999999988</v>
      </c>
    </row>
    <row r="202" spans="1:14" ht="14.25" customHeight="1">
      <c r="A202" s="7">
        <v>176</v>
      </c>
      <c r="B202" s="70">
        <f t="shared" si="0"/>
        <v>275.61</v>
      </c>
      <c r="C202" s="70">
        <f t="shared" si="1"/>
        <v>123.56</v>
      </c>
      <c r="D202" s="70">
        <f t="shared" si="2"/>
        <v>152.05000000000001</v>
      </c>
      <c r="E202" s="70">
        <f t="shared" si="3"/>
        <v>30738.559999999961</v>
      </c>
      <c r="J202" s="7">
        <v>176</v>
      </c>
      <c r="K202" s="70">
        <f t="shared" si="10"/>
        <v>268.07</v>
      </c>
      <c r="L202" s="70">
        <f t="shared" si="11"/>
        <v>153.03</v>
      </c>
      <c r="M202" s="70">
        <f t="shared" si="6"/>
        <v>115.03999999999999</v>
      </c>
      <c r="N202" s="70">
        <f t="shared" si="7"/>
        <v>33273.399999999987</v>
      </c>
    </row>
    <row r="203" spans="1:14" ht="14.25" customHeight="1">
      <c r="A203" s="7">
        <v>177</v>
      </c>
      <c r="B203" s="70">
        <f t="shared" si="0"/>
        <v>275.61</v>
      </c>
      <c r="C203" s="70">
        <f t="shared" si="1"/>
        <v>122.95</v>
      </c>
      <c r="D203" s="70">
        <f t="shared" si="2"/>
        <v>152.66000000000003</v>
      </c>
      <c r="E203" s="70">
        <f t="shared" si="3"/>
        <v>30585.899999999961</v>
      </c>
      <c r="J203" s="7">
        <v>177</v>
      </c>
      <c r="K203" s="70">
        <f t="shared" si="10"/>
        <v>268.07</v>
      </c>
      <c r="L203" s="70">
        <f t="shared" si="11"/>
        <v>152.5</v>
      </c>
      <c r="M203" s="70">
        <f t="shared" si="6"/>
        <v>115.57</v>
      </c>
      <c r="N203" s="70">
        <f t="shared" si="7"/>
        <v>33157.829999999987</v>
      </c>
    </row>
    <row r="204" spans="1:14" ht="14.25" customHeight="1">
      <c r="A204" s="7">
        <v>178</v>
      </c>
      <c r="B204" s="70">
        <f t="shared" si="0"/>
        <v>275.61</v>
      </c>
      <c r="C204" s="70">
        <f t="shared" si="1"/>
        <v>122.34</v>
      </c>
      <c r="D204" s="70">
        <f t="shared" si="2"/>
        <v>153.27000000000001</v>
      </c>
      <c r="E204" s="70">
        <f t="shared" si="3"/>
        <v>30432.629999999961</v>
      </c>
      <c r="J204" s="7">
        <v>178</v>
      </c>
      <c r="K204" s="70">
        <f t="shared" si="10"/>
        <v>268.07</v>
      </c>
      <c r="L204" s="70">
        <f t="shared" si="11"/>
        <v>151.97</v>
      </c>
      <c r="M204" s="70">
        <f t="shared" si="6"/>
        <v>116.1</v>
      </c>
      <c r="N204" s="70">
        <f t="shared" si="7"/>
        <v>33041.729999999989</v>
      </c>
    </row>
    <row r="205" spans="1:14" ht="14.25" customHeight="1">
      <c r="A205" s="7">
        <v>179</v>
      </c>
      <c r="B205" s="70">
        <f t="shared" si="0"/>
        <v>275.61</v>
      </c>
      <c r="C205" s="70">
        <f t="shared" si="1"/>
        <v>121.73</v>
      </c>
      <c r="D205" s="70">
        <f t="shared" si="2"/>
        <v>153.88</v>
      </c>
      <c r="E205" s="70">
        <f t="shared" si="3"/>
        <v>30278.74999999996</v>
      </c>
      <c r="J205" s="7">
        <v>179</v>
      </c>
      <c r="K205" s="70">
        <f t="shared" si="10"/>
        <v>268.07</v>
      </c>
      <c r="L205" s="70">
        <f t="shared" si="11"/>
        <v>151.44</v>
      </c>
      <c r="M205" s="70">
        <f t="shared" si="6"/>
        <v>116.63</v>
      </c>
      <c r="N205" s="70">
        <f t="shared" si="7"/>
        <v>32925.099999999991</v>
      </c>
    </row>
    <row r="206" spans="1:14" ht="14.25" customHeight="1">
      <c r="A206" s="7">
        <v>180</v>
      </c>
      <c r="B206" s="70">
        <f t="shared" si="0"/>
        <v>275.61</v>
      </c>
      <c r="C206" s="70">
        <f t="shared" si="1"/>
        <v>121.12</v>
      </c>
      <c r="D206" s="70">
        <f t="shared" si="2"/>
        <v>154.49</v>
      </c>
      <c r="E206" s="70">
        <f t="shared" si="3"/>
        <v>30124.259999999958</v>
      </c>
      <c r="J206" s="7">
        <v>180</v>
      </c>
      <c r="K206" s="70">
        <f t="shared" si="10"/>
        <v>268.07</v>
      </c>
      <c r="L206" s="70">
        <f t="shared" si="11"/>
        <v>150.91</v>
      </c>
      <c r="M206" s="70">
        <f t="shared" si="6"/>
        <v>117.16</v>
      </c>
      <c r="N206" s="70">
        <f t="shared" si="7"/>
        <v>32807.939999999988</v>
      </c>
    </row>
    <row r="207" spans="1:14" ht="14.25" customHeight="1">
      <c r="A207" s="7">
        <v>181</v>
      </c>
      <c r="B207" s="70">
        <f t="shared" si="0"/>
        <v>275.61</v>
      </c>
      <c r="C207" s="70">
        <f t="shared" si="1"/>
        <v>120.5</v>
      </c>
      <c r="D207" s="70">
        <f t="shared" si="2"/>
        <v>155.11000000000001</v>
      </c>
      <c r="E207" s="70">
        <f t="shared" si="3"/>
        <v>29969.149999999958</v>
      </c>
      <c r="J207" s="7">
        <v>181</v>
      </c>
      <c r="K207" s="70">
        <f t="shared" si="10"/>
        <v>268.07</v>
      </c>
      <c r="L207" s="70">
        <f t="shared" si="11"/>
        <v>150.37</v>
      </c>
      <c r="M207" s="70">
        <f t="shared" si="6"/>
        <v>117.69999999999999</v>
      </c>
      <c r="N207" s="70">
        <f t="shared" si="7"/>
        <v>32690.239999999987</v>
      </c>
    </row>
    <row r="208" spans="1:14" ht="14.25" customHeight="1">
      <c r="A208" s="7">
        <v>182</v>
      </c>
      <c r="B208" s="70">
        <f t="shared" si="0"/>
        <v>275.61</v>
      </c>
      <c r="C208" s="70">
        <f t="shared" si="1"/>
        <v>119.88</v>
      </c>
      <c r="D208" s="70">
        <f t="shared" si="2"/>
        <v>155.73000000000002</v>
      </c>
      <c r="E208" s="70">
        <f t="shared" si="3"/>
        <v>29813.419999999958</v>
      </c>
      <c r="J208" s="7">
        <v>182</v>
      </c>
      <c r="K208" s="70">
        <f t="shared" si="10"/>
        <v>268.07</v>
      </c>
      <c r="L208" s="70">
        <f t="shared" si="11"/>
        <v>149.83000000000001</v>
      </c>
      <c r="M208" s="70">
        <f t="shared" si="6"/>
        <v>118.23999999999998</v>
      </c>
      <c r="N208" s="70">
        <f t="shared" si="7"/>
        <v>32571.999999999985</v>
      </c>
    </row>
    <row r="209" spans="1:14" ht="14.25" customHeight="1">
      <c r="A209" s="7">
        <v>183</v>
      </c>
      <c r="B209" s="70">
        <f t="shared" si="0"/>
        <v>275.61</v>
      </c>
      <c r="C209" s="70">
        <f t="shared" si="1"/>
        <v>119.25</v>
      </c>
      <c r="D209" s="70">
        <f t="shared" si="2"/>
        <v>156.36000000000001</v>
      </c>
      <c r="E209" s="70">
        <f t="shared" si="3"/>
        <v>29657.059999999958</v>
      </c>
      <c r="J209" s="7">
        <v>183</v>
      </c>
      <c r="K209" s="70">
        <f t="shared" si="10"/>
        <v>268.07</v>
      </c>
      <c r="L209" s="70">
        <f t="shared" si="11"/>
        <v>149.29</v>
      </c>
      <c r="M209" s="70">
        <f t="shared" si="6"/>
        <v>118.78</v>
      </c>
      <c r="N209" s="70">
        <f t="shared" si="7"/>
        <v>32453.219999999987</v>
      </c>
    </row>
    <row r="210" spans="1:14" ht="14.25" customHeight="1">
      <c r="A210" s="7">
        <v>184</v>
      </c>
      <c r="B210" s="70">
        <f t="shared" si="0"/>
        <v>275.61</v>
      </c>
      <c r="C210" s="70">
        <f t="shared" si="1"/>
        <v>118.63</v>
      </c>
      <c r="D210" s="70">
        <f t="shared" si="2"/>
        <v>156.98000000000002</v>
      </c>
      <c r="E210" s="70">
        <f t="shared" si="3"/>
        <v>29500.079999999958</v>
      </c>
      <c r="J210" s="7">
        <v>184</v>
      </c>
      <c r="K210" s="70">
        <f t="shared" si="10"/>
        <v>268.07</v>
      </c>
      <c r="L210" s="70">
        <f t="shared" si="11"/>
        <v>148.74</v>
      </c>
      <c r="M210" s="70">
        <f t="shared" si="6"/>
        <v>119.32999999999998</v>
      </c>
      <c r="N210" s="70">
        <f t="shared" si="7"/>
        <v>32333.889999999985</v>
      </c>
    </row>
    <row r="211" spans="1:14" ht="14.25" customHeight="1">
      <c r="A211" s="7">
        <v>185</v>
      </c>
      <c r="B211" s="70">
        <f t="shared" si="0"/>
        <v>275.61</v>
      </c>
      <c r="C211" s="70">
        <f t="shared" si="1"/>
        <v>118</v>
      </c>
      <c r="D211" s="70">
        <f t="shared" si="2"/>
        <v>157.61000000000001</v>
      </c>
      <c r="E211" s="70">
        <f t="shared" si="3"/>
        <v>29342.469999999958</v>
      </c>
      <c r="J211" s="7">
        <v>185</v>
      </c>
      <c r="K211" s="70">
        <f t="shared" si="10"/>
        <v>268.07</v>
      </c>
      <c r="L211" s="70">
        <f t="shared" si="11"/>
        <v>148.19999999999999</v>
      </c>
      <c r="M211" s="70">
        <f t="shared" si="6"/>
        <v>119.87</v>
      </c>
      <c r="N211" s="70">
        <f t="shared" si="7"/>
        <v>32214.019999999986</v>
      </c>
    </row>
    <row r="212" spans="1:14" ht="14.25" customHeight="1">
      <c r="A212" s="7">
        <v>186</v>
      </c>
      <c r="B212" s="70">
        <f t="shared" si="0"/>
        <v>275.61</v>
      </c>
      <c r="C212" s="70">
        <f t="shared" si="1"/>
        <v>117.37</v>
      </c>
      <c r="D212" s="70">
        <f t="shared" si="2"/>
        <v>158.24</v>
      </c>
      <c r="E212" s="70">
        <f t="shared" si="3"/>
        <v>29184.229999999956</v>
      </c>
      <c r="J212" s="7">
        <v>186</v>
      </c>
      <c r="K212" s="70">
        <f t="shared" si="10"/>
        <v>268.07</v>
      </c>
      <c r="L212" s="70">
        <f t="shared" si="11"/>
        <v>147.65</v>
      </c>
      <c r="M212" s="70">
        <f t="shared" si="6"/>
        <v>120.41999999999999</v>
      </c>
      <c r="N212" s="70">
        <f t="shared" si="7"/>
        <v>32093.599999999988</v>
      </c>
    </row>
    <row r="213" spans="1:14" ht="14.25" customHeight="1">
      <c r="A213" s="7">
        <v>187</v>
      </c>
      <c r="B213" s="70">
        <f t="shared" si="0"/>
        <v>275.61</v>
      </c>
      <c r="C213" s="70">
        <f t="shared" si="1"/>
        <v>116.74</v>
      </c>
      <c r="D213" s="70">
        <f t="shared" si="2"/>
        <v>158.87</v>
      </c>
      <c r="E213" s="70">
        <f t="shared" si="3"/>
        <v>29025.359999999957</v>
      </c>
      <c r="J213" s="7">
        <v>187</v>
      </c>
      <c r="K213" s="70">
        <f t="shared" si="10"/>
        <v>268.07</v>
      </c>
      <c r="L213" s="70">
        <f t="shared" si="11"/>
        <v>147.1</v>
      </c>
      <c r="M213" s="70">
        <f t="shared" si="6"/>
        <v>120.97</v>
      </c>
      <c r="N213" s="70">
        <f t="shared" si="7"/>
        <v>31972.629999999986</v>
      </c>
    </row>
    <row r="214" spans="1:14" ht="14.25" customHeight="1">
      <c r="A214" s="7">
        <v>188</v>
      </c>
      <c r="B214" s="70">
        <f t="shared" si="0"/>
        <v>275.61</v>
      </c>
      <c r="C214" s="70">
        <f t="shared" si="1"/>
        <v>116.1</v>
      </c>
      <c r="D214" s="70">
        <f t="shared" si="2"/>
        <v>159.51000000000002</v>
      </c>
      <c r="E214" s="70">
        <f t="shared" si="3"/>
        <v>28865.849999999959</v>
      </c>
      <c r="J214" s="7">
        <v>188</v>
      </c>
      <c r="K214" s="70">
        <f t="shared" si="10"/>
        <v>268.07</v>
      </c>
      <c r="L214" s="70">
        <f t="shared" si="11"/>
        <v>146.54</v>
      </c>
      <c r="M214" s="70">
        <f t="shared" si="6"/>
        <v>121.53</v>
      </c>
      <c r="N214" s="70">
        <f t="shared" si="7"/>
        <v>31851.099999999988</v>
      </c>
    </row>
    <row r="215" spans="1:14" ht="14.25" customHeight="1">
      <c r="A215" s="7">
        <v>189</v>
      </c>
      <c r="B215" s="70">
        <f t="shared" si="0"/>
        <v>275.61</v>
      </c>
      <c r="C215" s="70">
        <f t="shared" si="1"/>
        <v>115.46</v>
      </c>
      <c r="D215" s="70">
        <f t="shared" si="2"/>
        <v>160.15000000000003</v>
      </c>
      <c r="E215" s="70">
        <f t="shared" si="3"/>
        <v>28705.699999999957</v>
      </c>
      <c r="J215" s="7">
        <v>189</v>
      </c>
      <c r="K215" s="70">
        <f t="shared" si="10"/>
        <v>268.07</v>
      </c>
      <c r="L215" s="70">
        <f t="shared" si="11"/>
        <v>145.97999999999999</v>
      </c>
      <c r="M215" s="70">
        <f t="shared" si="6"/>
        <v>122.09</v>
      </c>
      <c r="N215" s="70">
        <f t="shared" si="7"/>
        <v>31729.009999999987</v>
      </c>
    </row>
    <row r="216" spans="1:14" ht="14.25" customHeight="1">
      <c r="A216" s="7">
        <v>190</v>
      </c>
      <c r="B216" s="70">
        <f t="shared" si="0"/>
        <v>275.61</v>
      </c>
      <c r="C216" s="70">
        <f t="shared" si="1"/>
        <v>114.82</v>
      </c>
      <c r="D216" s="70">
        <f t="shared" si="2"/>
        <v>160.79000000000002</v>
      </c>
      <c r="E216" s="70">
        <f t="shared" si="3"/>
        <v>28544.909999999956</v>
      </c>
      <c r="J216" s="7">
        <v>190</v>
      </c>
      <c r="K216" s="70">
        <f t="shared" si="10"/>
        <v>268.07</v>
      </c>
      <c r="L216" s="70">
        <f t="shared" si="11"/>
        <v>145.41999999999999</v>
      </c>
      <c r="M216" s="70">
        <f t="shared" si="6"/>
        <v>122.65</v>
      </c>
      <c r="N216" s="70">
        <f t="shared" si="7"/>
        <v>31606.359999999986</v>
      </c>
    </row>
    <row r="217" spans="1:14" ht="14.25" customHeight="1">
      <c r="A217" s="7">
        <v>191</v>
      </c>
      <c r="B217" s="70">
        <f t="shared" si="0"/>
        <v>275.61</v>
      </c>
      <c r="C217" s="70">
        <f t="shared" si="1"/>
        <v>114.18</v>
      </c>
      <c r="D217" s="70">
        <f t="shared" si="2"/>
        <v>161.43</v>
      </c>
      <c r="E217" s="70">
        <f t="shared" si="3"/>
        <v>28383.479999999956</v>
      </c>
      <c r="J217" s="7">
        <v>191</v>
      </c>
      <c r="K217" s="70">
        <f t="shared" si="10"/>
        <v>268.07</v>
      </c>
      <c r="L217" s="70">
        <f t="shared" si="11"/>
        <v>144.86000000000001</v>
      </c>
      <c r="M217" s="70">
        <f t="shared" si="6"/>
        <v>123.20999999999998</v>
      </c>
      <c r="N217" s="70">
        <f t="shared" si="7"/>
        <v>31483.149999999987</v>
      </c>
    </row>
    <row r="218" spans="1:14" ht="14.25" customHeight="1">
      <c r="A218" s="7">
        <v>192</v>
      </c>
      <c r="B218" s="70">
        <f t="shared" si="0"/>
        <v>275.61</v>
      </c>
      <c r="C218" s="70">
        <f t="shared" si="1"/>
        <v>113.53</v>
      </c>
      <c r="D218" s="70">
        <f t="shared" si="2"/>
        <v>162.08000000000001</v>
      </c>
      <c r="E218" s="70">
        <f t="shared" si="3"/>
        <v>28221.399999999954</v>
      </c>
      <c r="J218" s="7">
        <v>192</v>
      </c>
      <c r="K218" s="70">
        <f t="shared" si="10"/>
        <v>268.07</v>
      </c>
      <c r="L218" s="70">
        <f t="shared" si="11"/>
        <v>144.30000000000001</v>
      </c>
      <c r="M218" s="70">
        <f t="shared" si="6"/>
        <v>123.76999999999998</v>
      </c>
      <c r="N218" s="70">
        <f t="shared" si="7"/>
        <v>31359.379999999986</v>
      </c>
    </row>
    <row r="219" spans="1:14" ht="14.25" customHeight="1">
      <c r="A219" s="7">
        <v>193</v>
      </c>
      <c r="B219" s="70">
        <f t="shared" si="0"/>
        <v>275.61</v>
      </c>
      <c r="C219" s="70">
        <f t="shared" si="1"/>
        <v>112.89</v>
      </c>
      <c r="D219" s="70">
        <f t="shared" si="2"/>
        <v>162.72000000000003</v>
      </c>
      <c r="E219" s="70">
        <f t="shared" si="3"/>
        <v>28058.679999999953</v>
      </c>
      <c r="J219" s="7">
        <v>193</v>
      </c>
      <c r="K219" s="70">
        <f t="shared" si="10"/>
        <v>268.07</v>
      </c>
      <c r="L219" s="70">
        <f t="shared" si="11"/>
        <v>143.72999999999999</v>
      </c>
      <c r="M219" s="70">
        <f t="shared" si="6"/>
        <v>124.34</v>
      </c>
      <c r="N219" s="70">
        <f t="shared" si="7"/>
        <v>31235.039999999986</v>
      </c>
    </row>
    <row r="220" spans="1:14" ht="14.25" customHeight="1">
      <c r="A220" s="7">
        <v>194</v>
      </c>
      <c r="B220" s="70">
        <f t="shared" si="0"/>
        <v>275.61</v>
      </c>
      <c r="C220" s="70">
        <f t="shared" si="1"/>
        <v>112.23</v>
      </c>
      <c r="D220" s="70">
        <f t="shared" si="2"/>
        <v>163.38</v>
      </c>
      <c r="E220" s="70">
        <f t="shared" si="3"/>
        <v>27895.299999999952</v>
      </c>
      <c r="J220" s="7">
        <v>194</v>
      </c>
      <c r="K220" s="70">
        <f t="shared" si="10"/>
        <v>268.07</v>
      </c>
      <c r="L220" s="70">
        <f t="shared" si="11"/>
        <v>143.16</v>
      </c>
      <c r="M220" s="70">
        <f t="shared" si="6"/>
        <v>124.91</v>
      </c>
      <c r="N220" s="70">
        <f t="shared" si="7"/>
        <v>31110.129999999986</v>
      </c>
    </row>
    <row r="221" spans="1:14" ht="14.25" customHeight="1">
      <c r="A221" s="7">
        <v>195</v>
      </c>
      <c r="B221" s="70">
        <f t="shared" si="0"/>
        <v>275.61</v>
      </c>
      <c r="C221" s="70">
        <f t="shared" si="1"/>
        <v>111.58</v>
      </c>
      <c r="D221" s="70">
        <f t="shared" si="2"/>
        <v>164.03000000000003</v>
      </c>
      <c r="E221" s="70">
        <f t="shared" si="3"/>
        <v>27731.269999999953</v>
      </c>
      <c r="J221" s="7">
        <v>195</v>
      </c>
      <c r="K221" s="70">
        <f t="shared" si="10"/>
        <v>268.07</v>
      </c>
      <c r="L221" s="70">
        <f t="shared" si="11"/>
        <v>142.59</v>
      </c>
      <c r="M221" s="70">
        <f t="shared" si="6"/>
        <v>125.47999999999999</v>
      </c>
      <c r="N221" s="70">
        <f t="shared" si="7"/>
        <v>30984.649999999987</v>
      </c>
    </row>
    <row r="222" spans="1:14" ht="14.25" customHeight="1">
      <c r="A222" s="7">
        <v>196</v>
      </c>
      <c r="B222" s="70">
        <f t="shared" si="0"/>
        <v>275.61</v>
      </c>
      <c r="C222" s="70">
        <f t="shared" si="1"/>
        <v>110.93</v>
      </c>
      <c r="D222" s="70">
        <f t="shared" si="2"/>
        <v>164.68</v>
      </c>
      <c r="E222" s="70">
        <f t="shared" si="3"/>
        <v>27566.589999999953</v>
      </c>
      <c r="J222" s="7">
        <v>196</v>
      </c>
      <c r="K222" s="70">
        <f t="shared" si="10"/>
        <v>268.07</v>
      </c>
      <c r="L222" s="70">
        <f t="shared" si="11"/>
        <v>142.01</v>
      </c>
      <c r="M222" s="70">
        <f t="shared" si="6"/>
        <v>126.06</v>
      </c>
      <c r="N222" s="70">
        <f t="shared" si="7"/>
        <v>30858.589999999986</v>
      </c>
    </row>
    <row r="223" spans="1:14" ht="14.25" customHeight="1">
      <c r="A223" s="7">
        <v>197</v>
      </c>
      <c r="B223" s="70">
        <f t="shared" si="0"/>
        <v>275.61</v>
      </c>
      <c r="C223" s="70">
        <f t="shared" si="1"/>
        <v>110.27</v>
      </c>
      <c r="D223" s="70">
        <f t="shared" si="2"/>
        <v>165.34000000000003</v>
      </c>
      <c r="E223" s="70">
        <f t="shared" si="3"/>
        <v>27401.249999999953</v>
      </c>
      <c r="J223" s="7">
        <v>197</v>
      </c>
      <c r="K223" s="70">
        <f t="shared" si="10"/>
        <v>268.07</v>
      </c>
      <c r="L223" s="70">
        <f t="shared" si="11"/>
        <v>141.44</v>
      </c>
      <c r="M223" s="70">
        <f t="shared" si="6"/>
        <v>126.63</v>
      </c>
      <c r="N223" s="70">
        <f t="shared" si="7"/>
        <v>30731.959999999985</v>
      </c>
    </row>
    <row r="224" spans="1:14" ht="14.25" customHeight="1">
      <c r="A224" s="7">
        <v>198</v>
      </c>
      <c r="B224" s="70">
        <f t="shared" si="0"/>
        <v>275.61</v>
      </c>
      <c r="C224" s="70">
        <f t="shared" si="1"/>
        <v>109.61</v>
      </c>
      <c r="D224" s="70">
        <f t="shared" si="2"/>
        <v>166</v>
      </c>
      <c r="E224" s="70">
        <f t="shared" si="3"/>
        <v>27235.249999999953</v>
      </c>
      <c r="J224" s="7">
        <v>198</v>
      </c>
      <c r="K224" s="70">
        <f t="shared" si="10"/>
        <v>268.07</v>
      </c>
      <c r="L224" s="70">
        <f t="shared" si="11"/>
        <v>140.85</v>
      </c>
      <c r="M224" s="70">
        <f t="shared" si="6"/>
        <v>127.22</v>
      </c>
      <c r="N224" s="70">
        <f t="shared" si="7"/>
        <v>30604.739999999983</v>
      </c>
    </row>
    <row r="225" spans="1:14" ht="14.25" customHeight="1">
      <c r="A225" s="7">
        <v>199</v>
      </c>
      <c r="B225" s="70">
        <f t="shared" si="0"/>
        <v>275.61</v>
      </c>
      <c r="C225" s="70">
        <f t="shared" si="1"/>
        <v>108.94</v>
      </c>
      <c r="D225" s="70">
        <f t="shared" si="2"/>
        <v>166.67000000000002</v>
      </c>
      <c r="E225" s="70">
        <f t="shared" si="3"/>
        <v>27068.579999999954</v>
      </c>
      <c r="J225" s="7">
        <v>199</v>
      </c>
      <c r="K225" s="70">
        <f t="shared" si="10"/>
        <v>268.07</v>
      </c>
      <c r="L225" s="70">
        <f t="shared" si="11"/>
        <v>140.27000000000001</v>
      </c>
      <c r="M225" s="70">
        <f t="shared" si="6"/>
        <v>127.79999999999998</v>
      </c>
      <c r="N225" s="70">
        <f t="shared" si="7"/>
        <v>30476.939999999984</v>
      </c>
    </row>
    <row r="226" spans="1:14" ht="14.25" customHeight="1">
      <c r="A226" s="7">
        <v>200</v>
      </c>
      <c r="B226" s="70">
        <f t="shared" si="0"/>
        <v>275.61</v>
      </c>
      <c r="C226" s="70">
        <f t="shared" si="1"/>
        <v>108.27</v>
      </c>
      <c r="D226" s="70">
        <f t="shared" si="2"/>
        <v>167.34000000000003</v>
      </c>
      <c r="E226" s="70">
        <f t="shared" si="3"/>
        <v>26901.239999999954</v>
      </c>
      <c r="J226" s="7">
        <v>200</v>
      </c>
      <c r="K226" s="70">
        <f t="shared" si="10"/>
        <v>268.07</v>
      </c>
      <c r="L226" s="70">
        <f t="shared" si="11"/>
        <v>139.69</v>
      </c>
      <c r="M226" s="70">
        <f t="shared" si="6"/>
        <v>128.38</v>
      </c>
      <c r="N226" s="70">
        <f t="shared" si="7"/>
        <v>30348.559999999983</v>
      </c>
    </row>
    <row r="227" spans="1:14" ht="14.25" customHeight="1">
      <c r="A227" s="7">
        <v>201</v>
      </c>
      <c r="B227" s="70">
        <f t="shared" si="0"/>
        <v>275.61</v>
      </c>
      <c r="C227" s="70">
        <f t="shared" si="1"/>
        <v>107.6</v>
      </c>
      <c r="D227" s="70">
        <f t="shared" si="2"/>
        <v>168.01000000000002</v>
      </c>
      <c r="E227" s="70">
        <f t="shared" si="3"/>
        <v>26733.229999999956</v>
      </c>
      <c r="J227" s="7">
        <v>201</v>
      </c>
      <c r="K227" s="70">
        <f t="shared" si="10"/>
        <v>268.07</v>
      </c>
      <c r="L227" s="70">
        <f t="shared" si="11"/>
        <v>139.1</v>
      </c>
      <c r="M227" s="70">
        <f t="shared" si="6"/>
        <v>128.97</v>
      </c>
      <c r="N227" s="70">
        <f t="shared" si="7"/>
        <v>30219.589999999982</v>
      </c>
    </row>
    <row r="228" spans="1:14" ht="14.25" customHeight="1">
      <c r="A228" s="7">
        <v>202</v>
      </c>
      <c r="B228" s="70">
        <f t="shared" si="0"/>
        <v>275.61</v>
      </c>
      <c r="C228" s="70">
        <f t="shared" si="1"/>
        <v>106.93</v>
      </c>
      <c r="D228" s="70">
        <f t="shared" si="2"/>
        <v>168.68</v>
      </c>
      <c r="E228" s="70">
        <f t="shared" si="3"/>
        <v>26564.549999999956</v>
      </c>
      <c r="J228" s="7">
        <v>202</v>
      </c>
      <c r="K228" s="70">
        <f t="shared" si="10"/>
        <v>268.07</v>
      </c>
      <c r="L228" s="70">
        <f t="shared" si="11"/>
        <v>138.51</v>
      </c>
      <c r="M228" s="70">
        <f t="shared" si="6"/>
        <v>129.56</v>
      </c>
      <c r="N228" s="70">
        <f t="shared" si="7"/>
        <v>30090.029999999981</v>
      </c>
    </row>
    <row r="229" spans="1:14" ht="14.25" customHeight="1">
      <c r="A229" s="7">
        <v>203</v>
      </c>
      <c r="B229" s="70">
        <f t="shared" si="0"/>
        <v>275.61</v>
      </c>
      <c r="C229" s="70">
        <f t="shared" si="1"/>
        <v>106.26</v>
      </c>
      <c r="D229" s="70">
        <f t="shared" si="2"/>
        <v>169.35000000000002</v>
      </c>
      <c r="E229" s="70">
        <f t="shared" si="3"/>
        <v>26395.199999999957</v>
      </c>
      <c r="J229" s="7">
        <v>203</v>
      </c>
      <c r="K229" s="70">
        <f t="shared" si="10"/>
        <v>268.07</v>
      </c>
      <c r="L229" s="70">
        <f t="shared" si="11"/>
        <v>137.91</v>
      </c>
      <c r="M229" s="70">
        <f t="shared" si="6"/>
        <v>130.16</v>
      </c>
      <c r="N229" s="70">
        <f t="shared" si="7"/>
        <v>29959.869999999981</v>
      </c>
    </row>
    <row r="230" spans="1:14" ht="14.25" customHeight="1">
      <c r="A230" s="7">
        <v>204</v>
      </c>
      <c r="B230" s="70">
        <f t="shared" si="0"/>
        <v>275.61</v>
      </c>
      <c r="C230" s="70">
        <f t="shared" si="1"/>
        <v>105.58</v>
      </c>
      <c r="D230" s="70">
        <f t="shared" si="2"/>
        <v>170.03000000000003</v>
      </c>
      <c r="E230" s="70">
        <f t="shared" si="3"/>
        <v>26225.169999999958</v>
      </c>
      <c r="J230" s="7">
        <v>204</v>
      </c>
      <c r="K230" s="70">
        <f t="shared" si="10"/>
        <v>268.07</v>
      </c>
      <c r="L230" s="70">
        <f t="shared" si="11"/>
        <v>137.32</v>
      </c>
      <c r="M230" s="70">
        <f t="shared" si="6"/>
        <v>130.75</v>
      </c>
      <c r="N230" s="70">
        <f t="shared" si="7"/>
        <v>29829.119999999981</v>
      </c>
    </row>
    <row r="231" spans="1:14" ht="14.25" customHeight="1">
      <c r="A231" s="7">
        <v>205</v>
      </c>
      <c r="B231" s="70">
        <f t="shared" si="0"/>
        <v>275.61</v>
      </c>
      <c r="C231" s="70">
        <f t="shared" si="1"/>
        <v>104.9</v>
      </c>
      <c r="D231" s="70">
        <f t="shared" si="2"/>
        <v>170.71</v>
      </c>
      <c r="E231" s="70">
        <f t="shared" si="3"/>
        <v>26054.459999999959</v>
      </c>
      <c r="J231" s="7">
        <v>205</v>
      </c>
      <c r="K231" s="70">
        <f t="shared" si="10"/>
        <v>268.07</v>
      </c>
      <c r="L231" s="70">
        <f t="shared" si="11"/>
        <v>136.72</v>
      </c>
      <c r="M231" s="70">
        <f t="shared" si="6"/>
        <v>131.35</v>
      </c>
      <c r="N231" s="70">
        <f t="shared" si="7"/>
        <v>29697.769999999982</v>
      </c>
    </row>
    <row r="232" spans="1:14" ht="14.25" customHeight="1">
      <c r="A232" s="7">
        <v>206</v>
      </c>
      <c r="B232" s="70">
        <f t="shared" si="0"/>
        <v>275.61</v>
      </c>
      <c r="C232" s="70">
        <f t="shared" si="1"/>
        <v>104.22</v>
      </c>
      <c r="D232" s="70">
        <f t="shared" si="2"/>
        <v>171.39000000000001</v>
      </c>
      <c r="E232" s="70">
        <f t="shared" si="3"/>
        <v>25883.06999999996</v>
      </c>
      <c r="J232" s="7">
        <v>206</v>
      </c>
      <c r="K232" s="70">
        <f t="shared" si="10"/>
        <v>268.07</v>
      </c>
      <c r="L232" s="70">
        <f t="shared" si="11"/>
        <v>136.11000000000001</v>
      </c>
      <c r="M232" s="70">
        <f t="shared" si="6"/>
        <v>131.95999999999998</v>
      </c>
      <c r="N232" s="70">
        <f t="shared" si="7"/>
        <v>29565.809999999983</v>
      </c>
    </row>
    <row r="233" spans="1:14" ht="14.25" customHeight="1">
      <c r="A233" s="7">
        <v>207</v>
      </c>
      <c r="B233" s="70">
        <f t="shared" si="0"/>
        <v>275.61</v>
      </c>
      <c r="C233" s="70">
        <f t="shared" si="1"/>
        <v>103.53</v>
      </c>
      <c r="D233" s="70">
        <f t="shared" si="2"/>
        <v>172.08</v>
      </c>
      <c r="E233" s="70">
        <f t="shared" si="3"/>
        <v>25710.989999999958</v>
      </c>
      <c r="J233" s="7">
        <v>207</v>
      </c>
      <c r="K233" s="70">
        <f t="shared" si="10"/>
        <v>268.07</v>
      </c>
      <c r="L233" s="70">
        <f t="shared" si="11"/>
        <v>135.51</v>
      </c>
      <c r="M233" s="70">
        <f t="shared" si="6"/>
        <v>132.56</v>
      </c>
      <c r="N233" s="70">
        <f t="shared" si="7"/>
        <v>29433.249999999982</v>
      </c>
    </row>
    <row r="234" spans="1:14" ht="14.25" customHeight="1">
      <c r="A234" s="7">
        <v>208</v>
      </c>
      <c r="B234" s="70">
        <f t="shared" si="0"/>
        <v>275.61</v>
      </c>
      <c r="C234" s="70">
        <f t="shared" si="1"/>
        <v>102.84</v>
      </c>
      <c r="D234" s="70">
        <f t="shared" si="2"/>
        <v>172.77</v>
      </c>
      <c r="E234" s="70">
        <f t="shared" si="3"/>
        <v>25538.219999999958</v>
      </c>
      <c r="J234" s="7">
        <v>208</v>
      </c>
      <c r="K234" s="70">
        <f t="shared" si="10"/>
        <v>268.07</v>
      </c>
      <c r="L234" s="70">
        <f t="shared" si="11"/>
        <v>134.9</v>
      </c>
      <c r="M234" s="70">
        <f t="shared" si="6"/>
        <v>133.16999999999999</v>
      </c>
      <c r="N234" s="70">
        <f t="shared" si="7"/>
        <v>29300.079999999984</v>
      </c>
    </row>
    <row r="235" spans="1:14" ht="14.25" customHeight="1">
      <c r="A235" s="7">
        <v>209</v>
      </c>
      <c r="B235" s="70">
        <f t="shared" si="0"/>
        <v>275.61</v>
      </c>
      <c r="C235" s="70">
        <f t="shared" si="1"/>
        <v>102.15</v>
      </c>
      <c r="D235" s="70">
        <f t="shared" si="2"/>
        <v>173.46</v>
      </c>
      <c r="E235" s="70">
        <f t="shared" si="3"/>
        <v>25364.759999999958</v>
      </c>
      <c r="J235" s="7">
        <v>209</v>
      </c>
      <c r="K235" s="70">
        <f t="shared" si="10"/>
        <v>268.07</v>
      </c>
      <c r="L235" s="70">
        <f t="shared" si="11"/>
        <v>134.29</v>
      </c>
      <c r="M235" s="70">
        <f t="shared" si="6"/>
        <v>133.78</v>
      </c>
      <c r="N235" s="70">
        <f t="shared" si="7"/>
        <v>29166.299999999985</v>
      </c>
    </row>
    <row r="236" spans="1:14" ht="14.25" customHeight="1">
      <c r="A236" s="7">
        <v>210</v>
      </c>
      <c r="B236" s="70">
        <f t="shared" si="0"/>
        <v>275.61</v>
      </c>
      <c r="C236" s="70">
        <f t="shared" si="1"/>
        <v>101.46</v>
      </c>
      <c r="D236" s="70">
        <f t="shared" si="2"/>
        <v>174.15000000000003</v>
      </c>
      <c r="E236" s="70">
        <f t="shared" si="3"/>
        <v>25190.609999999957</v>
      </c>
      <c r="J236" s="7">
        <v>210</v>
      </c>
      <c r="K236" s="70">
        <f t="shared" si="10"/>
        <v>268.07</v>
      </c>
      <c r="L236" s="70">
        <f t="shared" si="11"/>
        <v>133.68</v>
      </c>
      <c r="M236" s="70">
        <f t="shared" si="6"/>
        <v>134.38999999999999</v>
      </c>
      <c r="N236" s="70">
        <f t="shared" si="7"/>
        <v>29031.909999999985</v>
      </c>
    </row>
    <row r="237" spans="1:14" ht="14.25" customHeight="1">
      <c r="A237" s="7">
        <v>211</v>
      </c>
      <c r="B237" s="70">
        <f t="shared" si="0"/>
        <v>275.61</v>
      </c>
      <c r="C237" s="70">
        <f t="shared" si="1"/>
        <v>100.76</v>
      </c>
      <c r="D237" s="70">
        <f t="shared" si="2"/>
        <v>174.85000000000002</v>
      </c>
      <c r="E237" s="70">
        <f t="shared" si="3"/>
        <v>25015.759999999958</v>
      </c>
      <c r="J237" s="7">
        <v>211</v>
      </c>
      <c r="K237" s="70">
        <f t="shared" si="10"/>
        <v>268.07</v>
      </c>
      <c r="L237" s="70">
        <f t="shared" si="11"/>
        <v>133.06</v>
      </c>
      <c r="M237" s="70">
        <f t="shared" si="6"/>
        <v>135.01</v>
      </c>
      <c r="N237" s="70">
        <f t="shared" si="7"/>
        <v>28896.899999999987</v>
      </c>
    </row>
    <row r="238" spans="1:14" ht="14.25" customHeight="1">
      <c r="A238" s="7">
        <v>212</v>
      </c>
      <c r="B238" s="70">
        <f t="shared" si="0"/>
        <v>275.61</v>
      </c>
      <c r="C238" s="70">
        <f t="shared" si="1"/>
        <v>100.06</v>
      </c>
      <c r="D238" s="70">
        <f t="shared" si="2"/>
        <v>175.55</v>
      </c>
      <c r="E238" s="70">
        <f t="shared" si="3"/>
        <v>24840.209999999959</v>
      </c>
      <c r="J238" s="7">
        <v>212</v>
      </c>
      <c r="K238" s="70">
        <f t="shared" si="10"/>
        <v>268.07</v>
      </c>
      <c r="L238" s="70">
        <f t="shared" si="11"/>
        <v>132.44</v>
      </c>
      <c r="M238" s="70">
        <f t="shared" si="6"/>
        <v>135.63</v>
      </c>
      <c r="N238" s="70">
        <f t="shared" si="7"/>
        <v>28761.269999999986</v>
      </c>
    </row>
    <row r="239" spans="1:14" ht="14.25" customHeight="1">
      <c r="A239" s="7">
        <v>213</v>
      </c>
      <c r="B239" s="70">
        <f t="shared" si="0"/>
        <v>275.61</v>
      </c>
      <c r="C239" s="70">
        <f t="shared" si="1"/>
        <v>99.36</v>
      </c>
      <c r="D239" s="70">
        <f t="shared" si="2"/>
        <v>176.25</v>
      </c>
      <c r="E239" s="70">
        <f t="shared" si="3"/>
        <v>24663.959999999959</v>
      </c>
      <c r="J239" s="7">
        <v>213</v>
      </c>
      <c r="K239" s="70">
        <f t="shared" si="10"/>
        <v>268.07</v>
      </c>
      <c r="L239" s="70">
        <f t="shared" si="11"/>
        <v>131.82</v>
      </c>
      <c r="M239" s="70">
        <f t="shared" si="6"/>
        <v>136.25</v>
      </c>
      <c r="N239" s="70">
        <f t="shared" si="7"/>
        <v>28625.019999999986</v>
      </c>
    </row>
    <row r="240" spans="1:14" ht="14.25" customHeight="1">
      <c r="A240" s="7">
        <v>214</v>
      </c>
      <c r="B240" s="70">
        <f t="shared" si="0"/>
        <v>275.61</v>
      </c>
      <c r="C240" s="70">
        <f t="shared" si="1"/>
        <v>98.66</v>
      </c>
      <c r="D240" s="70">
        <f t="shared" si="2"/>
        <v>176.95000000000002</v>
      </c>
      <c r="E240" s="70">
        <f t="shared" si="3"/>
        <v>24487.009999999958</v>
      </c>
      <c r="J240" s="7">
        <v>214</v>
      </c>
      <c r="K240" s="70">
        <f t="shared" si="10"/>
        <v>268.07</v>
      </c>
      <c r="L240" s="70">
        <f t="shared" si="11"/>
        <v>131.19999999999999</v>
      </c>
      <c r="M240" s="70">
        <f t="shared" si="6"/>
        <v>136.87</v>
      </c>
      <c r="N240" s="70">
        <f t="shared" si="7"/>
        <v>28488.149999999987</v>
      </c>
    </row>
    <row r="241" spans="1:14" ht="14.25" customHeight="1">
      <c r="A241" s="7">
        <v>215</v>
      </c>
      <c r="B241" s="70">
        <f t="shared" si="0"/>
        <v>275.61</v>
      </c>
      <c r="C241" s="70">
        <f t="shared" si="1"/>
        <v>97.95</v>
      </c>
      <c r="D241" s="70">
        <f t="shared" si="2"/>
        <v>177.66000000000003</v>
      </c>
      <c r="E241" s="70">
        <f t="shared" si="3"/>
        <v>24309.349999999959</v>
      </c>
      <c r="J241" s="7">
        <v>215</v>
      </c>
      <c r="K241" s="70">
        <f t="shared" si="10"/>
        <v>268.07</v>
      </c>
      <c r="L241" s="70">
        <f t="shared" si="11"/>
        <v>130.57</v>
      </c>
      <c r="M241" s="70">
        <f t="shared" si="6"/>
        <v>137.5</v>
      </c>
      <c r="N241" s="70">
        <f t="shared" si="7"/>
        <v>28350.649999999987</v>
      </c>
    </row>
    <row r="242" spans="1:14" ht="14.25" customHeight="1">
      <c r="A242" s="7">
        <v>216</v>
      </c>
      <c r="B242" s="70">
        <f t="shared" si="0"/>
        <v>275.61</v>
      </c>
      <c r="C242" s="70">
        <f t="shared" si="1"/>
        <v>97.24</v>
      </c>
      <c r="D242" s="70">
        <f t="shared" si="2"/>
        <v>178.37</v>
      </c>
      <c r="E242" s="70">
        <f t="shared" si="3"/>
        <v>24130.97999999996</v>
      </c>
      <c r="J242" s="7">
        <v>216</v>
      </c>
      <c r="K242" s="70">
        <f t="shared" si="10"/>
        <v>268.07</v>
      </c>
      <c r="L242" s="70">
        <f t="shared" si="11"/>
        <v>129.94</v>
      </c>
      <c r="M242" s="70">
        <f t="shared" si="6"/>
        <v>138.13</v>
      </c>
      <c r="N242" s="70">
        <f t="shared" si="7"/>
        <v>28212.519999999986</v>
      </c>
    </row>
    <row r="243" spans="1:14" ht="14.25" customHeight="1">
      <c r="A243" s="7">
        <v>217</v>
      </c>
      <c r="B243" s="70">
        <f t="shared" si="0"/>
        <v>275.61</v>
      </c>
      <c r="C243" s="70">
        <f t="shared" si="1"/>
        <v>96.52</v>
      </c>
      <c r="D243" s="70">
        <f t="shared" si="2"/>
        <v>179.09000000000003</v>
      </c>
      <c r="E243" s="70">
        <f t="shared" si="3"/>
        <v>23951.889999999959</v>
      </c>
      <c r="J243" s="7">
        <v>217</v>
      </c>
      <c r="K243" s="70">
        <f t="shared" si="10"/>
        <v>268.07</v>
      </c>
      <c r="L243" s="70">
        <f t="shared" si="11"/>
        <v>129.31</v>
      </c>
      <c r="M243" s="70">
        <f t="shared" si="6"/>
        <v>138.76</v>
      </c>
      <c r="N243" s="70">
        <f t="shared" si="7"/>
        <v>28073.759999999987</v>
      </c>
    </row>
    <row r="244" spans="1:14" ht="14.25" customHeight="1">
      <c r="A244" s="7">
        <v>218</v>
      </c>
      <c r="B244" s="70">
        <f t="shared" si="0"/>
        <v>275.61</v>
      </c>
      <c r="C244" s="70">
        <f t="shared" si="1"/>
        <v>95.81</v>
      </c>
      <c r="D244" s="70">
        <f t="shared" si="2"/>
        <v>179.8</v>
      </c>
      <c r="E244" s="70">
        <f t="shared" si="3"/>
        <v>23772.08999999996</v>
      </c>
      <c r="J244" s="7">
        <v>218</v>
      </c>
      <c r="K244" s="70">
        <f t="shared" si="10"/>
        <v>268.07</v>
      </c>
      <c r="L244" s="70">
        <f t="shared" si="11"/>
        <v>128.66999999999999</v>
      </c>
      <c r="M244" s="70">
        <f t="shared" si="6"/>
        <v>139.4</v>
      </c>
      <c r="N244" s="70">
        <f t="shared" si="7"/>
        <v>27934.359999999986</v>
      </c>
    </row>
    <row r="245" spans="1:14" ht="14.25" customHeight="1">
      <c r="A245" s="7">
        <v>219</v>
      </c>
      <c r="B245" s="70">
        <f t="shared" si="0"/>
        <v>275.61</v>
      </c>
      <c r="C245" s="70">
        <f t="shared" si="1"/>
        <v>95.09</v>
      </c>
      <c r="D245" s="70">
        <f t="shared" si="2"/>
        <v>180.52</v>
      </c>
      <c r="E245" s="70">
        <f t="shared" si="3"/>
        <v>23591.56999999996</v>
      </c>
      <c r="J245" s="7">
        <v>219</v>
      </c>
      <c r="K245" s="70">
        <f t="shared" si="10"/>
        <v>268.07</v>
      </c>
      <c r="L245" s="70">
        <f t="shared" si="11"/>
        <v>128.03</v>
      </c>
      <c r="M245" s="70">
        <f t="shared" si="6"/>
        <v>140.04</v>
      </c>
      <c r="N245" s="70">
        <f t="shared" si="7"/>
        <v>27794.319999999985</v>
      </c>
    </row>
    <row r="246" spans="1:14" ht="14.25" customHeight="1">
      <c r="A246" s="7">
        <v>220</v>
      </c>
      <c r="B246" s="70">
        <f t="shared" si="0"/>
        <v>275.61</v>
      </c>
      <c r="C246" s="70">
        <f t="shared" si="1"/>
        <v>94.37</v>
      </c>
      <c r="D246" s="70">
        <f t="shared" si="2"/>
        <v>181.24</v>
      </c>
      <c r="E246" s="70">
        <f t="shared" si="3"/>
        <v>23410.329999999958</v>
      </c>
      <c r="J246" s="7">
        <v>220</v>
      </c>
      <c r="K246" s="70">
        <f t="shared" si="10"/>
        <v>268.07</v>
      </c>
      <c r="L246" s="70">
        <f t="shared" si="11"/>
        <v>127.39</v>
      </c>
      <c r="M246" s="70">
        <f t="shared" si="6"/>
        <v>140.68</v>
      </c>
      <c r="N246" s="70">
        <f t="shared" si="7"/>
        <v>27653.639999999985</v>
      </c>
    </row>
    <row r="247" spans="1:14" ht="14.25" customHeight="1">
      <c r="A247" s="7">
        <v>221</v>
      </c>
      <c r="B247" s="70">
        <f t="shared" si="0"/>
        <v>275.61</v>
      </c>
      <c r="C247" s="70">
        <f t="shared" si="1"/>
        <v>93.64</v>
      </c>
      <c r="D247" s="70">
        <f t="shared" si="2"/>
        <v>181.97000000000003</v>
      </c>
      <c r="E247" s="70">
        <f t="shared" si="3"/>
        <v>23228.359999999957</v>
      </c>
      <c r="J247" s="7">
        <v>221</v>
      </c>
      <c r="K247" s="70">
        <f t="shared" si="10"/>
        <v>268.07</v>
      </c>
      <c r="L247" s="70">
        <f t="shared" si="11"/>
        <v>126.75</v>
      </c>
      <c r="M247" s="70">
        <f t="shared" si="6"/>
        <v>141.32</v>
      </c>
      <c r="N247" s="70">
        <f t="shared" si="7"/>
        <v>27512.319999999985</v>
      </c>
    </row>
    <row r="248" spans="1:14" ht="14.25" customHeight="1">
      <c r="A248" s="7">
        <v>222</v>
      </c>
      <c r="B248" s="70">
        <f t="shared" si="0"/>
        <v>275.61</v>
      </c>
      <c r="C248" s="70">
        <f t="shared" si="1"/>
        <v>92.91</v>
      </c>
      <c r="D248" s="70">
        <f t="shared" si="2"/>
        <v>182.70000000000002</v>
      </c>
      <c r="E248" s="70">
        <f t="shared" si="3"/>
        <v>23045.659999999956</v>
      </c>
      <c r="J248" s="7">
        <v>222</v>
      </c>
      <c r="K248" s="70">
        <f t="shared" si="10"/>
        <v>268.07</v>
      </c>
      <c r="L248" s="70">
        <f t="shared" si="11"/>
        <v>126.1</v>
      </c>
      <c r="M248" s="70">
        <f t="shared" si="6"/>
        <v>141.97</v>
      </c>
      <c r="N248" s="70">
        <f t="shared" si="7"/>
        <v>27370.349999999984</v>
      </c>
    </row>
    <row r="249" spans="1:14" ht="14.25" customHeight="1">
      <c r="A249" s="7">
        <v>223</v>
      </c>
      <c r="B249" s="70">
        <f t="shared" si="0"/>
        <v>275.61</v>
      </c>
      <c r="C249" s="70">
        <f t="shared" si="1"/>
        <v>92.18</v>
      </c>
      <c r="D249" s="70">
        <f t="shared" si="2"/>
        <v>183.43</v>
      </c>
      <c r="E249" s="70">
        <f t="shared" si="3"/>
        <v>22862.229999999956</v>
      </c>
      <c r="J249" s="7">
        <v>223</v>
      </c>
      <c r="K249" s="70">
        <f t="shared" si="10"/>
        <v>268.07</v>
      </c>
      <c r="L249" s="70">
        <f t="shared" si="11"/>
        <v>125.45</v>
      </c>
      <c r="M249" s="70">
        <f t="shared" si="6"/>
        <v>142.62</v>
      </c>
      <c r="N249" s="70">
        <f t="shared" si="7"/>
        <v>27227.729999999985</v>
      </c>
    </row>
    <row r="250" spans="1:14" ht="14.25" customHeight="1">
      <c r="A250" s="7">
        <v>224</v>
      </c>
      <c r="B250" s="70">
        <f t="shared" si="0"/>
        <v>275.61</v>
      </c>
      <c r="C250" s="70">
        <f t="shared" si="1"/>
        <v>91.45</v>
      </c>
      <c r="D250" s="70">
        <f t="shared" si="2"/>
        <v>184.16000000000003</v>
      </c>
      <c r="E250" s="70">
        <f t="shared" si="3"/>
        <v>22678.069999999956</v>
      </c>
      <c r="J250" s="7">
        <v>224</v>
      </c>
      <c r="K250" s="70">
        <f t="shared" si="10"/>
        <v>268.07</v>
      </c>
      <c r="L250" s="70">
        <f t="shared" si="11"/>
        <v>124.79</v>
      </c>
      <c r="M250" s="70">
        <f t="shared" si="6"/>
        <v>143.27999999999997</v>
      </c>
      <c r="N250" s="70">
        <f t="shared" si="7"/>
        <v>27084.449999999986</v>
      </c>
    </row>
    <row r="251" spans="1:14" ht="14.25" customHeight="1">
      <c r="A251" s="7">
        <v>225</v>
      </c>
      <c r="B251" s="70">
        <f t="shared" si="0"/>
        <v>275.61</v>
      </c>
      <c r="C251" s="70">
        <f t="shared" si="1"/>
        <v>90.71</v>
      </c>
      <c r="D251" s="70">
        <f t="shared" si="2"/>
        <v>184.90000000000003</v>
      </c>
      <c r="E251" s="70">
        <f t="shared" si="3"/>
        <v>22493.169999999955</v>
      </c>
      <c r="J251" s="7">
        <v>225</v>
      </c>
      <c r="K251" s="70">
        <f t="shared" si="10"/>
        <v>268.07</v>
      </c>
      <c r="L251" s="70">
        <f t="shared" si="11"/>
        <v>124.14</v>
      </c>
      <c r="M251" s="70">
        <f t="shared" si="6"/>
        <v>143.93</v>
      </c>
      <c r="N251" s="70">
        <f t="shared" si="7"/>
        <v>26940.519999999986</v>
      </c>
    </row>
    <row r="252" spans="1:14" ht="14.25" customHeight="1">
      <c r="A252" s="7">
        <v>226</v>
      </c>
      <c r="B252" s="70">
        <f t="shared" si="0"/>
        <v>275.61</v>
      </c>
      <c r="C252" s="70">
        <f t="shared" si="1"/>
        <v>89.97</v>
      </c>
      <c r="D252" s="70">
        <f t="shared" si="2"/>
        <v>185.64000000000001</v>
      </c>
      <c r="E252" s="70">
        <f t="shared" si="3"/>
        <v>22307.529999999955</v>
      </c>
      <c r="J252" s="7">
        <v>226</v>
      </c>
      <c r="K252" s="70">
        <f t="shared" si="10"/>
        <v>268.07</v>
      </c>
      <c r="L252" s="70">
        <f t="shared" si="11"/>
        <v>123.48</v>
      </c>
      <c r="M252" s="70">
        <f t="shared" si="6"/>
        <v>144.58999999999997</v>
      </c>
      <c r="N252" s="70">
        <f t="shared" si="7"/>
        <v>26795.929999999986</v>
      </c>
    </row>
    <row r="253" spans="1:14" ht="14.25" customHeight="1">
      <c r="A253" s="7">
        <v>227</v>
      </c>
      <c r="B253" s="70">
        <f t="shared" si="0"/>
        <v>275.61</v>
      </c>
      <c r="C253" s="70">
        <f t="shared" si="1"/>
        <v>89.23</v>
      </c>
      <c r="D253" s="70">
        <f t="shared" si="2"/>
        <v>186.38</v>
      </c>
      <c r="E253" s="70">
        <f t="shared" si="3"/>
        <v>22121.149999999954</v>
      </c>
      <c r="J253" s="7">
        <v>227</v>
      </c>
      <c r="K253" s="70">
        <f t="shared" si="10"/>
        <v>268.07</v>
      </c>
      <c r="L253" s="70">
        <f t="shared" si="11"/>
        <v>122.81</v>
      </c>
      <c r="M253" s="70">
        <f t="shared" si="6"/>
        <v>145.26</v>
      </c>
      <c r="N253" s="70">
        <f t="shared" si="7"/>
        <v>26650.669999999987</v>
      </c>
    </row>
    <row r="254" spans="1:14" ht="14.25" customHeight="1">
      <c r="A254" s="7">
        <v>228</v>
      </c>
      <c r="B254" s="70">
        <f t="shared" si="0"/>
        <v>275.61</v>
      </c>
      <c r="C254" s="70">
        <f t="shared" si="1"/>
        <v>88.48</v>
      </c>
      <c r="D254" s="70">
        <f t="shared" si="2"/>
        <v>187.13</v>
      </c>
      <c r="E254" s="70">
        <f t="shared" si="3"/>
        <v>21934.019999999953</v>
      </c>
      <c r="J254" s="7">
        <v>228</v>
      </c>
      <c r="K254" s="70">
        <f t="shared" si="10"/>
        <v>268.07</v>
      </c>
      <c r="L254" s="70">
        <f t="shared" si="11"/>
        <v>122.15</v>
      </c>
      <c r="M254" s="70">
        <f t="shared" si="6"/>
        <v>145.91999999999999</v>
      </c>
      <c r="N254" s="70">
        <f t="shared" si="7"/>
        <v>26504.749999999989</v>
      </c>
    </row>
    <row r="255" spans="1:14" ht="14.25" customHeight="1">
      <c r="A255" s="7">
        <v>229</v>
      </c>
      <c r="B255" s="70">
        <f t="shared" si="0"/>
        <v>275.61</v>
      </c>
      <c r="C255" s="70">
        <f t="shared" si="1"/>
        <v>87.74</v>
      </c>
      <c r="D255" s="70">
        <f t="shared" si="2"/>
        <v>187.87</v>
      </c>
      <c r="E255" s="70">
        <f t="shared" si="3"/>
        <v>21746.149999999954</v>
      </c>
      <c r="J255" s="7">
        <v>229</v>
      </c>
      <c r="K255" s="70">
        <f t="shared" si="10"/>
        <v>268.07</v>
      </c>
      <c r="L255" s="70">
        <f t="shared" si="11"/>
        <v>121.48</v>
      </c>
      <c r="M255" s="70">
        <f t="shared" si="6"/>
        <v>146.58999999999997</v>
      </c>
      <c r="N255" s="70">
        <f t="shared" si="7"/>
        <v>26358.159999999989</v>
      </c>
    </row>
    <row r="256" spans="1:14" ht="14.25" customHeight="1">
      <c r="A256" s="7">
        <v>230</v>
      </c>
      <c r="B256" s="70">
        <f t="shared" si="0"/>
        <v>275.61</v>
      </c>
      <c r="C256" s="70">
        <f t="shared" si="1"/>
        <v>86.98</v>
      </c>
      <c r="D256" s="70">
        <f t="shared" si="2"/>
        <v>188.63</v>
      </c>
      <c r="E256" s="70">
        <f t="shared" si="3"/>
        <v>21557.519999999953</v>
      </c>
      <c r="J256" s="7">
        <v>230</v>
      </c>
      <c r="K256" s="70">
        <f t="shared" si="10"/>
        <v>268.07</v>
      </c>
      <c r="L256" s="70">
        <f t="shared" si="11"/>
        <v>120.81</v>
      </c>
      <c r="M256" s="70">
        <f t="shared" si="6"/>
        <v>147.26</v>
      </c>
      <c r="N256" s="70">
        <f t="shared" si="7"/>
        <v>26210.899999999991</v>
      </c>
    </row>
    <row r="257" spans="1:14" ht="14.25" customHeight="1">
      <c r="A257" s="7">
        <v>231</v>
      </c>
      <c r="B257" s="70">
        <f t="shared" si="0"/>
        <v>275.61</v>
      </c>
      <c r="C257" s="70">
        <f t="shared" si="1"/>
        <v>86.23</v>
      </c>
      <c r="D257" s="70">
        <f t="shared" si="2"/>
        <v>189.38</v>
      </c>
      <c r="E257" s="70">
        <f t="shared" si="3"/>
        <v>21368.139999999952</v>
      </c>
      <c r="J257" s="7">
        <v>231</v>
      </c>
      <c r="K257" s="70">
        <f t="shared" si="10"/>
        <v>268.07</v>
      </c>
      <c r="L257" s="70">
        <f t="shared" si="11"/>
        <v>120.13</v>
      </c>
      <c r="M257" s="70">
        <f t="shared" si="6"/>
        <v>147.94</v>
      </c>
      <c r="N257" s="70">
        <f t="shared" si="7"/>
        <v>26062.959999999992</v>
      </c>
    </row>
    <row r="258" spans="1:14" ht="14.25" customHeight="1">
      <c r="A258" s="7">
        <v>232</v>
      </c>
      <c r="B258" s="70">
        <f t="shared" si="0"/>
        <v>275.61</v>
      </c>
      <c r="C258" s="70">
        <f t="shared" si="1"/>
        <v>85.47</v>
      </c>
      <c r="D258" s="70">
        <f t="shared" si="2"/>
        <v>190.14000000000001</v>
      </c>
      <c r="E258" s="70">
        <f t="shared" si="3"/>
        <v>21177.999999999953</v>
      </c>
      <c r="J258" s="7">
        <v>232</v>
      </c>
      <c r="K258" s="70">
        <f t="shared" si="10"/>
        <v>268.07</v>
      </c>
      <c r="L258" s="70">
        <f t="shared" si="11"/>
        <v>119.46</v>
      </c>
      <c r="M258" s="70">
        <f t="shared" si="6"/>
        <v>148.61000000000001</v>
      </c>
      <c r="N258" s="70">
        <f t="shared" si="7"/>
        <v>25914.349999999991</v>
      </c>
    </row>
    <row r="259" spans="1:14" ht="14.25" customHeight="1">
      <c r="A259" s="7">
        <v>233</v>
      </c>
      <c r="B259" s="70">
        <f t="shared" si="0"/>
        <v>275.61</v>
      </c>
      <c r="C259" s="70">
        <f t="shared" si="1"/>
        <v>84.71</v>
      </c>
      <c r="D259" s="70">
        <f t="shared" si="2"/>
        <v>190.90000000000003</v>
      </c>
      <c r="E259" s="70">
        <f t="shared" si="3"/>
        <v>20987.099999999951</v>
      </c>
      <c r="J259" s="7">
        <v>233</v>
      </c>
      <c r="K259" s="70">
        <f t="shared" si="10"/>
        <v>268.07</v>
      </c>
      <c r="L259" s="70">
        <f t="shared" si="11"/>
        <v>118.77</v>
      </c>
      <c r="M259" s="70">
        <f t="shared" si="6"/>
        <v>149.30000000000001</v>
      </c>
      <c r="N259" s="70">
        <f t="shared" si="7"/>
        <v>25765.049999999992</v>
      </c>
    </row>
    <row r="260" spans="1:14" ht="14.25" customHeight="1">
      <c r="A260" s="7">
        <v>234</v>
      </c>
      <c r="B260" s="70">
        <f t="shared" si="0"/>
        <v>275.61</v>
      </c>
      <c r="C260" s="70">
        <f t="shared" si="1"/>
        <v>83.95</v>
      </c>
      <c r="D260" s="70">
        <f t="shared" si="2"/>
        <v>191.66000000000003</v>
      </c>
      <c r="E260" s="70">
        <f t="shared" si="3"/>
        <v>20795.439999999951</v>
      </c>
      <c r="J260" s="7">
        <v>234</v>
      </c>
      <c r="K260" s="70">
        <f t="shared" si="10"/>
        <v>268.07</v>
      </c>
      <c r="L260" s="70">
        <f t="shared" si="11"/>
        <v>118.09</v>
      </c>
      <c r="M260" s="70">
        <f t="shared" si="6"/>
        <v>149.97999999999999</v>
      </c>
      <c r="N260" s="70">
        <f t="shared" si="7"/>
        <v>25615.069999999992</v>
      </c>
    </row>
    <row r="261" spans="1:14" ht="14.25" customHeight="1">
      <c r="A261" s="7">
        <v>235</v>
      </c>
      <c r="B261" s="70">
        <f t="shared" si="0"/>
        <v>275.61</v>
      </c>
      <c r="C261" s="70">
        <f t="shared" si="1"/>
        <v>83.18</v>
      </c>
      <c r="D261" s="70">
        <f t="shared" si="2"/>
        <v>192.43</v>
      </c>
      <c r="E261" s="70">
        <f t="shared" si="3"/>
        <v>20603.009999999951</v>
      </c>
      <c r="J261" s="7">
        <v>235</v>
      </c>
      <c r="K261" s="70">
        <f t="shared" si="10"/>
        <v>268.07</v>
      </c>
      <c r="L261" s="70">
        <f t="shared" si="11"/>
        <v>117.4</v>
      </c>
      <c r="M261" s="70">
        <f t="shared" si="6"/>
        <v>150.66999999999999</v>
      </c>
      <c r="N261" s="70">
        <f t="shared" si="7"/>
        <v>25464.399999999994</v>
      </c>
    </row>
    <row r="262" spans="1:14" ht="14.25" customHeight="1">
      <c r="A262" s="7">
        <v>236</v>
      </c>
      <c r="B262" s="70">
        <f t="shared" si="0"/>
        <v>275.61</v>
      </c>
      <c r="C262" s="70">
        <f t="shared" si="1"/>
        <v>82.41</v>
      </c>
      <c r="D262" s="70">
        <f t="shared" si="2"/>
        <v>193.20000000000002</v>
      </c>
      <c r="E262" s="70">
        <f t="shared" si="3"/>
        <v>20409.80999999995</v>
      </c>
      <c r="J262" s="7">
        <v>236</v>
      </c>
      <c r="K262" s="70">
        <f t="shared" si="10"/>
        <v>268.07</v>
      </c>
      <c r="L262" s="70">
        <f t="shared" si="11"/>
        <v>116.71</v>
      </c>
      <c r="M262" s="70">
        <f t="shared" si="6"/>
        <v>151.36000000000001</v>
      </c>
      <c r="N262" s="70">
        <f t="shared" si="7"/>
        <v>25313.039999999994</v>
      </c>
    </row>
    <row r="263" spans="1:14" ht="14.25" customHeight="1">
      <c r="A263" s="7">
        <v>237</v>
      </c>
      <c r="B263" s="70">
        <f t="shared" si="0"/>
        <v>275.61</v>
      </c>
      <c r="C263" s="70">
        <f t="shared" si="1"/>
        <v>81.64</v>
      </c>
      <c r="D263" s="70">
        <f t="shared" si="2"/>
        <v>193.97000000000003</v>
      </c>
      <c r="E263" s="70">
        <f t="shared" si="3"/>
        <v>20215.839999999949</v>
      </c>
      <c r="J263" s="7">
        <v>237</v>
      </c>
      <c r="K263" s="70">
        <f t="shared" si="10"/>
        <v>268.07</v>
      </c>
      <c r="L263" s="70">
        <f t="shared" si="11"/>
        <v>116.02</v>
      </c>
      <c r="M263" s="70">
        <f t="shared" si="6"/>
        <v>152.05000000000001</v>
      </c>
      <c r="N263" s="70">
        <f t="shared" si="7"/>
        <v>25160.989999999994</v>
      </c>
    </row>
    <row r="264" spans="1:14" ht="14.25" customHeight="1">
      <c r="A264" s="7">
        <v>238</v>
      </c>
      <c r="B264" s="70">
        <f t="shared" si="0"/>
        <v>275.61</v>
      </c>
      <c r="C264" s="70">
        <f t="shared" si="1"/>
        <v>80.86</v>
      </c>
      <c r="D264" s="70">
        <f t="shared" si="2"/>
        <v>194.75</v>
      </c>
      <c r="E264" s="70">
        <f t="shared" si="3"/>
        <v>20021.089999999949</v>
      </c>
      <c r="J264" s="7">
        <v>238</v>
      </c>
      <c r="K264" s="70">
        <f t="shared" si="10"/>
        <v>268.07</v>
      </c>
      <c r="L264" s="70">
        <f t="shared" si="11"/>
        <v>115.32</v>
      </c>
      <c r="M264" s="70">
        <f t="shared" si="6"/>
        <v>152.75</v>
      </c>
      <c r="N264" s="70">
        <f t="shared" si="7"/>
        <v>25008.239999999994</v>
      </c>
    </row>
    <row r="265" spans="1:14" ht="14.25" customHeight="1">
      <c r="A265" s="7">
        <v>239</v>
      </c>
      <c r="B265" s="70">
        <f t="shared" si="0"/>
        <v>275.61</v>
      </c>
      <c r="C265" s="70">
        <f t="shared" si="1"/>
        <v>80.08</v>
      </c>
      <c r="D265" s="70">
        <f t="shared" si="2"/>
        <v>195.53000000000003</v>
      </c>
      <c r="E265" s="70">
        <f t="shared" si="3"/>
        <v>19825.55999999995</v>
      </c>
      <c r="J265" s="7">
        <v>239</v>
      </c>
      <c r="K265" s="70">
        <f t="shared" si="10"/>
        <v>268.07</v>
      </c>
      <c r="L265" s="70">
        <f t="shared" si="11"/>
        <v>114.62</v>
      </c>
      <c r="M265" s="70">
        <f t="shared" si="6"/>
        <v>153.44999999999999</v>
      </c>
      <c r="N265" s="70">
        <f t="shared" si="7"/>
        <v>24854.789999999994</v>
      </c>
    </row>
    <row r="266" spans="1:14" ht="14.25" customHeight="1">
      <c r="A266" s="7">
        <v>240</v>
      </c>
      <c r="B266" s="70">
        <f t="shared" si="0"/>
        <v>275.61</v>
      </c>
      <c r="C266" s="70">
        <f t="shared" si="1"/>
        <v>79.3</v>
      </c>
      <c r="D266" s="70">
        <f t="shared" si="2"/>
        <v>196.31</v>
      </c>
      <c r="E266" s="70">
        <f t="shared" si="3"/>
        <v>19629.249999999949</v>
      </c>
      <c r="J266" s="7">
        <v>240</v>
      </c>
      <c r="K266" s="70">
        <f t="shared" si="10"/>
        <v>268.07</v>
      </c>
      <c r="L266" s="70">
        <f t="shared" si="11"/>
        <v>113.92</v>
      </c>
      <c r="M266" s="70">
        <f t="shared" si="6"/>
        <v>154.14999999999998</v>
      </c>
      <c r="N266" s="70">
        <f t="shared" si="7"/>
        <v>24700.639999999992</v>
      </c>
    </row>
    <row r="267" spans="1:14" ht="14.25" customHeight="1">
      <c r="A267" s="7">
        <v>241</v>
      </c>
      <c r="B267" s="70">
        <f t="shared" si="0"/>
        <v>275.61</v>
      </c>
      <c r="C267" s="70">
        <f t="shared" si="1"/>
        <v>78.52</v>
      </c>
      <c r="D267" s="70">
        <f t="shared" si="2"/>
        <v>197.09000000000003</v>
      </c>
      <c r="E267" s="70">
        <f t="shared" si="3"/>
        <v>19432.159999999949</v>
      </c>
      <c r="J267" s="7">
        <v>241</v>
      </c>
      <c r="K267" s="70">
        <f t="shared" si="10"/>
        <v>268.07</v>
      </c>
      <c r="L267" s="70">
        <f t="shared" si="11"/>
        <v>113.21</v>
      </c>
      <c r="M267" s="70">
        <f t="shared" si="6"/>
        <v>154.86000000000001</v>
      </c>
      <c r="N267" s="70">
        <f t="shared" si="7"/>
        <v>24545.779999999992</v>
      </c>
    </row>
    <row r="268" spans="1:14" ht="14.25" customHeight="1">
      <c r="A268" s="7">
        <v>242</v>
      </c>
      <c r="B268" s="70">
        <f t="shared" si="0"/>
        <v>275.61</v>
      </c>
      <c r="C268" s="70">
        <f t="shared" si="1"/>
        <v>77.73</v>
      </c>
      <c r="D268" s="70">
        <f t="shared" si="2"/>
        <v>197.88</v>
      </c>
      <c r="E268" s="70">
        <f t="shared" si="3"/>
        <v>19234.279999999948</v>
      </c>
      <c r="J268" s="7">
        <v>242</v>
      </c>
      <c r="K268" s="70">
        <f t="shared" si="10"/>
        <v>268.07</v>
      </c>
      <c r="L268" s="70">
        <f t="shared" si="11"/>
        <v>112.5</v>
      </c>
      <c r="M268" s="70">
        <f t="shared" si="6"/>
        <v>155.57</v>
      </c>
      <c r="N268" s="70">
        <f t="shared" si="7"/>
        <v>24390.209999999992</v>
      </c>
    </row>
    <row r="269" spans="1:14" ht="14.25" customHeight="1">
      <c r="A269" s="7">
        <v>243</v>
      </c>
      <c r="B269" s="70">
        <f t="shared" si="0"/>
        <v>275.61</v>
      </c>
      <c r="C269" s="70">
        <f t="shared" si="1"/>
        <v>76.94</v>
      </c>
      <c r="D269" s="70">
        <f t="shared" si="2"/>
        <v>198.67000000000002</v>
      </c>
      <c r="E269" s="70">
        <f t="shared" si="3"/>
        <v>19035.60999999995</v>
      </c>
      <c r="J269" s="7">
        <v>243</v>
      </c>
      <c r="K269" s="70">
        <f t="shared" si="10"/>
        <v>268.07</v>
      </c>
      <c r="L269" s="70">
        <f t="shared" si="11"/>
        <v>111.79</v>
      </c>
      <c r="M269" s="70">
        <f t="shared" si="6"/>
        <v>156.27999999999997</v>
      </c>
      <c r="N269" s="70">
        <f t="shared" si="7"/>
        <v>24233.929999999993</v>
      </c>
    </row>
    <row r="270" spans="1:14" ht="14.25" customHeight="1">
      <c r="A270" s="7">
        <v>244</v>
      </c>
      <c r="B270" s="70">
        <f t="shared" si="0"/>
        <v>275.61</v>
      </c>
      <c r="C270" s="70">
        <f t="shared" si="1"/>
        <v>76.14</v>
      </c>
      <c r="D270" s="70">
        <f t="shared" si="2"/>
        <v>199.47000000000003</v>
      </c>
      <c r="E270" s="70">
        <f t="shared" si="3"/>
        <v>18836.139999999948</v>
      </c>
      <c r="J270" s="7">
        <v>244</v>
      </c>
      <c r="K270" s="70">
        <f t="shared" si="10"/>
        <v>268.07</v>
      </c>
      <c r="L270" s="70">
        <f t="shared" si="11"/>
        <v>111.07</v>
      </c>
      <c r="M270" s="70">
        <f t="shared" si="6"/>
        <v>157</v>
      </c>
      <c r="N270" s="70">
        <f t="shared" si="7"/>
        <v>24076.929999999993</v>
      </c>
    </row>
    <row r="271" spans="1:14" ht="14.25" customHeight="1">
      <c r="A271" s="7">
        <v>245</v>
      </c>
      <c r="B271" s="70">
        <f t="shared" si="0"/>
        <v>275.61</v>
      </c>
      <c r="C271" s="70">
        <f t="shared" si="1"/>
        <v>75.34</v>
      </c>
      <c r="D271" s="70">
        <f t="shared" si="2"/>
        <v>200.27</v>
      </c>
      <c r="E271" s="70">
        <f t="shared" si="3"/>
        <v>18635.869999999948</v>
      </c>
      <c r="J271" s="7">
        <v>245</v>
      </c>
      <c r="K271" s="70">
        <f t="shared" si="10"/>
        <v>268.07</v>
      </c>
      <c r="L271" s="70">
        <f t="shared" si="11"/>
        <v>110.35</v>
      </c>
      <c r="M271" s="70">
        <f t="shared" si="6"/>
        <v>157.72</v>
      </c>
      <c r="N271" s="70">
        <f t="shared" si="7"/>
        <v>23919.209999999992</v>
      </c>
    </row>
    <row r="272" spans="1:14" ht="14.25" customHeight="1">
      <c r="A272" s="7">
        <v>246</v>
      </c>
      <c r="B272" s="70">
        <f t="shared" si="0"/>
        <v>275.61</v>
      </c>
      <c r="C272" s="70">
        <f t="shared" si="1"/>
        <v>74.540000000000006</v>
      </c>
      <c r="D272" s="70">
        <f t="shared" si="2"/>
        <v>201.07</v>
      </c>
      <c r="E272" s="70">
        <f t="shared" si="3"/>
        <v>18434.799999999948</v>
      </c>
      <c r="J272" s="7">
        <v>246</v>
      </c>
      <c r="K272" s="70">
        <f t="shared" si="10"/>
        <v>268.07</v>
      </c>
      <c r="L272" s="70">
        <f t="shared" si="11"/>
        <v>109.63</v>
      </c>
      <c r="M272" s="70">
        <f t="shared" si="6"/>
        <v>158.44</v>
      </c>
      <c r="N272" s="70">
        <f t="shared" si="7"/>
        <v>23760.769999999993</v>
      </c>
    </row>
    <row r="273" spans="1:14" ht="14.25" customHeight="1">
      <c r="A273" s="7">
        <v>247</v>
      </c>
      <c r="B273" s="70">
        <f t="shared" si="0"/>
        <v>275.61</v>
      </c>
      <c r="C273" s="70">
        <f t="shared" si="1"/>
        <v>73.739999999999995</v>
      </c>
      <c r="D273" s="70">
        <f t="shared" si="2"/>
        <v>201.87</v>
      </c>
      <c r="E273" s="70">
        <f t="shared" si="3"/>
        <v>18232.929999999949</v>
      </c>
      <c r="J273" s="7">
        <v>247</v>
      </c>
      <c r="K273" s="70">
        <f t="shared" si="10"/>
        <v>268.07</v>
      </c>
      <c r="L273" s="70">
        <f t="shared" si="11"/>
        <v>108.9</v>
      </c>
      <c r="M273" s="70">
        <f t="shared" si="6"/>
        <v>159.16999999999999</v>
      </c>
      <c r="N273" s="70">
        <f t="shared" si="7"/>
        <v>23601.599999999995</v>
      </c>
    </row>
    <row r="274" spans="1:14" ht="14.25" customHeight="1">
      <c r="A274" s="7">
        <v>248</v>
      </c>
      <c r="B274" s="70">
        <f t="shared" si="0"/>
        <v>275.61</v>
      </c>
      <c r="C274" s="70">
        <f t="shared" si="1"/>
        <v>72.930000000000007</v>
      </c>
      <c r="D274" s="70">
        <f t="shared" si="2"/>
        <v>202.68</v>
      </c>
      <c r="E274" s="70">
        <f t="shared" si="3"/>
        <v>18030.249999999949</v>
      </c>
      <c r="J274" s="7">
        <v>248</v>
      </c>
      <c r="K274" s="70">
        <f t="shared" si="10"/>
        <v>268.07</v>
      </c>
      <c r="L274" s="70">
        <f t="shared" si="11"/>
        <v>108.17</v>
      </c>
      <c r="M274" s="70">
        <f t="shared" si="6"/>
        <v>159.89999999999998</v>
      </c>
      <c r="N274" s="70">
        <f t="shared" si="7"/>
        <v>23441.699999999993</v>
      </c>
    </row>
    <row r="275" spans="1:14" ht="14.25" customHeight="1">
      <c r="A275" s="7">
        <v>249</v>
      </c>
      <c r="B275" s="70">
        <f t="shared" si="0"/>
        <v>275.61</v>
      </c>
      <c r="C275" s="70">
        <f t="shared" si="1"/>
        <v>72.12</v>
      </c>
      <c r="D275" s="70">
        <f t="shared" si="2"/>
        <v>203.49</v>
      </c>
      <c r="E275" s="70">
        <f t="shared" si="3"/>
        <v>17826.759999999947</v>
      </c>
      <c r="J275" s="7">
        <v>249</v>
      </c>
      <c r="K275" s="70">
        <f t="shared" si="10"/>
        <v>268.07</v>
      </c>
      <c r="L275" s="70">
        <f t="shared" si="11"/>
        <v>107.44</v>
      </c>
      <c r="M275" s="70">
        <f t="shared" si="6"/>
        <v>160.63</v>
      </c>
      <c r="N275" s="70">
        <f t="shared" si="7"/>
        <v>23281.069999999992</v>
      </c>
    </row>
    <row r="276" spans="1:14" ht="14.25" customHeight="1">
      <c r="A276" s="7">
        <v>250</v>
      </c>
      <c r="B276" s="70">
        <f t="shared" si="0"/>
        <v>275.61</v>
      </c>
      <c r="C276" s="70">
        <f t="shared" si="1"/>
        <v>71.31</v>
      </c>
      <c r="D276" s="70">
        <f t="shared" si="2"/>
        <v>204.3</v>
      </c>
      <c r="E276" s="70">
        <f t="shared" si="3"/>
        <v>17622.459999999948</v>
      </c>
      <c r="J276" s="7">
        <v>250</v>
      </c>
      <c r="K276" s="70">
        <f t="shared" si="10"/>
        <v>268.07</v>
      </c>
      <c r="L276" s="70">
        <f t="shared" si="11"/>
        <v>106.7</v>
      </c>
      <c r="M276" s="70">
        <f t="shared" si="6"/>
        <v>161.37</v>
      </c>
      <c r="N276" s="70">
        <f t="shared" si="7"/>
        <v>23119.699999999993</v>
      </c>
    </row>
    <row r="277" spans="1:14" ht="14.25" customHeight="1">
      <c r="A277" s="7">
        <v>251</v>
      </c>
      <c r="B277" s="70">
        <f t="shared" si="0"/>
        <v>275.61</v>
      </c>
      <c r="C277" s="70">
        <f t="shared" si="1"/>
        <v>70.489999999999995</v>
      </c>
      <c r="D277" s="70">
        <f t="shared" si="2"/>
        <v>205.12</v>
      </c>
      <c r="E277" s="70">
        <f t="shared" si="3"/>
        <v>17417.339999999949</v>
      </c>
      <c r="J277" s="7">
        <v>251</v>
      </c>
      <c r="K277" s="70">
        <f t="shared" si="10"/>
        <v>268.07</v>
      </c>
      <c r="L277" s="70">
        <f t="shared" si="11"/>
        <v>105.97</v>
      </c>
      <c r="M277" s="70">
        <f t="shared" si="6"/>
        <v>162.1</v>
      </c>
      <c r="N277" s="70">
        <f t="shared" si="7"/>
        <v>22957.599999999995</v>
      </c>
    </row>
    <row r="278" spans="1:14" ht="14.25" customHeight="1">
      <c r="A278" s="7">
        <v>252</v>
      </c>
      <c r="B278" s="70">
        <f t="shared" si="0"/>
        <v>275.61</v>
      </c>
      <c r="C278" s="70">
        <f t="shared" si="1"/>
        <v>69.67</v>
      </c>
      <c r="D278" s="70">
        <f t="shared" si="2"/>
        <v>205.94</v>
      </c>
      <c r="E278" s="70">
        <f t="shared" si="3"/>
        <v>17211.399999999951</v>
      </c>
      <c r="J278" s="7">
        <v>252</v>
      </c>
      <c r="K278" s="70">
        <f t="shared" si="10"/>
        <v>268.07</v>
      </c>
      <c r="L278" s="70">
        <f t="shared" si="11"/>
        <v>105.22</v>
      </c>
      <c r="M278" s="70">
        <f t="shared" si="6"/>
        <v>162.85</v>
      </c>
      <c r="N278" s="70">
        <f t="shared" si="7"/>
        <v>22794.749999999996</v>
      </c>
    </row>
    <row r="279" spans="1:14" ht="14.25" customHeight="1">
      <c r="A279" s="7">
        <v>253</v>
      </c>
      <c r="B279" s="70">
        <f t="shared" si="0"/>
        <v>275.61</v>
      </c>
      <c r="C279" s="70">
        <f t="shared" si="1"/>
        <v>68.849999999999994</v>
      </c>
      <c r="D279" s="70">
        <f t="shared" si="2"/>
        <v>206.76000000000002</v>
      </c>
      <c r="E279" s="70">
        <f t="shared" si="3"/>
        <v>17004.639999999952</v>
      </c>
      <c r="J279" s="7">
        <v>253</v>
      </c>
      <c r="K279" s="70">
        <f t="shared" si="10"/>
        <v>268.07</v>
      </c>
      <c r="L279" s="70">
        <f t="shared" si="11"/>
        <v>104.48</v>
      </c>
      <c r="M279" s="70">
        <f t="shared" si="6"/>
        <v>163.58999999999997</v>
      </c>
      <c r="N279" s="70">
        <f t="shared" si="7"/>
        <v>22631.159999999996</v>
      </c>
    </row>
    <row r="280" spans="1:14" ht="14.25" customHeight="1">
      <c r="A280" s="7">
        <v>254</v>
      </c>
      <c r="B280" s="70">
        <f t="shared" si="0"/>
        <v>275.61</v>
      </c>
      <c r="C280" s="70">
        <f t="shared" si="1"/>
        <v>68.02</v>
      </c>
      <c r="D280" s="70">
        <f t="shared" si="2"/>
        <v>207.59000000000003</v>
      </c>
      <c r="E280" s="70">
        <f t="shared" si="3"/>
        <v>16797.049999999952</v>
      </c>
      <c r="J280" s="7">
        <v>254</v>
      </c>
      <c r="K280" s="70">
        <f t="shared" si="10"/>
        <v>268.07</v>
      </c>
      <c r="L280" s="70">
        <f t="shared" si="11"/>
        <v>103.73</v>
      </c>
      <c r="M280" s="70">
        <f t="shared" si="6"/>
        <v>164.33999999999997</v>
      </c>
      <c r="N280" s="70">
        <f t="shared" si="7"/>
        <v>22466.819999999996</v>
      </c>
    </row>
    <row r="281" spans="1:14" ht="14.25" customHeight="1">
      <c r="A281" s="7">
        <v>255</v>
      </c>
      <c r="B281" s="70">
        <f t="shared" si="0"/>
        <v>275.61</v>
      </c>
      <c r="C281" s="70">
        <f t="shared" si="1"/>
        <v>67.19</v>
      </c>
      <c r="D281" s="70">
        <f t="shared" si="2"/>
        <v>208.42000000000002</v>
      </c>
      <c r="E281" s="70">
        <f t="shared" si="3"/>
        <v>16588.629999999954</v>
      </c>
      <c r="J281" s="7">
        <v>255</v>
      </c>
      <c r="K281" s="70">
        <f t="shared" si="10"/>
        <v>268.07</v>
      </c>
      <c r="L281" s="70">
        <f t="shared" si="11"/>
        <v>102.97</v>
      </c>
      <c r="M281" s="70">
        <f t="shared" si="6"/>
        <v>165.1</v>
      </c>
      <c r="N281" s="70">
        <f t="shared" si="7"/>
        <v>22301.719999999998</v>
      </c>
    </row>
    <row r="282" spans="1:14" ht="14.25" customHeight="1">
      <c r="A282" s="7">
        <v>256</v>
      </c>
      <c r="B282" s="70">
        <f t="shared" ref="B282:B349" si="12">-$B$21</f>
        <v>275.61</v>
      </c>
      <c r="C282" s="70">
        <f t="shared" ref="C282:C350" si="13">ROUND(E281*$B$17,2)</f>
        <v>66.349999999999994</v>
      </c>
      <c r="D282" s="70">
        <f t="shared" ref="D282:D349" si="14">B282-C282</f>
        <v>209.26000000000002</v>
      </c>
      <c r="E282" s="70">
        <f t="shared" ref="E282:E350" si="15">E281-D282</f>
        <v>16379.369999999954</v>
      </c>
      <c r="J282" s="7">
        <v>256</v>
      </c>
      <c r="K282" s="70">
        <f t="shared" si="10"/>
        <v>268.07</v>
      </c>
      <c r="L282" s="70">
        <f t="shared" si="11"/>
        <v>102.22</v>
      </c>
      <c r="M282" s="70">
        <f t="shared" ref="M282:M385" si="16">K282-L282</f>
        <v>165.85</v>
      </c>
      <c r="N282" s="70">
        <f t="shared" ref="N282:N386" si="17">N281-M282</f>
        <v>22135.87</v>
      </c>
    </row>
    <row r="283" spans="1:14" ht="14.25" customHeight="1">
      <c r="A283" s="7">
        <v>257</v>
      </c>
      <c r="B283" s="70">
        <f t="shared" si="12"/>
        <v>275.61</v>
      </c>
      <c r="C283" s="70">
        <f t="shared" si="13"/>
        <v>65.52</v>
      </c>
      <c r="D283" s="70">
        <f t="shared" si="14"/>
        <v>210.09000000000003</v>
      </c>
      <c r="E283" s="70">
        <f t="shared" si="15"/>
        <v>16169.279999999953</v>
      </c>
      <c r="J283" s="7">
        <v>257</v>
      </c>
      <c r="K283" s="70">
        <f t="shared" si="10"/>
        <v>268.07</v>
      </c>
      <c r="L283" s="70">
        <f t="shared" si="11"/>
        <v>101.46</v>
      </c>
      <c r="M283" s="70">
        <f t="shared" si="16"/>
        <v>166.61</v>
      </c>
      <c r="N283" s="70">
        <f t="shared" si="17"/>
        <v>21969.26</v>
      </c>
    </row>
    <row r="284" spans="1:14" ht="14.25" customHeight="1">
      <c r="A284" s="7">
        <v>258</v>
      </c>
      <c r="B284" s="70">
        <f t="shared" si="12"/>
        <v>275.61</v>
      </c>
      <c r="C284" s="70">
        <f t="shared" si="13"/>
        <v>64.680000000000007</v>
      </c>
      <c r="D284" s="70">
        <f t="shared" si="14"/>
        <v>210.93</v>
      </c>
      <c r="E284" s="70">
        <f t="shared" si="15"/>
        <v>15958.349999999953</v>
      </c>
      <c r="J284" s="7">
        <v>258</v>
      </c>
      <c r="K284" s="70">
        <f t="shared" si="10"/>
        <v>268.07</v>
      </c>
      <c r="L284" s="70">
        <f t="shared" si="11"/>
        <v>100.69</v>
      </c>
      <c r="M284" s="70">
        <f t="shared" si="16"/>
        <v>167.38</v>
      </c>
      <c r="N284" s="70">
        <f t="shared" si="17"/>
        <v>21801.879999999997</v>
      </c>
    </row>
    <row r="285" spans="1:14" ht="14.25" customHeight="1">
      <c r="A285" s="7">
        <v>259</v>
      </c>
      <c r="B285" s="70">
        <f t="shared" si="12"/>
        <v>275.61</v>
      </c>
      <c r="C285" s="70">
        <f t="shared" si="13"/>
        <v>63.83</v>
      </c>
      <c r="D285" s="70">
        <f t="shared" si="14"/>
        <v>211.78000000000003</v>
      </c>
      <c r="E285" s="70">
        <f t="shared" si="15"/>
        <v>15746.569999999952</v>
      </c>
      <c r="J285" s="7">
        <v>259</v>
      </c>
      <c r="K285" s="70">
        <f t="shared" si="10"/>
        <v>268.07</v>
      </c>
      <c r="L285" s="70">
        <f t="shared" si="11"/>
        <v>99.93</v>
      </c>
      <c r="M285" s="70">
        <f t="shared" si="16"/>
        <v>168.14</v>
      </c>
      <c r="N285" s="70">
        <f t="shared" si="17"/>
        <v>21633.739999999998</v>
      </c>
    </row>
    <row r="286" spans="1:14" ht="14.25" customHeight="1">
      <c r="A286" s="7">
        <v>260</v>
      </c>
      <c r="B286" s="70">
        <f t="shared" si="12"/>
        <v>275.61</v>
      </c>
      <c r="C286" s="70">
        <f t="shared" si="13"/>
        <v>62.99</v>
      </c>
      <c r="D286" s="70">
        <f t="shared" si="14"/>
        <v>212.62</v>
      </c>
      <c r="E286" s="70">
        <f t="shared" si="15"/>
        <v>15533.949999999952</v>
      </c>
      <c r="J286" s="7">
        <v>260</v>
      </c>
      <c r="K286" s="70">
        <f t="shared" si="10"/>
        <v>268.07</v>
      </c>
      <c r="L286" s="70">
        <f t="shared" si="11"/>
        <v>99.15</v>
      </c>
      <c r="M286" s="70">
        <f t="shared" si="16"/>
        <v>168.92</v>
      </c>
      <c r="N286" s="70">
        <f t="shared" si="17"/>
        <v>21464.82</v>
      </c>
    </row>
    <row r="287" spans="1:14" ht="14.25" customHeight="1">
      <c r="A287" s="7">
        <v>261</v>
      </c>
      <c r="B287" s="70">
        <f t="shared" si="12"/>
        <v>275.61</v>
      </c>
      <c r="C287" s="70">
        <f t="shared" si="13"/>
        <v>62.14</v>
      </c>
      <c r="D287" s="70">
        <f t="shared" si="14"/>
        <v>213.47000000000003</v>
      </c>
      <c r="E287" s="70">
        <f t="shared" si="15"/>
        <v>15320.479999999952</v>
      </c>
      <c r="J287" s="7">
        <v>261</v>
      </c>
      <c r="K287" s="70">
        <f t="shared" si="10"/>
        <v>268.07</v>
      </c>
      <c r="L287" s="70">
        <f t="shared" si="11"/>
        <v>98.38</v>
      </c>
      <c r="M287" s="70">
        <f t="shared" si="16"/>
        <v>169.69</v>
      </c>
      <c r="N287" s="70">
        <f t="shared" si="17"/>
        <v>21295.13</v>
      </c>
    </row>
    <row r="288" spans="1:14" ht="14.25" customHeight="1">
      <c r="A288" s="7">
        <v>262</v>
      </c>
      <c r="B288" s="70">
        <f t="shared" si="12"/>
        <v>275.61</v>
      </c>
      <c r="C288" s="70">
        <f t="shared" si="13"/>
        <v>61.28</v>
      </c>
      <c r="D288" s="70">
        <f t="shared" si="14"/>
        <v>214.33</v>
      </c>
      <c r="E288" s="70">
        <f t="shared" si="15"/>
        <v>15106.149999999952</v>
      </c>
      <c r="J288" s="7">
        <v>262</v>
      </c>
      <c r="K288" s="70">
        <f t="shared" si="10"/>
        <v>268.07</v>
      </c>
      <c r="L288" s="70">
        <f t="shared" si="11"/>
        <v>97.6</v>
      </c>
      <c r="M288" s="70">
        <f t="shared" si="16"/>
        <v>170.47</v>
      </c>
      <c r="N288" s="70">
        <f t="shared" si="17"/>
        <v>21124.66</v>
      </c>
    </row>
    <row r="289" spans="1:14" ht="14.25" customHeight="1">
      <c r="A289" s="7">
        <v>263</v>
      </c>
      <c r="B289" s="70">
        <f t="shared" si="12"/>
        <v>275.61</v>
      </c>
      <c r="C289" s="70">
        <f t="shared" si="13"/>
        <v>60.42</v>
      </c>
      <c r="D289" s="70">
        <f t="shared" si="14"/>
        <v>215.19</v>
      </c>
      <c r="E289" s="70">
        <f t="shared" si="15"/>
        <v>14890.959999999952</v>
      </c>
      <c r="J289" s="7">
        <v>263</v>
      </c>
      <c r="K289" s="70">
        <f t="shared" si="10"/>
        <v>268.07</v>
      </c>
      <c r="L289" s="70">
        <f t="shared" si="11"/>
        <v>96.82</v>
      </c>
      <c r="M289" s="70">
        <f t="shared" si="16"/>
        <v>171.25</v>
      </c>
      <c r="N289" s="70">
        <f t="shared" si="17"/>
        <v>20953.41</v>
      </c>
    </row>
    <row r="290" spans="1:14" ht="14.25" customHeight="1">
      <c r="A290" s="7">
        <v>264</v>
      </c>
      <c r="B290" s="70">
        <f t="shared" si="12"/>
        <v>275.61</v>
      </c>
      <c r="C290" s="70">
        <f t="shared" si="13"/>
        <v>59.56</v>
      </c>
      <c r="D290" s="70">
        <f t="shared" si="14"/>
        <v>216.05</v>
      </c>
      <c r="E290" s="70">
        <f t="shared" si="15"/>
        <v>14674.909999999953</v>
      </c>
      <c r="J290" s="7">
        <v>264</v>
      </c>
      <c r="K290" s="70">
        <f t="shared" si="10"/>
        <v>268.07</v>
      </c>
      <c r="L290" s="70">
        <f t="shared" si="11"/>
        <v>96.04</v>
      </c>
      <c r="M290" s="70">
        <f t="shared" si="16"/>
        <v>172.02999999999997</v>
      </c>
      <c r="N290" s="70">
        <f t="shared" si="17"/>
        <v>20781.38</v>
      </c>
    </row>
    <row r="291" spans="1:14" ht="14.25" customHeight="1">
      <c r="A291" s="7">
        <v>265</v>
      </c>
      <c r="B291" s="70">
        <f t="shared" si="12"/>
        <v>275.61</v>
      </c>
      <c r="C291" s="70">
        <f t="shared" si="13"/>
        <v>58.7</v>
      </c>
      <c r="D291" s="70">
        <f t="shared" si="14"/>
        <v>216.91000000000003</v>
      </c>
      <c r="E291" s="70">
        <f t="shared" si="15"/>
        <v>14457.999999999953</v>
      </c>
      <c r="J291" s="7">
        <v>265</v>
      </c>
      <c r="K291" s="70">
        <f t="shared" si="10"/>
        <v>268.07</v>
      </c>
      <c r="L291" s="70">
        <f t="shared" si="11"/>
        <v>95.25</v>
      </c>
      <c r="M291" s="70">
        <f t="shared" si="16"/>
        <v>172.82</v>
      </c>
      <c r="N291" s="70">
        <f t="shared" si="17"/>
        <v>20608.560000000001</v>
      </c>
    </row>
    <row r="292" spans="1:14" ht="14.25" customHeight="1">
      <c r="A292" s="7">
        <v>266</v>
      </c>
      <c r="B292" s="70">
        <f t="shared" si="12"/>
        <v>275.61</v>
      </c>
      <c r="C292" s="70">
        <f t="shared" si="13"/>
        <v>57.83</v>
      </c>
      <c r="D292" s="70">
        <f t="shared" si="14"/>
        <v>217.78000000000003</v>
      </c>
      <c r="E292" s="70">
        <f t="shared" si="15"/>
        <v>14240.219999999952</v>
      </c>
      <c r="J292" s="7">
        <v>266</v>
      </c>
      <c r="K292" s="70">
        <f t="shared" si="10"/>
        <v>268.07</v>
      </c>
      <c r="L292" s="70">
        <f t="shared" si="11"/>
        <v>94.46</v>
      </c>
      <c r="M292" s="70">
        <f t="shared" si="16"/>
        <v>173.61</v>
      </c>
      <c r="N292" s="70">
        <f t="shared" si="17"/>
        <v>20434.95</v>
      </c>
    </row>
    <row r="293" spans="1:14" ht="14.25" customHeight="1">
      <c r="A293" s="7">
        <v>267</v>
      </c>
      <c r="B293" s="70">
        <f t="shared" si="12"/>
        <v>275.61</v>
      </c>
      <c r="C293" s="70">
        <f t="shared" si="13"/>
        <v>56.96</v>
      </c>
      <c r="D293" s="70">
        <f t="shared" si="14"/>
        <v>218.65</v>
      </c>
      <c r="E293" s="70">
        <f t="shared" si="15"/>
        <v>14021.569999999952</v>
      </c>
      <c r="J293" s="7">
        <v>267</v>
      </c>
      <c r="K293" s="70">
        <f t="shared" si="10"/>
        <v>268.07</v>
      </c>
      <c r="L293" s="70">
        <f t="shared" si="11"/>
        <v>93.66</v>
      </c>
      <c r="M293" s="70">
        <f t="shared" si="16"/>
        <v>174.41</v>
      </c>
      <c r="N293" s="70">
        <f t="shared" si="17"/>
        <v>20260.54</v>
      </c>
    </row>
    <row r="294" spans="1:14" ht="14.25" customHeight="1">
      <c r="A294" s="7">
        <v>268</v>
      </c>
      <c r="B294" s="70">
        <f t="shared" si="12"/>
        <v>275.61</v>
      </c>
      <c r="C294" s="70">
        <f t="shared" si="13"/>
        <v>56.09</v>
      </c>
      <c r="D294" s="70">
        <f t="shared" si="14"/>
        <v>219.52</v>
      </c>
      <c r="E294" s="70">
        <f t="shared" si="15"/>
        <v>13802.049999999952</v>
      </c>
      <c r="J294" s="7">
        <v>268</v>
      </c>
      <c r="K294" s="70">
        <f t="shared" si="10"/>
        <v>268.07</v>
      </c>
      <c r="L294" s="70">
        <f t="shared" si="11"/>
        <v>92.86</v>
      </c>
      <c r="M294" s="70">
        <f t="shared" si="16"/>
        <v>175.20999999999998</v>
      </c>
      <c r="N294" s="70">
        <f t="shared" si="17"/>
        <v>20085.330000000002</v>
      </c>
    </row>
    <row r="295" spans="1:14" ht="14.25" customHeight="1">
      <c r="A295" s="7">
        <v>269</v>
      </c>
      <c r="B295" s="70">
        <f t="shared" si="12"/>
        <v>275.61</v>
      </c>
      <c r="C295" s="70">
        <f t="shared" si="13"/>
        <v>55.21</v>
      </c>
      <c r="D295" s="70">
        <f t="shared" si="14"/>
        <v>220.4</v>
      </c>
      <c r="E295" s="70">
        <f t="shared" si="15"/>
        <v>13581.649999999952</v>
      </c>
      <c r="J295" s="7">
        <v>269</v>
      </c>
      <c r="K295" s="70">
        <f t="shared" si="10"/>
        <v>268.07</v>
      </c>
      <c r="L295" s="70">
        <f t="shared" si="11"/>
        <v>92.06</v>
      </c>
      <c r="M295" s="70">
        <f t="shared" si="16"/>
        <v>176.01</v>
      </c>
      <c r="N295" s="70">
        <f t="shared" si="17"/>
        <v>19909.320000000003</v>
      </c>
    </row>
    <row r="296" spans="1:14" ht="14.25" customHeight="1">
      <c r="A296" s="7">
        <v>270</v>
      </c>
      <c r="B296" s="70">
        <f t="shared" si="12"/>
        <v>275.61</v>
      </c>
      <c r="C296" s="70">
        <f t="shared" si="13"/>
        <v>54.33</v>
      </c>
      <c r="D296" s="70">
        <f t="shared" si="14"/>
        <v>221.28000000000003</v>
      </c>
      <c r="E296" s="70">
        <f t="shared" si="15"/>
        <v>13360.369999999952</v>
      </c>
      <c r="J296" s="7">
        <v>270</v>
      </c>
      <c r="K296" s="70">
        <f t="shared" si="10"/>
        <v>268.07</v>
      </c>
      <c r="L296" s="70">
        <f t="shared" si="11"/>
        <v>91.25</v>
      </c>
      <c r="M296" s="70">
        <f t="shared" si="16"/>
        <v>176.82</v>
      </c>
      <c r="N296" s="70">
        <f t="shared" si="17"/>
        <v>19732.500000000004</v>
      </c>
    </row>
    <row r="297" spans="1:14" ht="14.25" customHeight="1">
      <c r="A297" s="7">
        <v>271</v>
      </c>
      <c r="B297" s="70">
        <f t="shared" si="12"/>
        <v>275.61</v>
      </c>
      <c r="C297" s="70">
        <f t="shared" si="13"/>
        <v>53.44</v>
      </c>
      <c r="D297" s="70">
        <f t="shared" si="14"/>
        <v>222.17000000000002</v>
      </c>
      <c r="E297" s="70">
        <f t="shared" si="15"/>
        <v>13138.199999999952</v>
      </c>
      <c r="J297" s="7">
        <v>271</v>
      </c>
      <c r="K297" s="70">
        <f t="shared" si="10"/>
        <v>268.07</v>
      </c>
      <c r="L297" s="70">
        <f t="shared" si="11"/>
        <v>90.44</v>
      </c>
      <c r="M297" s="70">
        <f t="shared" si="16"/>
        <v>177.63</v>
      </c>
      <c r="N297" s="70">
        <f t="shared" si="17"/>
        <v>19554.870000000003</v>
      </c>
    </row>
    <row r="298" spans="1:14" ht="14.25" customHeight="1">
      <c r="A298" s="7">
        <v>272</v>
      </c>
      <c r="B298" s="70">
        <f t="shared" si="12"/>
        <v>275.61</v>
      </c>
      <c r="C298" s="70">
        <f t="shared" si="13"/>
        <v>52.55</v>
      </c>
      <c r="D298" s="70">
        <f t="shared" si="14"/>
        <v>223.06</v>
      </c>
      <c r="E298" s="70">
        <f t="shared" si="15"/>
        <v>12915.139999999952</v>
      </c>
      <c r="J298" s="7">
        <v>272</v>
      </c>
      <c r="K298" s="70">
        <f t="shared" si="10"/>
        <v>268.07</v>
      </c>
      <c r="L298" s="70">
        <f t="shared" si="11"/>
        <v>89.63</v>
      </c>
      <c r="M298" s="70">
        <f t="shared" si="16"/>
        <v>178.44</v>
      </c>
      <c r="N298" s="70">
        <f t="shared" si="17"/>
        <v>19376.430000000004</v>
      </c>
    </row>
    <row r="299" spans="1:14" ht="14.25" customHeight="1">
      <c r="A299" s="7">
        <v>273</v>
      </c>
      <c r="B299" s="70">
        <f t="shared" si="12"/>
        <v>275.61</v>
      </c>
      <c r="C299" s="70">
        <f t="shared" si="13"/>
        <v>51.66</v>
      </c>
      <c r="D299" s="70">
        <f t="shared" si="14"/>
        <v>223.95000000000002</v>
      </c>
      <c r="E299" s="70">
        <f t="shared" si="15"/>
        <v>12691.189999999951</v>
      </c>
      <c r="J299" s="7">
        <v>273</v>
      </c>
      <c r="K299" s="70">
        <f t="shared" si="10"/>
        <v>268.07</v>
      </c>
      <c r="L299" s="70">
        <f t="shared" si="11"/>
        <v>88.81</v>
      </c>
      <c r="M299" s="70">
        <f t="shared" si="16"/>
        <v>179.26</v>
      </c>
      <c r="N299" s="70">
        <f t="shared" si="17"/>
        <v>19197.170000000006</v>
      </c>
    </row>
    <row r="300" spans="1:14" ht="14.25" customHeight="1">
      <c r="A300" s="7">
        <v>274</v>
      </c>
      <c r="B300" s="70">
        <f t="shared" si="12"/>
        <v>275.61</v>
      </c>
      <c r="C300" s="70">
        <f t="shared" si="13"/>
        <v>50.76</v>
      </c>
      <c r="D300" s="70">
        <f t="shared" si="14"/>
        <v>224.85000000000002</v>
      </c>
      <c r="E300" s="70">
        <f t="shared" si="15"/>
        <v>12466.339999999951</v>
      </c>
      <c r="J300" s="7">
        <v>274</v>
      </c>
      <c r="K300" s="70">
        <f t="shared" si="10"/>
        <v>268.07</v>
      </c>
      <c r="L300" s="70">
        <f t="shared" si="11"/>
        <v>87.99</v>
      </c>
      <c r="M300" s="70">
        <f t="shared" si="16"/>
        <v>180.07999999999998</v>
      </c>
      <c r="N300" s="70">
        <f t="shared" si="17"/>
        <v>19017.090000000004</v>
      </c>
    </row>
    <row r="301" spans="1:14" ht="14.25" customHeight="1">
      <c r="A301" s="7">
        <v>275</v>
      </c>
      <c r="B301" s="70">
        <f t="shared" si="12"/>
        <v>275.61</v>
      </c>
      <c r="C301" s="70">
        <f t="shared" si="13"/>
        <v>49.87</v>
      </c>
      <c r="D301" s="70">
        <f t="shared" si="14"/>
        <v>225.74</v>
      </c>
      <c r="E301" s="70">
        <f t="shared" si="15"/>
        <v>12240.599999999951</v>
      </c>
      <c r="J301" s="7">
        <v>275</v>
      </c>
      <c r="K301" s="70">
        <f t="shared" si="10"/>
        <v>268.07</v>
      </c>
      <c r="L301" s="70">
        <f t="shared" si="11"/>
        <v>87.16</v>
      </c>
      <c r="M301" s="70">
        <f t="shared" si="16"/>
        <v>180.91</v>
      </c>
      <c r="N301" s="70">
        <f t="shared" si="17"/>
        <v>18836.180000000004</v>
      </c>
    </row>
    <row r="302" spans="1:14" ht="14.25" customHeight="1">
      <c r="A302" s="7">
        <v>276</v>
      </c>
      <c r="B302" s="70">
        <f t="shared" si="12"/>
        <v>275.61</v>
      </c>
      <c r="C302" s="70">
        <f t="shared" si="13"/>
        <v>48.96</v>
      </c>
      <c r="D302" s="70">
        <f t="shared" si="14"/>
        <v>226.65</v>
      </c>
      <c r="E302" s="70">
        <f t="shared" si="15"/>
        <v>12013.949999999952</v>
      </c>
      <c r="J302" s="7">
        <v>276</v>
      </c>
      <c r="K302" s="70">
        <f t="shared" si="10"/>
        <v>268.07</v>
      </c>
      <c r="L302" s="70">
        <f t="shared" si="11"/>
        <v>86.33</v>
      </c>
      <c r="M302" s="70">
        <f t="shared" si="16"/>
        <v>181.74</v>
      </c>
      <c r="N302" s="70">
        <f t="shared" si="17"/>
        <v>18654.440000000002</v>
      </c>
    </row>
    <row r="303" spans="1:14" ht="14.25" customHeight="1">
      <c r="A303" s="7">
        <v>277</v>
      </c>
      <c r="B303" s="70">
        <f t="shared" si="12"/>
        <v>275.61</v>
      </c>
      <c r="C303" s="70">
        <f t="shared" si="13"/>
        <v>48.06</v>
      </c>
      <c r="D303" s="70">
        <f t="shared" si="14"/>
        <v>227.55</v>
      </c>
      <c r="E303" s="70">
        <f t="shared" si="15"/>
        <v>11786.399999999952</v>
      </c>
      <c r="J303" s="7">
        <v>277</v>
      </c>
      <c r="K303" s="70">
        <f t="shared" si="10"/>
        <v>268.07</v>
      </c>
      <c r="L303" s="70">
        <f t="shared" si="11"/>
        <v>85.5</v>
      </c>
      <c r="M303" s="70">
        <f t="shared" si="16"/>
        <v>182.57</v>
      </c>
      <c r="N303" s="70">
        <f t="shared" si="17"/>
        <v>18471.870000000003</v>
      </c>
    </row>
    <row r="304" spans="1:14" ht="14.25" customHeight="1">
      <c r="A304" s="7">
        <v>278</v>
      </c>
      <c r="B304" s="70">
        <f t="shared" si="12"/>
        <v>275.61</v>
      </c>
      <c r="C304" s="70">
        <f t="shared" si="13"/>
        <v>47.15</v>
      </c>
      <c r="D304" s="70">
        <f t="shared" si="14"/>
        <v>228.46</v>
      </c>
      <c r="E304" s="70">
        <f t="shared" si="15"/>
        <v>11557.939999999953</v>
      </c>
      <c r="J304" s="7">
        <v>278</v>
      </c>
      <c r="K304" s="70">
        <f t="shared" si="10"/>
        <v>268.07</v>
      </c>
      <c r="L304" s="70">
        <f t="shared" si="11"/>
        <v>84.66</v>
      </c>
      <c r="M304" s="70">
        <f t="shared" si="16"/>
        <v>183.41</v>
      </c>
      <c r="N304" s="70">
        <f t="shared" si="17"/>
        <v>18288.460000000003</v>
      </c>
    </row>
    <row r="305" spans="1:14" ht="14.25" customHeight="1">
      <c r="A305" s="7">
        <v>279</v>
      </c>
      <c r="B305" s="70">
        <f t="shared" si="12"/>
        <v>275.61</v>
      </c>
      <c r="C305" s="70">
        <f t="shared" si="13"/>
        <v>46.23</v>
      </c>
      <c r="D305" s="70">
        <f t="shared" si="14"/>
        <v>229.38000000000002</v>
      </c>
      <c r="E305" s="70">
        <f t="shared" si="15"/>
        <v>11328.559999999954</v>
      </c>
      <c r="J305" s="7">
        <v>279</v>
      </c>
      <c r="K305" s="70">
        <f t="shared" si="10"/>
        <v>268.07</v>
      </c>
      <c r="L305" s="70">
        <f t="shared" si="11"/>
        <v>83.82</v>
      </c>
      <c r="M305" s="70">
        <f t="shared" si="16"/>
        <v>184.25</v>
      </c>
      <c r="N305" s="70">
        <f t="shared" si="17"/>
        <v>18104.210000000003</v>
      </c>
    </row>
    <row r="306" spans="1:14" ht="14.25" customHeight="1">
      <c r="A306" s="7">
        <v>280</v>
      </c>
      <c r="B306" s="70">
        <f t="shared" si="12"/>
        <v>275.61</v>
      </c>
      <c r="C306" s="70">
        <f t="shared" si="13"/>
        <v>45.31</v>
      </c>
      <c r="D306" s="70">
        <f t="shared" si="14"/>
        <v>230.3</v>
      </c>
      <c r="E306" s="70">
        <f t="shared" si="15"/>
        <v>11098.259999999955</v>
      </c>
      <c r="J306" s="7">
        <v>280</v>
      </c>
      <c r="K306" s="70">
        <f t="shared" si="10"/>
        <v>268.07</v>
      </c>
      <c r="L306" s="70">
        <f t="shared" si="11"/>
        <v>82.98</v>
      </c>
      <c r="M306" s="70">
        <f t="shared" si="16"/>
        <v>185.08999999999997</v>
      </c>
      <c r="N306" s="70">
        <f t="shared" si="17"/>
        <v>17919.120000000003</v>
      </c>
    </row>
    <row r="307" spans="1:14" ht="14.25" customHeight="1">
      <c r="A307" s="7">
        <v>281</v>
      </c>
      <c r="B307" s="70">
        <f t="shared" si="12"/>
        <v>275.61</v>
      </c>
      <c r="C307" s="70">
        <f t="shared" si="13"/>
        <v>44.39</v>
      </c>
      <c r="D307" s="70">
        <f t="shared" si="14"/>
        <v>231.22000000000003</v>
      </c>
      <c r="E307" s="70">
        <f t="shared" si="15"/>
        <v>10867.039999999955</v>
      </c>
      <c r="J307" s="7">
        <v>281</v>
      </c>
      <c r="K307" s="70">
        <f t="shared" si="10"/>
        <v>268.07</v>
      </c>
      <c r="L307" s="70">
        <f t="shared" si="11"/>
        <v>82.13</v>
      </c>
      <c r="M307" s="70">
        <f t="shared" si="16"/>
        <v>185.94</v>
      </c>
      <c r="N307" s="70">
        <f t="shared" si="17"/>
        <v>17733.180000000004</v>
      </c>
    </row>
    <row r="308" spans="1:14" ht="14.25" customHeight="1">
      <c r="A308" s="7">
        <v>282</v>
      </c>
      <c r="B308" s="70">
        <f t="shared" si="12"/>
        <v>275.61</v>
      </c>
      <c r="C308" s="70">
        <f t="shared" si="13"/>
        <v>43.47</v>
      </c>
      <c r="D308" s="70">
        <f t="shared" si="14"/>
        <v>232.14000000000001</v>
      </c>
      <c r="E308" s="70">
        <f t="shared" si="15"/>
        <v>10634.899999999956</v>
      </c>
      <c r="J308" s="7">
        <v>282</v>
      </c>
      <c r="K308" s="70">
        <f t="shared" si="10"/>
        <v>268.07</v>
      </c>
      <c r="L308" s="70">
        <f t="shared" si="11"/>
        <v>81.28</v>
      </c>
      <c r="M308" s="70">
        <f t="shared" si="16"/>
        <v>186.79</v>
      </c>
      <c r="N308" s="70">
        <f t="shared" si="17"/>
        <v>17546.390000000003</v>
      </c>
    </row>
    <row r="309" spans="1:14" ht="14.25" customHeight="1">
      <c r="A309" s="7">
        <v>283</v>
      </c>
      <c r="B309" s="70">
        <f t="shared" si="12"/>
        <v>275.61</v>
      </c>
      <c r="C309" s="70">
        <f t="shared" si="13"/>
        <v>42.54</v>
      </c>
      <c r="D309" s="70">
        <f t="shared" si="14"/>
        <v>233.07000000000002</v>
      </c>
      <c r="E309" s="70">
        <f t="shared" si="15"/>
        <v>10401.829999999956</v>
      </c>
      <c r="J309" s="7">
        <v>283</v>
      </c>
      <c r="K309" s="70">
        <f t="shared" si="10"/>
        <v>268.07</v>
      </c>
      <c r="L309" s="70">
        <f t="shared" si="11"/>
        <v>80.42</v>
      </c>
      <c r="M309" s="70">
        <f t="shared" si="16"/>
        <v>187.64999999999998</v>
      </c>
      <c r="N309" s="70">
        <f t="shared" si="17"/>
        <v>17358.740000000002</v>
      </c>
    </row>
    <row r="310" spans="1:14" ht="14.25" customHeight="1">
      <c r="A310" s="7">
        <v>284</v>
      </c>
      <c r="B310" s="70">
        <f t="shared" si="12"/>
        <v>275.61</v>
      </c>
      <c r="C310" s="70">
        <f t="shared" si="13"/>
        <v>41.61</v>
      </c>
      <c r="D310" s="70">
        <f t="shared" si="14"/>
        <v>234</v>
      </c>
      <c r="E310" s="70">
        <f t="shared" si="15"/>
        <v>10167.829999999956</v>
      </c>
      <c r="J310" s="7">
        <v>284</v>
      </c>
      <c r="K310" s="70">
        <f t="shared" si="10"/>
        <v>268.07</v>
      </c>
      <c r="L310" s="70">
        <f t="shared" si="11"/>
        <v>79.56</v>
      </c>
      <c r="M310" s="70">
        <f t="shared" si="16"/>
        <v>188.51</v>
      </c>
      <c r="N310" s="70">
        <f t="shared" si="17"/>
        <v>17170.230000000003</v>
      </c>
    </row>
    <row r="311" spans="1:14" ht="14.25" customHeight="1">
      <c r="A311" s="7">
        <v>285</v>
      </c>
      <c r="B311" s="70">
        <f t="shared" si="12"/>
        <v>275.61</v>
      </c>
      <c r="C311" s="70">
        <f t="shared" si="13"/>
        <v>40.67</v>
      </c>
      <c r="D311" s="70">
        <f t="shared" si="14"/>
        <v>234.94</v>
      </c>
      <c r="E311" s="70">
        <f t="shared" si="15"/>
        <v>9932.8899999999558</v>
      </c>
      <c r="J311" s="7">
        <v>285</v>
      </c>
      <c r="K311" s="70">
        <f t="shared" si="10"/>
        <v>268.07</v>
      </c>
      <c r="L311" s="70">
        <f t="shared" si="11"/>
        <v>78.7</v>
      </c>
      <c r="M311" s="70">
        <f t="shared" si="16"/>
        <v>189.37</v>
      </c>
      <c r="N311" s="70">
        <f t="shared" si="17"/>
        <v>16980.860000000004</v>
      </c>
    </row>
    <row r="312" spans="1:14" ht="14.25" customHeight="1">
      <c r="A312" s="7">
        <v>286</v>
      </c>
      <c r="B312" s="70">
        <f t="shared" si="12"/>
        <v>275.61</v>
      </c>
      <c r="C312" s="70">
        <f t="shared" si="13"/>
        <v>39.729999999999997</v>
      </c>
      <c r="D312" s="70">
        <f t="shared" si="14"/>
        <v>235.88000000000002</v>
      </c>
      <c r="E312" s="70">
        <f t="shared" si="15"/>
        <v>9697.0099999999566</v>
      </c>
      <c r="J312" s="7">
        <v>286</v>
      </c>
      <c r="K312" s="70">
        <f t="shared" si="10"/>
        <v>268.07</v>
      </c>
      <c r="L312" s="70">
        <f t="shared" si="11"/>
        <v>77.83</v>
      </c>
      <c r="M312" s="70">
        <f t="shared" si="16"/>
        <v>190.24</v>
      </c>
      <c r="N312" s="70">
        <f t="shared" si="17"/>
        <v>16790.620000000003</v>
      </c>
    </row>
    <row r="313" spans="1:14" ht="14.25" customHeight="1">
      <c r="A313" s="7">
        <v>287</v>
      </c>
      <c r="B313" s="70">
        <f t="shared" si="12"/>
        <v>275.61</v>
      </c>
      <c r="C313" s="70">
        <f t="shared" si="13"/>
        <v>38.79</v>
      </c>
      <c r="D313" s="70">
        <f t="shared" si="14"/>
        <v>236.82000000000002</v>
      </c>
      <c r="E313" s="70">
        <f t="shared" si="15"/>
        <v>9460.1899999999569</v>
      </c>
      <c r="J313" s="7">
        <v>287</v>
      </c>
      <c r="K313" s="70">
        <f t="shared" si="10"/>
        <v>268.07</v>
      </c>
      <c r="L313" s="70">
        <f t="shared" si="11"/>
        <v>76.959999999999994</v>
      </c>
      <c r="M313" s="70">
        <f t="shared" si="16"/>
        <v>191.11</v>
      </c>
      <c r="N313" s="70">
        <f t="shared" si="17"/>
        <v>16599.510000000002</v>
      </c>
    </row>
    <row r="314" spans="1:14" ht="14.25" customHeight="1">
      <c r="A314" s="7">
        <v>288</v>
      </c>
      <c r="B314" s="70">
        <f t="shared" si="12"/>
        <v>275.61</v>
      </c>
      <c r="C314" s="70">
        <f t="shared" si="13"/>
        <v>37.840000000000003</v>
      </c>
      <c r="D314" s="70">
        <f t="shared" si="14"/>
        <v>237.77</v>
      </c>
      <c r="E314" s="70">
        <f t="shared" si="15"/>
        <v>9222.4199999999564</v>
      </c>
      <c r="J314" s="7">
        <v>288</v>
      </c>
      <c r="K314" s="70">
        <f t="shared" si="10"/>
        <v>268.07</v>
      </c>
      <c r="L314" s="70">
        <f t="shared" si="11"/>
        <v>76.08</v>
      </c>
      <c r="M314" s="70">
        <f t="shared" si="16"/>
        <v>191.99</v>
      </c>
      <c r="N314" s="70">
        <f t="shared" si="17"/>
        <v>16407.52</v>
      </c>
    </row>
    <row r="315" spans="1:14" ht="14.25" customHeight="1">
      <c r="A315" s="7">
        <v>289</v>
      </c>
      <c r="B315" s="70">
        <f t="shared" si="12"/>
        <v>275.61</v>
      </c>
      <c r="C315" s="70">
        <f t="shared" si="13"/>
        <v>36.89</v>
      </c>
      <c r="D315" s="70">
        <f t="shared" si="14"/>
        <v>238.72000000000003</v>
      </c>
      <c r="E315" s="70">
        <f t="shared" si="15"/>
        <v>8983.6999999999571</v>
      </c>
      <c r="J315" s="7">
        <v>289</v>
      </c>
      <c r="K315" s="70">
        <f t="shared" si="10"/>
        <v>268.07</v>
      </c>
      <c r="L315" s="70">
        <f t="shared" si="11"/>
        <v>75.2</v>
      </c>
      <c r="M315" s="70">
        <f t="shared" si="16"/>
        <v>192.87</v>
      </c>
      <c r="N315" s="70">
        <f t="shared" si="17"/>
        <v>16214.65</v>
      </c>
    </row>
    <row r="316" spans="1:14" ht="14.25" customHeight="1">
      <c r="A316" s="7">
        <v>290</v>
      </c>
      <c r="B316" s="70">
        <f t="shared" si="12"/>
        <v>275.61</v>
      </c>
      <c r="C316" s="70">
        <f t="shared" si="13"/>
        <v>35.93</v>
      </c>
      <c r="D316" s="70">
        <f t="shared" si="14"/>
        <v>239.68</v>
      </c>
      <c r="E316" s="70">
        <f t="shared" si="15"/>
        <v>8744.0199999999568</v>
      </c>
      <c r="J316" s="7">
        <v>290</v>
      </c>
      <c r="K316" s="70">
        <f t="shared" si="10"/>
        <v>268.07</v>
      </c>
      <c r="L316" s="70">
        <f t="shared" si="11"/>
        <v>74.319999999999993</v>
      </c>
      <c r="M316" s="70">
        <f t="shared" si="16"/>
        <v>193.75</v>
      </c>
      <c r="N316" s="70">
        <f t="shared" si="17"/>
        <v>16020.9</v>
      </c>
    </row>
    <row r="317" spans="1:14" ht="14.25" customHeight="1">
      <c r="A317" s="7">
        <v>291</v>
      </c>
      <c r="B317" s="70">
        <f t="shared" si="12"/>
        <v>275.61</v>
      </c>
      <c r="C317" s="70">
        <f t="shared" si="13"/>
        <v>34.979999999999997</v>
      </c>
      <c r="D317" s="70">
        <f t="shared" si="14"/>
        <v>240.63000000000002</v>
      </c>
      <c r="E317" s="70">
        <f t="shared" si="15"/>
        <v>8503.3899999999576</v>
      </c>
      <c r="J317" s="7">
        <v>291</v>
      </c>
      <c r="K317" s="70">
        <f t="shared" si="10"/>
        <v>268.07</v>
      </c>
      <c r="L317" s="70">
        <f t="shared" si="11"/>
        <v>73.430000000000007</v>
      </c>
      <c r="M317" s="70">
        <f t="shared" si="16"/>
        <v>194.64</v>
      </c>
      <c r="N317" s="70">
        <f t="shared" si="17"/>
        <v>15826.26</v>
      </c>
    </row>
    <row r="318" spans="1:14" ht="14.25" customHeight="1">
      <c r="A318" s="7">
        <v>292</v>
      </c>
      <c r="B318" s="70">
        <f t="shared" si="12"/>
        <v>275.61</v>
      </c>
      <c r="C318" s="70">
        <f t="shared" si="13"/>
        <v>34.01</v>
      </c>
      <c r="D318" s="70">
        <f t="shared" si="14"/>
        <v>241.60000000000002</v>
      </c>
      <c r="E318" s="70">
        <f t="shared" si="15"/>
        <v>8261.7899999999572</v>
      </c>
      <c r="J318" s="7">
        <v>292</v>
      </c>
      <c r="K318" s="70">
        <f t="shared" si="10"/>
        <v>268.07</v>
      </c>
      <c r="L318" s="70">
        <f t="shared" si="11"/>
        <v>72.540000000000006</v>
      </c>
      <c r="M318" s="70">
        <f t="shared" si="16"/>
        <v>195.52999999999997</v>
      </c>
      <c r="N318" s="70">
        <f t="shared" si="17"/>
        <v>15630.73</v>
      </c>
    </row>
    <row r="319" spans="1:14" ht="14.25" customHeight="1">
      <c r="A319" s="7">
        <v>293</v>
      </c>
      <c r="B319" s="70">
        <f t="shared" si="12"/>
        <v>275.61</v>
      </c>
      <c r="C319" s="70">
        <f t="shared" si="13"/>
        <v>33.049999999999997</v>
      </c>
      <c r="D319" s="70">
        <f t="shared" si="14"/>
        <v>242.56</v>
      </c>
      <c r="E319" s="70">
        <f t="shared" si="15"/>
        <v>8019.2299999999568</v>
      </c>
      <c r="J319" s="7">
        <v>293</v>
      </c>
      <c r="K319" s="70">
        <f t="shared" si="10"/>
        <v>268.07</v>
      </c>
      <c r="L319" s="70">
        <f t="shared" si="11"/>
        <v>71.64</v>
      </c>
      <c r="M319" s="70">
        <f t="shared" si="16"/>
        <v>196.43</v>
      </c>
      <c r="N319" s="70">
        <f t="shared" si="17"/>
        <v>15434.3</v>
      </c>
    </row>
    <row r="320" spans="1:14" ht="14.25" customHeight="1">
      <c r="A320" s="7">
        <v>294</v>
      </c>
      <c r="B320" s="70">
        <f t="shared" si="12"/>
        <v>275.61</v>
      </c>
      <c r="C320" s="70">
        <f t="shared" si="13"/>
        <v>32.08</v>
      </c>
      <c r="D320" s="70">
        <f t="shared" si="14"/>
        <v>243.53000000000003</v>
      </c>
      <c r="E320" s="70">
        <f t="shared" si="15"/>
        <v>7775.6999999999571</v>
      </c>
      <c r="J320" s="7">
        <v>294</v>
      </c>
      <c r="K320" s="70">
        <f t="shared" si="10"/>
        <v>268.07</v>
      </c>
      <c r="L320" s="70">
        <f t="shared" si="11"/>
        <v>70.739999999999995</v>
      </c>
      <c r="M320" s="70">
        <f t="shared" si="16"/>
        <v>197.32999999999998</v>
      </c>
      <c r="N320" s="70">
        <f t="shared" si="17"/>
        <v>15236.97</v>
      </c>
    </row>
    <row r="321" spans="1:14" ht="14.25" customHeight="1">
      <c r="A321" s="7">
        <v>295</v>
      </c>
      <c r="B321" s="70">
        <f t="shared" si="12"/>
        <v>275.61</v>
      </c>
      <c r="C321" s="70">
        <f t="shared" si="13"/>
        <v>31.1</v>
      </c>
      <c r="D321" s="70">
        <f t="shared" si="14"/>
        <v>244.51000000000002</v>
      </c>
      <c r="E321" s="70">
        <f t="shared" si="15"/>
        <v>7531.1899999999569</v>
      </c>
      <c r="J321" s="7">
        <v>295</v>
      </c>
      <c r="K321" s="70">
        <f t="shared" si="10"/>
        <v>268.07</v>
      </c>
      <c r="L321" s="70">
        <f t="shared" si="11"/>
        <v>69.84</v>
      </c>
      <c r="M321" s="70">
        <f t="shared" si="16"/>
        <v>198.23</v>
      </c>
      <c r="N321" s="70">
        <f t="shared" si="17"/>
        <v>15038.74</v>
      </c>
    </row>
    <row r="322" spans="1:14" ht="14.25" customHeight="1">
      <c r="A322" s="7">
        <v>296</v>
      </c>
      <c r="B322" s="70">
        <f t="shared" si="12"/>
        <v>275.61</v>
      </c>
      <c r="C322" s="70">
        <f t="shared" si="13"/>
        <v>30.12</v>
      </c>
      <c r="D322" s="70">
        <f t="shared" si="14"/>
        <v>245.49</v>
      </c>
      <c r="E322" s="70">
        <f t="shared" si="15"/>
        <v>7285.6999999999571</v>
      </c>
      <c r="J322" s="7">
        <v>296</v>
      </c>
      <c r="K322" s="70">
        <f t="shared" si="10"/>
        <v>268.07</v>
      </c>
      <c r="L322" s="70">
        <f t="shared" si="11"/>
        <v>68.930000000000007</v>
      </c>
      <c r="M322" s="70">
        <f t="shared" si="16"/>
        <v>199.14</v>
      </c>
      <c r="N322" s="70">
        <f t="shared" si="17"/>
        <v>14839.6</v>
      </c>
    </row>
    <row r="323" spans="1:14" ht="14.25" customHeight="1">
      <c r="A323" s="7">
        <v>297</v>
      </c>
      <c r="B323" s="70">
        <f t="shared" si="12"/>
        <v>275.61</v>
      </c>
      <c r="C323" s="70">
        <f t="shared" si="13"/>
        <v>29.14</v>
      </c>
      <c r="D323" s="70">
        <f t="shared" si="14"/>
        <v>246.47000000000003</v>
      </c>
      <c r="E323" s="70">
        <f t="shared" si="15"/>
        <v>7039.2299999999568</v>
      </c>
      <c r="J323" s="7">
        <v>297</v>
      </c>
      <c r="K323" s="70">
        <f t="shared" si="10"/>
        <v>268.07</v>
      </c>
      <c r="L323" s="70">
        <f t="shared" si="11"/>
        <v>68.010000000000005</v>
      </c>
      <c r="M323" s="70">
        <f t="shared" si="16"/>
        <v>200.06</v>
      </c>
      <c r="N323" s="70">
        <f t="shared" si="17"/>
        <v>14639.54</v>
      </c>
    </row>
    <row r="324" spans="1:14" ht="14.25" customHeight="1">
      <c r="A324" s="7">
        <v>298</v>
      </c>
      <c r="B324" s="70">
        <f t="shared" si="12"/>
        <v>275.61</v>
      </c>
      <c r="C324" s="70">
        <f t="shared" si="13"/>
        <v>28.16</v>
      </c>
      <c r="D324" s="70">
        <f t="shared" si="14"/>
        <v>247.45000000000002</v>
      </c>
      <c r="E324" s="70">
        <f t="shared" si="15"/>
        <v>6791.779999999957</v>
      </c>
      <c r="J324" s="7">
        <v>298</v>
      </c>
      <c r="K324" s="70">
        <f t="shared" si="10"/>
        <v>268.07</v>
      </c>
      <c r="L324" s="70">
        <f t="shared" si="11"/>
        <v>67.099999999999994</v>
      </c>
      <c r="M324" s="70">
        <f t="shared" si="16"/>
        <v>200.97</v>
      </c>
      <c r="N324" s="70">
        <f t="shared" si="17"/>
        <v>14438.570000000002</v>
      </c>
    </row>
    <row r="325" spans="1:14" ht="14.25" customHeight="1">
      <c r="A325" s="7">
        <v>299</v>
      </c>
      <c r="B325" s="70">
        <f t="shared" si="12"/>
        <v>275.61</v>
      </c>
      <c r="C325" s="70">
        <f t="shared" si="13"/>
        <v>27.17</v>
      </c>
      <c r="D325" s="70">
        <f t="shared" si="14"/>
        <v>248.44</v>
      </c>
      <c r="E325" s="70">
        <f t="shared" si="15"/>
        <v>6543.3399999999574</v>
      </c>
      <c r="J325" s="7">
        <v>299</v>
      </c>
      <c r="K325" s="70">
        <f t="shared" si="10"/>
        <v>268.07</v>
      </c>
      <c r="L325" s="70">
        <f t="shared" si="11"/>
        <v>66.180000000000007</v>
      </c>
      <c r="M325" s="70">
        <f t="shared" si="16"/>
        <v>201.89</v>
      </c>
      <c r="N325" s="70">
        <f t="shared" si="17"/>
        <v>14236.680000000002</v>
      </c>
    </row>
    <row r="326" spans="1:14" ht="14.25" customHeight="1">
      <c r="A326" s="7">
        <v>300</v>
      </c>
      <c r="B326" s="70">
        <f t="shared" si="12"/>
        <v>275.61</v>
      </c>
      <c r="C326" s="70">
        <f t="shared" si="13"/>
        <v>26.17</v>
      </c>
      <c r="D326" s="70">
        <f t="shared" si="14"/>
        <v>249.44</v>
      </c>
      <c r="E326" s="70">
        <f t="shared" si="15"/>
        <v>6293.8999999999578</v>
      </c>
      <c r="J326" s="7">
        <v>300</v>
      </c>
      <c r="K326" s="70">
        <f t="shared" si="10"/>
        <v>268.07</v>
      </c>
      <c r="L326" s="70">
        <f t="shared" si="11"/>
        <v>65.25</v>
      </c>
      <c r="M326" s="70">
        <f t="shared" si="16"/>
        <v>202.82</v>
      </c>
      <c r="N326" s="70">
        <f t="shared" si="17"/>
        <v>14033.860000000002</v>
      </c>
    </row>
    <row r="327" spans="1:14" ht="14.25" customHeight="1">
      <c r="A327" s="7">
        <v>301</v>
      </c>
      <c r="B327" s="70">
        <f t="shared" si="12"/>
        <v>275.61</v>
      </c>
      <c r="C327" s="70">
        <f t="shared" si="13"/>
        <v>25.18</v>
      </c>
      <c r="D327" s="70">
        <f t="shared" si="14"/>
        <v>250.43</v>
      </c>
      <c r="E327" s="70">
        <f t="shared" si="15"/>
        <v>6043.4699999999575</v>
      </c>
      <c r="J327" s="7">
        <v>301</v>
      </c>
      <c r="K327" s="70">
        <f t="shared" si="10"/>
        <v>268.07</v>
      </c>
      <c r="L327" s="70">
        <f t="shared" si="11"/>
        <v>64.319999999999993</v>
      </c>
      <c r="M327" s="70">
        <f t="shared" si="16"/>
        <v>203.75</v>
      </c>
      <c r="N327" s="70">
        <f t="shared" si="17"/>
        <v>13830.110000000002</v>
      </c>
    </row>
    <row r="328" spans="1:14" ht="14.25" customHeight="1">
      <c r="A328" s="7">
        <v>302</v>
      </c>
      <c r="B328" s="70">
        <f t="shared" si="12"/>
        <v>275.61</v>
      </c>
      <c r="C328" s="70">
        <f t="shared" si="13"/>
        <v>24.17</v>
      </c>
      <c r="D328" s="70">
        <f t="shared" si="14"/>
        <v>251.44</v>
      </c>
      <c r="E328" s="70">
        <f t="shared" si="15"/>
        <v>5792.0299999999579</v>
      </c>
      <c r="J328" s="7">
        <v>302</v>
      </c>
      <c r="K328" s="70">
        <f t="shared" si="10"/>
        <v>268.07</v>
      </c>
      <c r="L328" s="70">
        <f t="shared" si="11"/>
        <v>63.39</v>
      </c>
      <c r="M328" s="70">
        <f t="shared" si="16"/>
        <v>204.68</v>
      </c>
      <c r="N328" s="70">
        <f t="shared" si="17"/>
        <v>13625.430000000002</v>
      </c>
    </row>
    <row r="329" spans="1:14" ht="14.25" customHeight="1">
      <c r="A329" s="7">
        <v>303</v>
      </c>
      <c r="B329" s="70">
        <f t="shared" si="12"/>
        <v>275.61</v>
      </c>
      <c r="C329" s="70">
        <f t="shared" si="13"/>
        <v>23.17</v>
      </c>
      <c r="D329" s="70">
        <f t="shared" si="14"/>
        <v>252.44</v>
      </c>
      <c r="E329" s="70">
        <f t="shared" si="15"/>
        <v>5539.5899999999583</v>
      </c>
      <c r="J329" s="7">
        <v>303</v>
      </c>
      <c r="K329" s="70">
        <f t="shared" si="10"/>
        <v>268.07</v>
      </c>
      <c r="L329" s="70">
        <f t="shared" si="11"/>
        <v>62.45</v>
      </c>
      <c r="M329" s="70">
        <f t="shared" si="16"/>
        <v>205.62</v>
      </c>
      <c r="N329" s="70">
        <f t="shared" si="17"/>
        <v>13419.810000000001</v>
      </c>
    </row>
    <row r="330" spans="1:14" ht="14.25" customHeight="1">
      <c r="A330" s="7">
        <v>304</v>
      </c>
      <c r="B330" s="70">
        <f t="shared" si="12"/>
        <v>275.61</v>
      </c>
      <c r="C330" s="70">
        <f t="shared" si="13"/>
        <v>22.16</v>
      </c>
      <c r="D330" s="70">
        <f t="shared" si="14"/>
        <v>253.45000000000002</v>
      </c>
      <c r="E330" s="70">
        <f t="shared" si="15"/>
        <v>5286.1399999999585</v>
      </c>
      <c r="J330" s="7">
        <v>304</v>
      </c>
      <c r="K330" s="70">
        <f t="shared" si="10"/>
        <v>268.07</v>
      </c>
      <c r="L330" s="70">
        <f t="shared" si="11"/>
        <v>61.51</v>
      </c>
      <c r="M330" s="70">
        <f t="shared" si="16"/>
        <v>206.56</v>
      </c>
      <c r="N330" s="70">
        <f t="shared" si="17"/>
        <v>13213.250000000002</v>
      </c>
    </row>
    <row r="331" spans="1:14" ht="14.25" customHeight="1">
      <c r="A331" s="7">
        <v>305</v>
      </c>
      <c r="B331" s="70">
        <f t="shared" si="12"/>
        <v>275.61</v>
      </c>
      <c r="C331" s="70">
        <f t="shared" si="13"/>
        <v>21.14</v>
      </c>
      <c r="D331" s="70">
        <f t="shared" si="14"/>
        <v>254.47000000000003</v>
      </c>
      <c r="E331" s="70">
        <f t="shared" si="15"/>
        <v>5031.6699999999582</v>
      </c>
      <c r="J331" s="7">
        <v>305</v>
      </c>
      <c r="K331" s="70">
        <f t="shared" si="10"/>
        <v>268.07</v>
      </c>
      <c r="L331" s="70">
        <f t="shared" si="11"/>
        <v>60.56</v>
      </c>
      <c r="M331" s="70">
        <f t="shared" si="16"/>
        <v>207.51</v>
      </c>
      <c r="N331" s="70">
        <f t="shared" si="17"/>
        <v>13005.740000000002</v>
      </c>
    </row>
    <row r="332" spans="1:14" ht="14.25" customHeight="1">
      <c r="A332" s="7">
        <v>306</v>
      </c>
      <c r="B332" s="70">
        <f t="shared" si="12"/>
        <v>275.61</v>
      </c>
      <c r="C332" s="70">
        <f t="shared" si="13"/>
        <v>20.13</v>
      </c>
      <c r="D332" s="70">
        <f t="shared" si="14"/>
        <v>255.48000000000002</v>
      </c>
      <c r="E332" s="70">
        <f t="shared" si="15"/>
        <v>4776.1899999999587</v>
      </c>
      <c r="J332" s="7">
        <v>306</v>
      </c>
      <c r="K332" s="70">
        <f t="shared" si="10"/>
        <v>268.07</v>
      </c>
      <c r="L332" s="70">
        <f t="shared" si="11"/>
        <v>59.61</v>
      </c>
      <c r="M332" s="70">
        <f t="shared" si="16"/>
        <v>208.45999999999998</v>
      </c>
      <c r="N332" s="70">
        <f t="shared" si="17"/>
        <v>12797.280000000002</v>
      </c>
    </row>
    <row r="333" spans="1:14" ht="14.25" customHeight="1">
      <c r="A333" s="7">
        <v>307</v>
      </c>
      <c r="B333" s="70">
        <f t="shared" si="12"/>
        <v>275.61</v>
      </c>
      <c r="C333" s="70">
        <f t="shared" si="13"/>
        <v>19.100000000000001</v>
      </c>
      <c r="D333" s="70">
        <f t="shared" si="14"/>
        <v>256.51</v>
      </c>
      <c r="E333" s="70">
        <f t="shared" si="15"/>
        <v>4519.6799999999585</v>
      </c>
      <c r="J333" s="7">
        <v>307</v>
      </c>
      <c r="K333" s="70">
        <f t="shared" si="10"/>
        <v>268.07</v>
      </c>
      <c r="L333" s="70">
        <f t="shared" si="11"/>
        <v>58.65</v>
      </c>
      <c r="M333" s="70">
        <f t="shared" si="16"/>
        <v>209.42</v>
      </c>
      <c r="N333" s="70">
        <f t="shared" si="17"/>
        <v>12587.860000000002</v>
      </c>
    </row>
    <row r="334" spans="1:14" ht="14.25" customHeight="1">
      <c r="A334" s="7">
        <v>308</v>
      </c>
      <c r="B334" s="70">
        <f t="shared" si="12"/>
        <v>275.61</v>
      </c>
      <c r="C334" s="70">
        <f t="shared" si="13"/>
        <v>18.079999999999998</v>
      </c>
      <c r="D334" s="70">
        <f t="shared" si="14"/>
        <v>257.53000000000003</v>
      </c>
      <c r="E334" s="70">
        <f t="shared" si="15"/>
        <v>4262.1499999999587</v>
      </c>
      <c r="J334" s="7">
        <v>308</v>
      </c>
      <c r="K334" s="70">
        <f t="shared" si="10"/>
        <v>268.07</v>
      </c>
      <c r="L334" s="70">
        <f t="shared" si="11"/>
        <v>57.69</v>
      </c>
      <c r="M334" s="70">
        <f t="shared" si="16"/>
        <v>210.38</v>
      </c>
      <c r="N334" s="70">
        <f t="shared" si="17"/>
        <v>12377.480000000003</v>
      </c>
    </row>
    <row r="335" spans="1:14" ht="14.25" customHeight="1">
      <c r="A335" s="7">
        <v>309</v>
      </c>
      <c r="B335" s="70">
        <f t="shared" si="12"/>
        <v>275.61</v>
      </c>
      <c r="C335" s="70">
        <f t="shared" si="13"/>
        <v>17.05</v>
      </c>
      <c r="D335" s="70">
        <f t="shared" si="14"/>
        <v>258.56</v>
      </c>
      <c r="E335" s="70">
        <f t="shared" si="15"/>
        <v>4003.5899999999588</v>
      </c>
      <c r="J335" s="7">
        <v>309</v>
      </c>
      <c r="K335" s="70">
        <f t="shared" si="10"/>
        <v>268.07</v>
      </c>
      <c r="L335" s="70">
        <f t="shared" si="11"/>
        <v>56.73</v>
      </c>
      <c r="M335" s="70">
        <f t="shared" si="16"/>
        <v>211.34</v>
      </c>
      <c r="N335" s="70">
        <f t="shared" si="17"/>
        <v>12166.140000000003</v>
      </c>
    </row>
    <row r="336" spans="1:14" ht="14.25" customHeight="1">
      <c r="A336" s="7">
        <v>310</v>
      </c>
      <c r="B336" s="70">
        <f t="shared" si="12"/>
        <v>275.61</v>
      </c>
      <c r="C336" s="70">
        <f t="shared" si="13"/>
        <v>16.010000000000002</v>
      </c>
      <c r="D336" s="70">
        <f t="shared" si="14"/>
        <v>259.60000000000002</v>
      </c>
      <c r="E336" s="70">
        <f t="shared" si="15"/>
        <v>3743.9899999999589</v>
      </c>
      <c r="J336" s="7">
        <v>310</v>
      </c>
      <c r="K336" s="70">
        <f t="shared" si="10"/>
        <v>268.07</v>
      </c>
      <c r="L336" s="70">
        <f t="shared" si="11"/>
        <v>55.76</v>
      </c>
      <c r="M336" s="70">
        <f t="shared" si="16"/>
        <v>212.31</v>
      </c>
      <c r="N336" s="70">
        <f t="shared" si="17"/>
        <v>11953.830000000004</v>
      </c>
    </row>
    <row r="337" spans="1:14" ht="14.25" customHeight="1">
      <c r="A337" s="7">
        <v>311</v>
      </c>
      <c r="B337" s="70">
        <f t="shared" si="12"/>
        <v>275.61</v>
      </c>
      <c r="C337" s="70">
        <f t="shared" si="13"/>
        <v>14.98</v>
      </c>
      <c r="D337" s="70">
        <f t="shared" si="14"/>
        <v>260.63</v>
      </c>
      <c r="E337" s="70">
        <f t="shared" si="15"/>
        <v>3483.3599999999587</v>
      </c>
      <c r="J337" s="7">
        <v>311</v>
      </c>
      <c r="K337" s="70">
        <f t="shared" si="10"/>
        <v>268.07</v>
      </c>
      <c r="L337" s="70">
        <f t="shared" si="11"/>
        <v>54.79</v>
      </c>
      <c r="M337" s="70">
        <f t="shared" si="16"/>
        <v>213.28</v>
      </c>
      <c r="N337" s="70">
        <f t="shared" si="17"/>
        <v>11740.550000000003</v>
      </c>
    </row>
    <row r="338" spans="1:14" ht="14.25" customHeight="1">
      <c r="A338" s="7">
        <v>312</v>
      </c>
      <c r="B338" s="70">
        <f t="shared" si="12"/>
        <v>275.61</v>
      </c>
      <c r="C338" s="70">
        <f t="shared" si="13"/>
        <v>13.93</v>
      </c>
      <c r="D338" s="70">
        <f t="shared" si="14"/>
        <v>261.68</v>
      </c>
      <c r="E338" s="70">
        <f t="shared" si="15"/>
        <v>3221.6799999999589</v>
      </c>
      <c r="J338" s="7">
        <v>312</v>
      </c>
      <c r="K338" s="70">
        <f t="shared" si="10"/>
        <v>268.07</v>
      </c>
      <c r="L338" s="70">
        <f t="shared" si="11"/>
        <v>53.81</v>
      </c>
      <c r="M338" s="70">
        <f t="shared" si="16"/>
        <v>214.26</v>
      </c>
      <c r="N338" s="70">
        <f t="shared" si="17"/>
        <v>11526.290000000003</v>
      </c>
    </row>
    <row r="339" spans="1:14" ht="14.25" customHeight="1">
      <c r="A339" s="7">
        <v>313</v>
      </c>
      <c r="B339" s="70">
        <f t="shared" si="12"/>
        <v>275.61</v>
      </c>
      <c r="C339" s="70">
        <f t="shared" si="13"/>
        <v>12.89</v>
      </c>
      <c r="D339" s="70">
        <f t="shared" si="14"/>
        <v>262.72000000000003</v>
      </c>
      <c r="E339" s="70">
        <f t="shared" si="15"/>
        <v>2958.9599999999591</v>
      </c>
      <c r="J339" s="7">
        <v>313</v>
      </c>
      <c r="K339" s="70">
        <f t="shared" si="10"/>
        <v>268.07</v>
      </c>
      <c r="L339" s="70">
        <f t="shared" si="11"/>
        <v>52.83</v>
      </c>
      <c r="M339" s="70">
        <f t="shared" si="16"/>
        <v>215.24</v>
      </c>
      <c r="N339" s="70">
        <f t="shared" si="17"/>
        <v>11311.050000000003</v>
      </c>
    </row>
    <row r="340" spans="1:14" ht="14.25" customHeight="1">
      <c r="A340" s="7">
        <v>314</v>
      </c>
      <c r="B340" s="70">
        <f t="shared" si="12"/>
        <v>275.61</v>
      </c>
      <c r="C340" s="70">
        <f t="shared" si="13"/>
        <v>11.84</v>
      </c>
      <c r="D340" s="70">
        <f t="shared" si="14"/>
        <v>263.77000000000004</v>
      </c>
      <c r="E340" s="70">
        <f t="shared" si="15"/>
        <v>2695.1899999999591</v>
      </c>
      <c r="J340" s="7">
        <v>314</v>
      </c>
      <c r="K340" s="70">
        <f t="shared" si="10"/>
        <v>268.07</v>
      </c>
      <c r="L340" s="70">
        <f t="shared" si="11"/>
        <v>51.84</v>
      </c>
      <c r="M340" s="70">
        <f t="shared" si="16"/>
        <v>216.23</v>
      </c>
      <c r="N340" s="70">
        <f t="shared" si="17"/>
        <v>11094.820000000003</v>
      </c>
    </row>
    <row r="341" spans="1:14" ht="14.25" customHeight="1">
      <c r="A341" s="7">
        <v>315</v>
      </c>
      <c r="B341" s="70">
        <f t="shared" si="12"/>
        <v>275.61</v>
      </c>
      <c r="C341" s="70">
        <f t="shared" si="13"/>
        <v>10.78</v>
      </c>
      <c r="D341" s="70">
        <f t="shared" si="14"/>
        <v>264.83000000000004</v>
      </c>
      <c r="E341" s="70">
        <f t="shared" si="15"/>
        <v>2430.3599999999592</v>
      </c>
      <c r="J341" s="7">
        <v>315</v>
      </c>
      <c r="K341" s="70">
        <f t="shared" si="10"/>
        <v>268.07</v>
      </c>
      <c r="L341" s="70">
        <f t="shared" si="11"/>
        <v>50.85</v>
      </c>
      <c r="M341" s="70">
        <f t="shared" si="16"/>
        <v>217.22</v>
      </c>
      <c r="N341" s="70">
        <f t="shared" si="17"/>
        <v>10877.600000000004</v>
      </c>
    </row>
    <row r="342" spans="1:14" ht="14.25" customHeight="1">
      <c r="A342" s="7">
        <v>316</v>
      </c>
      <c r="B342" s="70">
        <f t="shared" si="12"/>
        <v>275.61</v>
      </c>
      <c r="C342" s="70">
        <f t="shared" si="13"/>
        <v>9.7200000000000006</v>
      </c>
      <c r="D342" s="70">
        <f t="shared" si="14"/>
        <v>265.89</v>
      </c>
      <c r="E342" s="70">
        <f t="shared" si="15"/>
        <v>2164.4699999999593</v>
      </c>
      <c r="J342" s="7">
        <v>316</v>
      </c>
      <c r="K342" s="70">
        <f t="shared" si="10"/>
        <v>268.07</v>
      </c>
      <c r="L342" s="70">
        <f t="shared" si="11"/>
        <v>49.86</v>
      </c>
      <c r="M342" s="70">
        <f t="shared" si="16"/>
        <v>218.20999999999998</v>
      </c>
      <c r="N342" s="70">
        <f t="shared" si="17"/>
        <v>10659.390000000005</v>
      </c>
    </row>
    <row r="343" spans="1:14" ht="14.25" customHeight="1">
      <c r="A343" s="7">
        <v>317</v>
      </c>
      <c r="B343" s="70">
        <f t="shared" si="12"/>
        <v>275.61</v>
      </c>
      <c r="C343" s="70">
        <f t="shared" si="13"/>
        <v>8.66</v>
      </c>
      <c r="D343" s="70">
        <f t="shared" si="14"/>
        <v>266.95</v>
      </c>
      <c r="E343" s="70">
        <f t="shared" si="15"/>
        <v>1897.5199999999593</v>
      </c>
      <c r="J343" s="7">
        <v>317</v>
      </c>
      <c r="K343" s="70">
        <f t="shared" si="10"/>
        <v>268.07</v>
      </c>
      <c r="L343" s="70">
        <f t="shared" si="11"/>
        <v>48.86</v>
      </c>
      <c r="M343" s="70">
        <f t="shared" si="16"/>
        <v>219.20999999999998</v>
      </c>
      <c r="N343" s="70">
        <f t="shared" si="17"/>
        <v>10440.180000000006</v>
      </c>
    </row>
    <row r="344" spans="1:14" ht="14.25" customHeight="1">
      <c r="A344" s="7">
        <v>318</v>
      </c>
      <c r="B344" s="70">
        <f t="shared" si="12"/>
        <v>275.61</v>
      </c>
      <c r="C344" s="70">
        <f t="shared" si="13"/>
        <v>7.59</v>
      </c>
      <c r="D344" s="70">
        <f t="shared" si="14"/>
        <v>268.02000000000004</v>
      </c>
      <c r="E344" s="70">
        <f t="shared" si="15"/>
        <v>1629.4999999999593</v>
      </c>
      <c r="J344" s="7">
        <v>318</v>
      </c>
      <c r="K344" s="70">
        <f t="shared" si="10"/>
        <v>268.07</v>
      </c>
      <c r="L344" s="70">
        <f t="shared" si="11"/>
        <v>47.85</v>
      </c>
      <c r="M344" s="70">
        <f t="shared" si="16"/>
        <v>220.22</v>
      </c>
      <c r="N344" s="70">
        <f t="shared" si="17"/>
        <v>10219.960000000006</v>
      </c>
    </row>
    <row r="345" spans="1:14" ht="14.25" customHeight="1">
      <c r="A345" s="7">
        <v>319</v>
      </c>
      <c r="B345" s="70">
        <f t="shared" si="12"/>
        <v>275.61</v>
      </c>
      <c r="C345" s="70">
        <f t="shared" si="13"/>
        <v>6.52</v>
      </c>
      <c r="D345" s="70">
        <f t="shared" si="14"/>
        <v>269.09000000000003</v>
      </c>
      <c r="E345" s="70">
        <f t="shared" si="15"/>
        <v>1360.4099999999594</v>
      </c>
      <c r="J345" s="7">
        <v>319</v>
      </c>
      <c r="K345" s="70">
        <f t="shared" si="10"/>
        <v>268.07</v>
      </c>
      <c r="L345" s="70">
        <f t="shared" si="11"/>
        <v>46.84</v>
      </c>
      <c r="M345" s="70">
        <f t="shared" si="16"/>
        <v>221.23</v>
      </c>
      <c r="N345" s="70">
        <f t="shared" si="17"/>
        <v>9998.7300000000068</v>
      </c>
    </row>
    <row r="346" spans="1:14" ht="14.25" customHeight="1">
      <c r="A346" s="7">
        <v>320</v>
      </c>
      <c r="B346" s="70">
        <f t="shared" si="12"/>
        <v>275.61</v>
      </c>
      <c r="C346" s="70">
        <f t="shared" si="13"/>
        <v>5.44</v>
      </c>
      <c r="D346" s="70">
        <f t="shared" si="14"/>
        <v>270.17</v>
      </c>
      <c r="E346" s="70">
        <f t="shared" si="15"/>
        <v>1090.2399999999593</v>
      </c>
      <c r="J346" s="7">
        <v>320</v>
      </c>
      <c r="K346" s="70">
        <f t="shared" si="10"/>
        <v>268.07</v>
      </c>
      <c r="L346" s="70">
        <f t="shared" si="11"/>
        <v>45.83</v>
      </c>
      <c r="M346" s="70">
        <f t="shared" si="16"/>
        <v>222.24</v>
      </c>
      <c r="N346" s="70">
        <f t="shared" si="17"/>
        <v>9776.4900000000071</v>
      </c>
    </row>
    <row r="347" spans="1:14" ht="14.25" customHeight="1">
      <c r="A347" s="7">
        <v>321</v>
      </c>
      <c r="B347" s="70">
        <f t="shared" si="12"/>
        <v>275.61</v>
      </c>
      <c r="C347" s="70">
        <f t="shared" si="13"/>
        <v>4.3600000000000003</v>
      </c>
      <c r="D347" s="70">
        <f t="shared" si="14"/>
        <v>271.25</v>
      </c>
      <c r="E347" s="70">
        <f t="shared" si="15"/>
        <v>818.98999999995931</v>
      </c>
      <c r="J347" s="7">
        <v>321</v>
      </c>
      <c r="K347" s="70">
        <f t="shared" si="10"/>
        <v>268.07</v>
      </c>
      <c r="L347" s="70">
        <f t="shared" si="11"/>
        <v>44.81</v>
      </c>
      <c r="M347" s="70">
        <f t="shared" si="16"/>
        <v>223.26</v>
      </c>
      <c r="N347" s="70">
        <f t="shared" si="17"/>
        <v>9553.2300000000068</v>
      </c>
    </row>
    <row r="348" spans="1:14" ht="14.25" customHeight="1">
      <c r="A348" s="7">
        <v>322</v>
      </c>
      <c r="B348" s="70">
        <f t="shared" si="12"/>
        <v>275.61</v>
      </c>
      <c r="C348" s="70">
        <f t="shared" si="13"/>
        <v>3.28</v>
      </c>
      <c r="D348" s="70">
        <f t="shared" si="14"/>
        <v>272.33000000000004</v>
      </c>
      <c r="E348" s="70">
        <f t="shared" si="15"/>
        <v>546.65999999995927</v>
      </c>
      <c r="J348" s="7">
        <v>322</v>
      </c>
      <c r="K348" s="70">
        <f t="shared" si="10"/>
        <v>268.07</v>
      </c>
      <c r="L348" s="70">
        <f t="shared" si="11"/>
        <v>43.79</v>
      </c>
      <c r="M348" s="70">
        <f t="shared" si="16"/>
        <v>224.28</v>
      </c>
      <c r="N348" s="70">
        <f t="shared" si="17"/>
        <v>9328.9500000000062</v>
      </c>
    </row>
    <row r="349" spans="1:14" ht="14.25" customHeight="1">
      <c r="A349" s="7">
        <v>323</v>
      </c>
      <c r="B349" s="70">
        <f t="shared" si="12"/>
        <v>275.61</v>
      </c>
      <c r="C349" s="70">
        <f t="shared" si="13"/>
        <v>2.19</v>
      </c>
      <c r="D349" s="70">
        <f t="shared" si="14"/>
        <v>273.42</v>
      </c>
      <c r="E349" s="70">
        <f t="shared" si="15"/>
        <v>273.23999999995925</v>
      </c>
      <c r="J349" s="7">
        <v>323</v>
      </c>
      <c r="K349" s="70">
        <f t="shared" si="10"/>
        <v>268.07</v>
      </c>
      <c r="L349" s="70">
        <f t="shared" si="11"/>
        <v>42.76</v>
      </c>
      <c r="M349" s="70">
        <f t="shared" si="16"/>
        <v>225.31</v>
      </c>
      <c r="N349" s="70">
        <f t="shared" si="17"/>
        <v>9103.6400000000067</v>
      </c>
    </row>
    <row r="350" spans="1:14" ht="14.25" customHeight="1">
      <c r="A350" s="7">
        <v>324</v>
      </c>
      <c r="B350" s="70">
        <f>C350+D350</f>
        <v>274.32999999995923</v>
      </c>
      <c r="C350" s="70">
        <f t="shared" si="13"/>
        <v>1.0900000000000001</v>
      </c>
      <c r="D350" s="70">
        <f>E349</f>
        <v>273.23999999995925</v>
      </c>
      <c r="E350" s="70">
        <f t="shared" si="15"/>
        <v>0</v>
      </c>
      <c r="J350" s="7">
        <v>324</v>
      </c>
      <c r="K350" s="70">
        <f t="shared" si="10"/>
        <v>268.07</v>
      </c>
      <c r="L350" s="70">
        <f t="shared" si="11"/>
        <v>41.73</v>
      </c>
      <c r="M350" s="70">
        <f t="shared" si="16"/>
        <v>226.34</v>
      </c>
      <c r="N350" s="70">
        <f t="shared" si="17"/>
        <v>8877.3000000000065</v>
      </c>
    </row>
    <row r="351" spans="1:14" ht="14.25" customHeight="1">
      <c r="B351" s="70">
        <f t="shared" ref="B351:D351" si="18">SUM(B25:B350)</f>
        <v>89296.360000000117</v>
      </c>
      <c r="C351" s="70">
        <f t="shared" si="18"/>
        <v>39296.360000000008</v>
      </c>
      <c r="D351" s="70">
        <f t="shared" si="18"/>
        <v>49999.999999999949</v>
      </c>
      <c r="J351" s="7">
        <v>325</v>
      </c>
      <c r="K351" s="70">
        <f t="shared" si="10"/>
        <v>268.07</v>
      </c>
      <c r="L351" s="70">
        <f t="shared" si="11"/>
        <v>40.69</v>
      </c>
      <c r="M351" s="70">
        <f t="shared" si="16"/>
        <v>227.38</v>
      </c>
      <c r="N351" s="70">
        <f t="shared" si="17"/>
        <v>8649.9200000000073</v>
      </c>
    </row>
    <row r="352" spans="1:14" ht="14.25" customHeight="1">
      <c r="J352" s="7">
        <v>326</v>
      </c>
      <c r="K352" s="70">
        <f t="shared" si="10"/>
        <v>268.07</v>
      </c>
      <c r="L352" s="70">
        <f t="shared" si="11"/>
        <v>39.65</v>
      </c>
      <c r="M352" s="70">
        <f t="shared" si="16"/>
        <v>228.42</v>
      </c>
      <c r="N352" s="70">
        <f t="shared" si="17"/>
        <v>8421.5000000000073</v>
      </c>
    </row>
    <row r="353" spans="10:14" ht="14.25" customHeight="1">
      <c r="J353" s="7">
        <v>327</v>
      </c>
      <c r="K353" s="70">
        <f t="shared" si="10"/>
        <v>268.07</v>
      </c>
      <c r="L353" s="70">
        <f t="shared" si="11"/>
        <v>38.6</v>
      </c>
      <c r="M353" s="70">
        <f t="shared" si="16"/>
        <v>229.47</v>
      </c>
      <c r="N353" s="70">
        <f t="shared" si="17"/>
        <v>8192.0300000000079</v>
      </c>
    </row>
    <row r="354" spans="10:14" ht="14.25" customHeight="1">
      <c r="J354" s="7">
        <v>328</v>
      </c>
      <c r="K354" s="70">
        <f t="shared" si="10"/>
        <v>268.07</v>
      </c>
      <c r="L354" s="70">
        <f t="shared" si="11"/>
        <v>37.549999999999997</v>
      </c>
      <c r="M354" s="70">
        <f t="shared" si="16"/>
        <v>230.51999999999998</v>
      </c>
      <c r="N354" s="70">
        <f t="shared" si="17"/>
        <v>7961.5100000000075</v>
      </c>
    </row>
    <row r="355" spans="10:14" ht="14.25" customHeight="1">
      <c r="J355" s="7">
        <v>329</v>
      </c>
      <c r="K355" s="70">
        <f t="shared" si="10"/>
        <v>268.07</v>
      </c>
      <c r="L355" s="70">
        <f t="shared" si="11"/>
        <v>36.49</v>
      </c>
      <c r="M355" s="70">
        <f t="shared" si="16"/>
        <v>231.57999999999998</v>
      </c>
      <c r="N355" s="70">
        <f t="shared" si="17"/>
        <v>7729.9300000000076</v>
      </c>
    </row>
    <row r="356" spans="10:14" ht="14.25" customHeight="1">
      <c r="J356" s="7">
        <v>330</v>
      </c>
      <c r="K356" s="70">
        <f t="shared" si="10"/>
        <v>268.07</v>
      </c>
      <c r="L356" s="70">
        <f t="shared" si="11"/>
        <v>35.43</v>
      </c>
      <c r="M356" s="70">
        <f t="shared" si="16"/>
        <v>232.64</v>
      </c>
      <c r="N356" s="70">
        <f t="shared" si="17"/>
        <v>7497.2900000000072</v>
      </c>
    </row>
    <row r="357" spans="10:14" ht="14.25" customHeight="1">
      <c r="J357" s="7">
        <v>331</v>
      </c>
      <c r="K357" s="70">
        <f t="shared" si="10"/>
        <v>268.07</v>
      </c>
      <c r="L357" s="70">
        <f t="shared" si="11"/>
        <v>34.36</v>
      </c>
      <c r="M357" s="70">
        <f t="shared" si="16"/>
        <v>233.70999999999998</v>
      </c>
      <c r="N357" s="70">
        <f t="shared" si="17"/>
        <v>7263.5800000000072</v>
      </c>
    </row>
    <row r="358" spans="10:14" ht="14.25" customHeight="1">
      <c r="J358" s="7">
        <v>332</v>
      </c>
      <c r="K358" s="70">
        <f t="shared" si="10"/>
        <v>268.07</v>
      </c>
      <c r="L358" s="70">
        <f t="shared" si="11"/>
        <v>33.29</v>
      </c>
      <c r="M358" s="70">
        <f t="shared" si="16"/>
        <v>234.78</v>
      </c>
      <c r="N358" s="70">
        <f t="shared" si="17"/>
        <v>7028.8000000000075</v>
      </c>
    </row>
    <row r="359" spans="10:14" ht="14.25" customHeight="1">
      <c r="J359" s="7">
        <v>333</v>
      </c>
      <c r="K359" s="70">
        <f t="shared" si="10"/>
        <v>268.07</v>
      </c>
      <c r="L359" s="70">
        <f t="shared" si="11"/>
        <v>32.22</v>
      </c>
      <c r="M359" s="70">
        <f t="shared" si="16"/>
        <v>235.85</v>
      </c>
      <c r="N359" s="70">
        <f t="shared" si="17"/>
        <v>6792.9500000000071</v>
      </c>
    </row>
    <row r="360" spans="10:14" ht="14.25" customHeight="1">
      <c r="J360" s="7">
        <v>334</v>
      </c>
      <c r="K360" s="70">
        <f t="shared" si="10"/>
        <v>268.07</v>
      </c>
      <c r="L360" s="70">
        <f t="shared" si="11"/>
        <v>31.13</v>
      </c>
      <c r="M360" s="70">
        <f t="shared" si="16"/>
        <v>236.94</v>
      </c>
      <c r="N360" s="70">
        <f t="shared" si="17"/>
        <v>6556.0100000000075</v>
      </c>
    </row>
    <row r="361" spans="10:14" ht="14.25" customHeight="1">
      <c r="J361" s="7">
        <v>335</v>
      </c>
      <c r="K361" s="70">
        <f t="shared" si="10"/>
        <v>268.07</v>
      </c>
      <c r="L361" s="70">
        <f t="shared" si="11"/>
        <v>30.05</v>
      </c>
      <c r="M361" s="70">
        <f t="shared" si="16"/>
        <v>238.01999999999998</v>
      </c>
      <c r="N361" s="70">
        <f t="shared" si="17"/>
        <v>6317.9900000000071</v>
      </c>
    </row>
    <row r="362" spans="10:14" ht="14.25" customHeight="1">
      <c r="J362" s="7">
        <v>336</v>
      </c>
      <c r="K362" s="70">
        <f t="shared" si="10"/>
        <v>268.07</v>
      </c>
      <c r="L362" s="70">
        <f t="shared" si="11"/>
        <v>28.96</v>
      </c>
      <c r="M362" s="70">
        <f t="shared" si="16"/>
        <v>239.10999999999999</v>
      </c>
      <c r="N362" s="70">
        <f t="shared" si="17"/>
        <v>6078.8800000000074</v>
      </c>
    </row>
    <row r="363" spans="10:14" ht="14.25" customHeight="1">
      <c r="J363" s="7">
        <v>337</v>
      </c>
      <c r="K363" s="70">
        <f t="shared" si="10"/>
        <v>268.07</v>
      </c>
      <c r="L363" s="70">
        <f t="shared" si="11"/>
        <v>27.86</v>
      </c>
      <c r="M363" s="70">
        <f t="shared" si="16"/>
        <v>240.20999999999998</v>
      </c>
      <c r="N363" s="70">
        <f t="shared" si="17"/>
        <v>5838.6700000000073</v>
      </c>
    </row>
    <row r="364" spans="10:14" ht="14.25" customHeight="1">
      <c r="J364" s="7">
        <v>338</v>
      </c>
      <c r="K364" s="70">
        <f t="shared" si="10"/>
        <v>268.07</v>
      </c>
      <c r="L364" s="70">
        <f t="shared" si="11"/>
        <v>26.76</v>
      </c>
      <c r="M364" s="70">
        <f t="shared" si="16"/>
        <v>241.31</v>
      </c>
      <c r="N364" s="70">
        <f t="shared" si="17"/>
        <v>5597.3600000000069</v>
      </c>
    </row>
    <row r="365" spans="10:14" ht="14.25" customHeight="1">
      <c r="J365" s="7">
        <v>339</v>
      </c>
      <c r="K365" s="70">
        <f t="shared" si="10"/>
        <v>268.07</v>
      </c>
      <c r="L365" s="70">
        <f t="shared" si="11"/>
        <v>25.65</v>
      </c>
      <c r="M365" s="70">
        <f t="shared" si="16"/>
        <v>242.42</v>
      </c>
      <c r="N365" s="70">
        <f t="shared" si="17"/>
        <v>5354.9400000000069</v>
      </c>
    </row>
    <row r="366" spans="10:14" ht="14.25" customHeight="1">
      <c r="J366" s="7">
        <v>340</v>
      </c>
      <c r="K366" s="70">
        <f t="shared" si="10"/>
        <v>268.07</v>
      </c>
      <c r="L366" s="70">
        <f t="shared" si="11"/>
        <v>24.54</v>
      </c>
      <c r="M366" s="70">
        <f t="shared" si="16"/>
        <v>243.53</v>
      </c>
      <c r="N366" s="70">
        <f t="shared" si="17"/>
        <v>5111.4100000000071</v>
      </c>
    </row>
    <row r="367" spans="10:14" ht="14.25" customHeight="1">
      <c r="J367" s="7">
        <v>341</v>
      </c>
      <c r="K367" s="70">
        <f t="shared" si="10"/>
        <v>268.07</v>
      </c>
      <c r="L367" s="70">
        <f t="shared" si="11"/>
        <v>23.43</v>
      </c>
      <c r="M367" s="70">
        <f t="shared" si="16"/>
        <v>244.64</v>
      </c>
      <c r="N367" s="70">
        <f t="shared" si="17"/>
        <v>4866.7700000000068</v>
      </c>
    </row>
    <row r="368" spans="10:14" ht="14.25" customHeight="1">
      <c r="J368" s="7">
        <v>342</v>
      </c>
      <c r="K368" s="70">
        <f t="shared" si="10"/>
        <v>268.07</v>
      </c>
      <c r="L368" s="70">
        <f t="shared" si="11"/>
        <v>22.31</v>
      </c>
      <c r="M368" s="70">
        <f t="shared" si="16"/>
        <v>245.76</v>
      </c>
      <c r="N368" s="70">
        <f t="shared" si="17"/>
        <v>4621.0100000000066</v>
      </c>
    </row>
    <row r="369" spans="10:14" ht="14.25" customHeight="1">
      <c r="J369" s="7">
        <v>343</v>
      </c>
      <c r="K369" s="70">
        <f t="shared" si="10"/>
        <v>268.07</v>
      </c>
      <c r="L369" s="70">
        <f t="shared" si="11"/>
        <v>21.18</v>
      </c>
      <c r="M369" s="70">
        <f t="shared" si="16"/>
        <v>246.89</v>
      </c>
      <c r="N369" s="70">
        <f t="shared" si="17"/>
        <v>4374.1200000000063</v>
      </c>
    </row>
    <row r="370" spans="10:14" ht="14.25" customHeight="1">
      <c r="J370" s="7">
        <v>344</v>
      </c>
      <c r="K370" s="70">
        <f t="shared" si="10"/>
        <v>268.07</v>
      </c>
      <c r="L370" s="70">
        <f t="shared" si="11"/>
        <v>20.05</v>
      </c>
      <c r="M370" s="70">
        <f t="shared" si="16"/>
        <v>248.01999999999998</v>
      </c>
      <c r="N370" s="70">
        <f t="shared" si="17"/>
        <v>4126.1000000000058</v>
      </c>
    </row>
    <row r="371" spans="10:14" ht="14.25" customHeight="1">
      <c r="J371" s="7">
        <v>345</v>
      </c>
      <c r="K371" s="70">
        <f t="shared" si="10"/>
        <v>268.07</v>
      </c>
      <c r="L371" s="70">
        <f t="shared" si="11"/>
        <v>18.91</v>
      </c>
      <c r="M371" s="70">
        <f t="shared" si="16"/>
        <v>249.16</v>
      </c>
      <c r="N371" s="70">
        <f t="shared" si="17"/>
        <v>3876.940000000006</v>
      </c>
    </row>
    <row r="372" spans="10:14" ht="14.25" customHeight="1">
      <c r="J372" s="7">
        <v>346</v>
      </c>
      <c r="K372" s="70">
        <f t="shared" si="10"/>
        <v>268.07</v>
      </c>
      <c r="L372" s="70">
        <f t="shared" si="11"/>
        <v>17.77</v>
      </c>
      <c r="M372" s="70">
        <f t="shared" si="16"/>
        <v>250.29999999999998</v>
      </c>
      <c r="N372" s="70">
        <f t="shared" si="17"/>
        <v>3626.6400000000058</v>
      </c>
    </row>
    <row r="373" spans="10:14" ht="14.25" customHeight="1">
      <c r="J373" s="7">
        <v>347</v>
      </c>
      <c r="K373" s="70">
        <f t="shared" si="10"/>
        <v>268.07</v>
      </c>
      <c r="L373" s="70">
        <f t="shared" si="11"/>
        <v>16.62</v>
      </c>
      <c r="M373" s="70">
        <f t="shared" si="16"/>
        <v>251.45</v>
      </c>
      <c r="N373" s="70">
        <f t="shared" si="17"/>
        <v>3375.190000000006</v>
      </c>
    </row>
    <row r="374" spans="10:14" ht="14.25" customHeight="1">
      <c r="J374" s="7">
        <v>348</v>
      </c>
      <c r="K374" s="70">
        <f t="shared" si="10"/>
        <v>268.07</v>
      </c>
      <c r="L374" s="70">
        <f t="shared" si="11"/>
        <v>15.47</v>
      </c>
      <c r="M374" s="70">
        <f t="shared" si="16"/>
        <v>252.6</v>
      </c>
      <c r="N374" s="70">
        <f t="shared" si="17"/>
        <v>3122.5900000000061</v>
      </c>
    </row>
    <row r="375" spans="10:14" ht="14.25" customHeight="1">
      <c r="J375" s="7">
        <v>349</v>
      </c>
      <c r="K375" s="70">
        <f t="shared" si="10"/>
        <v>268.07</v>
      </c>
      <c r="L375" s="70">
        <f t="shared" si="11"/>
        <v>14.31</v>
      </c>
      <c r="M375" s="70">
        <f t="shared" si="16"/>
        <v>253.76</v>
      </c>
      <c r="N375" s="70">
        <f t="shared" si="17"/>
        <v>2868.8300000000063</v>
      </c>
    </row>
    <row r="376" spans="10:14" ht="14.25" customHeight="1">
      <c r="J376" s="7">
        <v>350</v>
      </c>
      <c r="K376" s="70">
        <f t="shared" si="10"/>
        <v>268.07</v>
      </c>
      <c r="L376" s="70">
        <f t="shared" si="11"/>
        <v>13.15</v>
      </c>
      <c r="M376" s="70">
        <f t="shared" si="16"/>
        <v>254.92</v>
      </c>
      <c r="N376" s="70">
        <f t="shared" si="17"/>
        <v>2613.9100000000062</v>
      </c>
    </row>
    <row r="377" spans="10:14" ht="14.25" customHeight="1">
      <c r="J377" s="7">
        <v>351</v>
      </c>
      <c r="K377" s="70">
        <f t="shared" si="10"/>
        <v>268.07</v>
      </c>
      <c r="L377" s="70">
        <f t="shared" si="11"/>
        <v>11.98</v>
      </c>
      <c r="M377" s="70">
        <f t="shared" si="16"/>
        <v>256.08999999999997</v>
      </c>
      <c r="N377" s="70">
        <f t="shared" si="17"/>
        <v>2357.8200000000061</v>
      </c>
    </row>
    <row r="378" spans="10:14" ht="14.25" customHeight="1">
      <c r="J378" s="7">
        <v>352</v>
      </c>
      <c r="K378" s="70">
        <f t="shared" si="10"/>
        <v>268.07</v>
      </c>
      <c r="L378" s="70">
        <f t="shared" si="11"/>
        <v>10.81</v>
      </c>
      <c r="M378" s="70">
        <f t="shared" si="16"/>
        <v>257.26</v>
      </c>
      <c r="N378" s="70">
        <f t="shared" si="17"/>
        <v>2100.5600000000059</v>
      </c>
    </row>
    <row r="379" spans="10:14" ht="14.25" customHeight="1">
      <c r="J379" s="7">
        <v>353</v>
      </c>
      <c r="K379" s="70">
        <f t="shared" si="10"/>
        <v>268.07</v>
      </c>
      <c r="L379" s="70">
        <f t="shared" si="11"/>
        <v>9.6300000000000008</v>
      </c>
      <c r="M379" s="70">
        <f t="shared" si="16"/>
        <v>258.44</v>
      </c>
      <c r="N379" s="70">
        <f t="shared" si="17"/>
        <v>1842.1200000000058</v>
      </c>
    </row>
    <row r="380" spans="10:14" ht="14.25" customHeight="1">
      <c r="J380" s="7">
        <v>354</v>
      </c>
      <c r="K380" s="70">
        <f t="shared" si="10"/>
        <v>268.07</v>
      </c>
      <c r="L380" s="70">
        <f t="shared" si="11"/>
        <v>8.44</v>
      </c>
      <c r="M380" s="70">
        <f t="shared" si="16"/>
        <v>259.63</v>
      </c>
      <c r="N380" s="70">
        <f t="shared" si="17"/>
        <v>1582.4900000000057</v>
      </c>
    </row>
    <row r="381" spans="10:14" ht="14.25" customHeight="1">
      <c r="J381" s="7">
        <v>355</v>
      </c>
      <c r="K381" s="70">
        <f t="shared" si="10"/>
        <v>268.07</v>
      </c>
      <c r="L381" s="70">
        <f t="shared" si="11"/>
        <v>7.25</v>
      </c>
      <c r="M381" s="70">
        <f t="shared" si="16"/>
        <v>260.82</v>
      </c>
      <c r="N381" s="70">
        <f t="shared" si="17"/>
        <v>1321.6700000000058</v>
      </c>
    </row>
    <row r="382" spans="10:14" ht="14.25" customHeight="1">
      <c r="J382" s="7">
        <v>356</v>
      </c>
      <c r="K382" s="70">
        <f t="shared" si="10"/>
        <v>268.07</v>
      </c>
      <c r="L382" s="70">
        <f t="shared" si="11"/>
        <v>6.06</v>
      </c>
      <c r="M382" s="70">
        <f t="shared" si="16"/>
        <v>262.01</v>
      </c>
      <c r="N382" s="70">
        <f t="shared" si="17"/>
        <v>1059.6600000000058</v>
      </c>
    </row>
    <row r="383" spans="10:14" ht="14.25" customHeight="1">
      <c r="J383" s="7">
        <v>357</v>
      </c>
      <c r="K383" s="70">
        <f t="shared" si="10"/>
        <v>268.07</v>
      </c>
      <c r="L383" s="70">
        <f t="shared" si="11"/>
        <v>4.8600000000000003</v>
      </c>
      <c r="M383" s="70">
        <f t="shared" si="16"/>
        <v>263.20999999999998</v>
      </c>
      <c r="N383" s="70">
        <f t="shared" si="17"/>
        <v>796.45000000000573</v>
      </c>
    </row>
    <row r="384" spans="10:14" ht="14.25" customHeight="1">
      <c r="J384" s="7">
        <v>358</v>
      </c>
      <c r="K384" s="70">
        <f t="shared" si="10"/>
        <v>268.07</v>
      </c>
      <c r="L384" s="70">
        <f t="shared" si="11"/>
        <v>3.65</v>
      </c>
      <c r="M384" s="70">
        <f t="shared" si="16"/>
        <v>264.42</v>
      </c>
      <c r="N384" s="70">
        <f t="shared" si="17"/>
        <v>532.03000000000566</v>
      </c>
    </row>
    <row r="385" spans="10:15" ht="14.25" customHeight="1">
      <c r="J385" s="7">
        <v>359</v>
      </c>
      <c r="K385" s="70">
        <f t="shared" si="10"/>
        <v>268.07</v>
      </c>
      <c r="L385" s="70">
        <f t="shared" si="11"/>
        <v>2.44</v>
      </c>
      <c r="M385" s="70">
        <f t="shared" si="16"/>
        <v>265.63</v>
      </c>
      <c r="N385" s="70">
        <f t="shared" si="17"/>
        <v>266.40000000000566</v>
      </c>
    </row>
    <row r="386" spans="10:15" ht="14.25" customHeight="1">
      <c r="J386" s="7">
        <v>360</v>
      </c>
      <c r="K386" s="70">
        <f>L386+M386</f>
        <v>267.62000000000569</v>
      </c>
      <c r="L386" s="70">
        <f t="shared" si="11"/>
        <v>1.22</v>
      </c>
      <c r="M386" s="70">
        <f>N385</f>
        <v>266.40000000000566</v>
      </c>
      <c r="N386" s="70">
        <f t="shared" si="17"/>
        <v>0</v>
      </c>
      <c r="O386" s="18" t="s">
        <v>121</v>
      </c>
    </row>
    <row r="387" spans="10:15" ht="14.25" customHeight="1">
      <c r="K387" s="70">
        <f t="shared" ref="K387:M387" si="19">SUM(K25:K386)</f>
        <v>97790.670000000871</v>
      </c>
      <c r="L387" s="70">
        <f t="shared" si="19"/>
        <v>47790.670000000027</v>
      </c>
      <c r="M387" s="70">
        <f t="shared" si="19"/>
        <v>49999.999999999971</v>
      </c>
    </row>
    <row r="388" spans="10:15" ht="14.25" customHeight="1">
      <c r="K388" s="62"/>
    </row>
    <row r="389" spans="10:15" ht="14.25" customHeight="1"/>
    <row r="390" spans="10:15" ht="14.25" customHeight="1"/>
    <row r="391" spans="10:15" ht="14.25" customHeight="1"/>
    <row r="392" spans="10:15" ht="14.25" customHeight="1"/>
    <row r="393" spans="10:15" ht="14.25" customHeight="1"/>
    <row r="394" spans="10:15" ht="14.25" customHeight="1"/>
    <row r="395" spans="10:15" ht="14.25" customHeight="1"/>
    <row r="396" spans="10:15" ht="14.25" customHeight="1"/>
    <row r="397" spans="10:15" ht="14.25" customHeight="1"/>
    <row r="398" spans="10:15" ht="14.25" customHeight="1"/>
    <row r="399" spans="10:15" ht="14.25" customHeight="1"/>
    <row r="400" spans="10:15"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sheetData>
  <mergeCells count="4">
    <mergeCell ref="A1:I7"/>
    <mergeCell ref="A16:B16"/>
    <mergeCell ref="P79:Q79"/>
    <mergeCell ref="P139:Q139"/>
  </mergeCell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P999"/>
  <sheetViews>
    <sheetView workbookViewId="0">
      <selection sqref="A1:K6"/>
    </sheetView>
  </sheetViews>
  <sheetFormatPr defaultColWidth="14.453125" defaultRowHeight="15" customHeight="1"/>
  <cols>
    <col min="1" max="1" width="14.6328125" customWidth="1"/>
    <col min="2" max="2" width="15.36328125" customWidth="1"/>
    <col min="3" max="3" width="12.6328125" customWidth="1"/>
    <col min="4" max="4" width="13.36328125" customWidth="1"/>
    <col min="5" max="5" width="14.6328125" customWidth="1"/>
    <col min="6" max="6" width="15.36328125" customWidth="1"/>
    <col min="7" max="7" width="17.453125" customWidth="1"/>
    <col min="8" max="8" width="11.6328125" customWidth="1"/>
    <col min="9" max="9" width="8.6328125" customWidth="1"/>
    <col min="10" max="10" width="14.453125" customWidth="1"/>
    <col min="11" max="11" width="13.6328125" customWidth="1"/>
    <col min="12" max="12" width="13.36328125" customWidth="1"/>
    <col min="13" max="13" width="14.36328125" customWidth="1"/>
    <col min="14" max="14" width="15.36328125" customWidth="1"/>
    <col min="15" max="15" width="17.453125" customWidth="1"/>
    <col min="16" max="26" width="8.6328125" customWidth="1"/>
  </cols>
  <sheetData>
    <row r="1" spans="1:13" ht="15" customHeight="1">
      <c r="A1" s="202" t="s">
        <v>140</v>
      </c>
      <c r="B1" s="188"/>
      <c r="C1" s="188"/>
      <c r="D1" s="188"/>
      <c r="E1" s="188"/>
      <c r="F1" s="188"/>
      <c r="G1" s="188"/>
      <c r="H1" s="188"/>
      <c r="I1" s="188"/>
      <c r="J1" s="188"/>
      <c r="K1" s="188"/>
      <c r="L1" s="23"/>
      <c r="M1" s="23"/>
    </row>
    <row r="2" spans="1:13" ht="15" customHeight="1">
      <c r="A2" s="188"/>
      <c r="B2" s="188"/>
      <c r="C2" s="188"/>
      <c r="D2" s="188"/>
      <c r="E2" s="188"/>
      <c r="F2" s="188"/>
      <c r="G2" s="188"/>
      <c r="H2" s="188"/>
      <c r="I2" s="188"/>
      <c r="J2" s="188"/>
      <c r="K2" s="188"/>
      <c r="L2" s="23"/>
      <c r="M2" s="23"/>
    </row>
    <row r="3" spans="1:13" ht="15" customHeight="1">
      <c r="A3" s="188"/>
      <c r="B3" s="188"/>
      <c r="C3" s="188"/>
      <c r="D3" s="188"/>
      <c r="E3" s="188"/>
      <c r="F3" s="188"/>
      <c r="G3" s="188"/>
      <c r="H3" s="188"/>
      <c r="I3" s="188"/>
      <c r="J3" s="188"/>
      <c r="K3" s="188"/>
      <c r="L3" s="23"/>
      <c r="M3" s="23"/>
    </row>
    <row r="4" spans="1:13" ht="15" customHeight="1">
      <c r="A4" s="188"/>
      <c r="B4" s="188"/>
      <c r="C4" s="188"/>
      <c r="D4" s="188"/>
      <c r="E4" s="188"/>
      <c r="F4" s="188"/>
      <c r="G4" s="188"/>
      <c r="H4" s="188"/>
      <c r="I4" s="188"/>
      <c r="J4" s="188"/>
      <c r="K4" s="188"/>
      <c r="L4" s="23"/>
      <c r="M4" s="23"/>
    </row>
    <row r="5" spans="1:13" ht="15" customHeight="1">
      <c r="A5" s="188"/>
      <c r="B5" s="188"/>
      <c r="C5" s="188"/>
      <c r="D5" s="188"/>
      <c r="E5" s="188"/>
      <c r="F5" s="188"/>
      <c r="G5" s="188"/>
      <c r="H5" s="188"/>
      <c r="I5" s="188"/>
      <c r="J5" s="188"/>
      <c r="K5" s="188"/>
      <c r="L5" s="23"/>
      <c r="M5" s="23"/>
    </row>
    <row r="6" spans="1:13" ht="15" customHeight="1">
      <c r="A6" s="188"/>
      <c r="B6" s="188"/>
      <c r="C6" s="188"/>
      <c r="D6" s="188"/>
      <c r="E6" s="188"/>
      <c r="F6" s="188"/>
      <c r="G6" s="188"/>
      <c r="H6" s="188"/>
      <c r="I6" s="188"/>
      <c r="J6" s="188"/>
      <c r="K6" s="188"/>
      <c r="L6" s="23"/>
      <c r="M6" s="23"/>
    </row>
    <row r="7" spans="1:13" ht="15" customHeight="1">
      <c r="A7" s="18" t="s">
        <v>115</v>
      </c>
      <c r="B7" s="23"/>
      <c r="C7" s="23"/>
      <c r="D7" s="23"/>
      <c r="E7" s="23"/>
      <c r="F7" s="23"/>
      <c r="G7" s="23"/>
      <c r="H7" s="23"/>
      <c r="I7" s="23"/>
      <c r="J7" s="23"/>
      <c r="K7" s="23"/>
      <c r="L7" s="23"/>
      <c r="M7" s="23"/>
    </row>
    <row r="10" spans="1:13" ht="15" customHeight="1">
      <c r="A10" s="14" t="s">
        <v>89</v>
      </c>
      <c r="B10" s="62">
        <v>80000</v>
      </c>
    </row>
    <row r="11" spans="1:13" ht="15" customHeight="1">
      <c r="A11" s="14" t="s">
        <v>132</v>
      </c>
      <c r="B11" s="3">
        <v>33</v>
      </c>
    </row>
    <row r="12" spans="1:13" ht="15" customHeight="1">
      <c r="A12" s="38" t="s">
        <v>90</v>
      </c>
      <c r="B12" s="74">
        <f>3.6%</f>
        <v>3.6000000000000004E-2</v>
      </c>
    </row>
    <row r="13" spans="1:13" ht="15" customHeight="1">
      <c r="A13" s="14" t="s">
        <v>91</v>
      </c>
      <c r="B13" s="74">
        <f>1+B12</f>
        <v>1.036</v>
      </c>
    </row>
    <row r="14" spans="1:13" ht="15" customHeight="1">
      <c r="A14" s="14" t="s">
        <v>133</v>
      </c>
      <c r="B14" s="24">
        <v>12</v>
      </c>
    </row>
    <row r="15" spans="1:13" ht="15" customHeight="1">
      <c r="A15" s="12" t="s">
        <v>134</v>
      </c>
      <c r="B15" s="12"/>
      <c r="C15" s="12"/>
      <c r="D15" s="12"/>
    </row>
    <row r="16" spans="1:13" ht="15" customHeight="1">
      <c r="A16" s="14" t="s">
        <v>135</v>
      </c>
      <c r="B16" s="68">
        <f>B12/B14</f>
        <v>3.0000000000000005E-3</v>
      </c>
      <c r="C16" s="14"/>
    </row>
    <row r="17" spans="1:7" ht="15" customHeight="1">
      <c r="A17" s="14" t="s">
        <v>136</v>
      </c>
      <c r="B17" s="68">
        <f>1+B16</f>
        <v>1.0029999999999999</v>
      </c>
      <c r="C17" s="14"/>
      <c r="D17" s="24"/>
    </row>
    <row r="18" spans="1:7" ht="15" customHeight="1">
      <c r="A18" s="14" t="s">
        <v>137</v>
      </c>
      <c r="B18" s="3">
        <f>B11*B14</f>
        <v>396</v>
      </c>
      <c r="C18" s="14"/>
    </row>
    <row r="19" spans="1:7" ht="15" customHeight="1">
      <c r="A19" s="14"/>
      <c r="C19" s="14"/>
    </row>
    <row r="21" spans="1:7" ht="15" customHeight="1">
      <c r="A21" s="14" t="s">
        <v>138</v>
      </c>
      <c r="B21" s="75">
        <f>ROUND(PMT(B16,B18,B10),2)</f>
        <v>-345.51</v>
      </c>
      <c r="E21" s="38"/>
      <c r="F21" s="55"/>
      <c r="G21" s="55"/>
    </row>
    <row r="22" spans="1:7" ht="15" customHeight="1">
      <c r="E22" s="38"/>
      <c r="F22" s="55"/>
      <c r="G22" s="55"/>
    </row>
    <row r="23" spans="1:7" ht="15" customHeight="1">
      <c r="F23" s="24"/>
    </row>
    <row r="24" spans="1:7" ht="15" customHeight="1">
      <c r="A24" s="14" t="s">
        <v>141</v>
      </c>
      <c r="B24" s="62">
        <f>ROUND(B10/B18,2)</f>
        <v>202.02</v>
      </c>
      <c r="C24" s="14"/>
      <c r="E24" s="21"/>
      <c r="F24" s="21"/>
      <c r="G24" s="21"/>
    </row>
    <row r="25" spans="1:7" ht="15" customHeight="1">
      <c r="A25" s="14"/>
      <c r="B25" s="55"/>
      <c r="C25" s="14"/>
      <c r="E25" s="21"/>
      <c r="F25" s="21"/>
      <c r="G25" s="21"/>
    </row>
    <row r="26" spans="1:7" ht="15" customHeight="1">
      <c r="B26" s="23"/>
      <c r="C26" s="23"/>
      <c r="D26" s="23"/>
      <c r="E26" s="23"/>
      <c r="F26" s="23"/>
      <c r="G26" s="23"/>
    </row>
    <row r="27" spans="1:7" ht="15" customHeight="1">
      <c r="A27" s="3" t="s">
        <v>142</v>
      </c>
      <c r="B27" s="76">
        <f>30%</f>
        <v>0.3</v>
      </c>
      <c r="C27" s="23"/>
      <c r="D27" s="23"/>
      <c r="E27" s="23"/>
      <c r="F27" s="23"/>
      <c r="G27" s="23"/>
    </row>
    <row r="28" spans="1:7" ht="15" customHeight="1">
      <c r="A28" s="23"/>
      <c r="B28" s="23"/>
      <c r="C28" s="23"/>
      <c r="D28" s="23"/>
      <c r="E28" s="23"/>
      <c r="F28" s="23"/>
      <c r="G28" s="23"/>
    </row>
    <row r="29" spans="1:7" ht="15" customHeight="1">
      <c r="A29" s="23"/>
      <c r="B29" s="23"/>
      <c r="C29" s="23"/>
      <c r="D29" s="23"/>
      <c r="E29" s="23"/>
      <c r="F29" s="23"/>
      <c r="G29" s="23"/>
    </row>
    <row r="30" spans="1:7" ht="15" customHeight="1">
      <c r="A30" s="3" t="s">
        <v>143</v>
      </c>
      <c r="B30" s="23"/>
      <c r="C30" s="77">
        <f>F433</f>
        <v>6218.9999999999955</v>
      </c>
      <c r="D30" s="23" t="s">
        <v>144</v>
      </c>
      <c r="E30" s="18" t="s">
        <v>121</v>
      </c>
      <c r="F30" s="23"/>
      <c r="G30" s="23"/>
    </row>
    <row r="31" spans="1:7" ht="15" customHeight="1">
      <c r="A31" s="3" t="s">
        <v>145</v>
      </c>
      <c r="B31" s="23"/>
      <c r="C31" s="77">
        <f>N433</f>
        <v>7634.5599999999995</v>
      </c>
      <c r="D31" s="23" t="s">
        <v>144</v>
      </c>
      <c r="E31" s="18" t="s">
        <v>121</v>
      </c>
      <c r="F31" s="23"/>
      <c r="G31" s="23"/>
    </row>
    <row r="32" spans="1:7" ht="15" customHeight="1">
      <c r="A32" s="23"/>
      <c r="B32" s="24"/>
    </row>
    <row r="34" spans="1:16" ht="15" customHeight="1">
      <c r="A34" s="3" t="s">
        <v>146</v>
      </c>
      <c r="I34" s="3" t="s">
        <v>147</v>
      </c>
    </row>
    <row r="35" spans="1:16" ht="29">
      <c r="A35" s="7" t="s">
        <v>122</v>
      </c>
      <c r="B35" s="7" t="s">
        <v>120</v>
      </c>
      <c r="C35" s="7" t="s">
        <v>123</v>
      </c>
      <c r="D35" s="7" t="s">
        <v>124</v>
      </c>
      <c r="E35" s="7" t="s">
        <v>125</v>
      </c>
      <c r="F35" s="9" t="s">
        <v>148</v>
      </c>
      <c r="G35" s="9" t="s">
        <v>149</v>
      </c>
      <c r="I35" s="7" t="s">
        <v>122</v>
      </c>
      <c r="J35" s="7" t="s">
        <v>128</v>
      </c>
      <c r="K35" s="7" t="s">
        <v>123</v>
      </c>
      <c r="L35" s="7" t="s">
        <v>104</v>
      </c>
      <c r="M35" s="7" t="s">
        <v>125</v>
      </c>
      <c r="N35" s="9" t="s">
        <v>148</v>
      </c>
      <c r="O35" s="9" t="s">
        <v>149</v>
      </c>
    </row>
    <row r="36" spans="1:16" ht="15" customHeight="1">
      <c r="A36" s="7">
        <v>0</v>
      </c>
      <c r="B36" s="70" t="s">
        <v>139</v>
      </c>
      <c r="C36" s="70" t="s">
        <v>139</v>
      </c>
      <c r="D36" s="70" t="s">
        <v>139</v>
      </c>
      <c r="E36" s="71">
        <f>B10</f>
        <v>80000</v>
      </c>
      <c r="F36" s="78"/>
      <c r="G36" s="78"/>
      <c r="I36" s="7">
        <v>0</v>
      </c>
      <c r="J36" s="70" t="s">
        <v>139</v>
      </c>
      <c r="K36" s="70" t="s">
        <v>139</v>
      </c>
      <c r="L36" s="70" t="s">
        <v>139</v>
      </c>
      <c r="M36" s="71">
        <f>B10</f>
        <v>80000</v>
      </c>
      <c r="N36" s="78"/>
      <c r="O36" s="78"/>
    </row>
    <row r="37" spans="1:16" ht="15" customHeight="1">
      <c r="A37" s="7">
        <v>1</v>
      </c>
      <c r="B37" s="70">
        <f t="shared" ref="B37:B291" si="0">-$B$21</f>
        <v>345.51</v>
      </c>
      <c r="C37" s="70">
        <f t="shared" ref="C37:C291" si="1">ROUND(E36*$B$16,2)</f>
        <v>240</v>
      </c>
      <c r="D37" s="70">
        <f t="shared" ref="D37:D291" si="2">B37-C37</f>
        <v>105.50999999999999</v>
      </c>
      <c r="E37" s="70">
        <f t="shared" ref="E37:E291" si="3">E36-D37</f>
        <v>79894.490000000005</v>
      </c>
      <c r="F37" s="78">
        <f t="shared" ref="F37:F96" si="4">ROUND($B$27*B37,2)</f>
        <v>103.65</v>
      </c>
      <c r="G37" s="79">
        <f t="shared" ref="G37:G291" si="5">B37-F37</f>
        <v>241.85999999999999</v>
      </c>
      <c r="H37" s="18" t="s">
        <v>121</v>
      </c>
      <c r="I37" s="80">
        <v>1</v>
      </c>
      <c r="J37" s="78">
        <f t="shared" ref="J37:J291" si="6">L37+K37</f>
        <v>442.02</v>
      </c>
      <c r="K37" s="78">
        <f t="shared" ref="K37:K291" si="7">ROUND(M36*$B$16,2)</f>
        <v>240</v>
      </c>
      <c r="L37" s="78">
        <f t="shared" ref="L37:L291" si="8">$B$24</f>
        <v>202.02</v>
      </c>
      <c r="M37" s="78">
        <f t="shared" ref="M37:M291" si="9">M36-L37</f>
        <v>79797.98</v>
      </c>
      <c r="N37" s="78">
        <f t="shared" ref="N37:N96" si="10">ROUND($B$27*J37,2)</f>
        <v>132.61000000000001</v>
      </c>
      <c r="O37" s="79">
        <f t="shared" ref="O37:O291" si="11">J37-N37</f>
        <v>309.40999999999997</v>
      </c>
      <c r="P37" s="18" t="s">
        <v>121</v>
      </c>
    </row>
    <row r="38" spans="1:16" ht="15" customHeight="1">
      <c r="A38" s="7">
        <v>2</v>
      </c>
      <c r="B38" s="70">
        <f t="shared" si="0"/>
        <v>345.51</v>
      </c>
      <c r="C38" s="70">
        <f t="shared" si="1"/>
        <v>239.68</v>
      </c>
      <c r="D38" s="70">
        <f t="shared" si="2"/>
        <v>105.82999999999998</v>
      </c>
      <c r="E38" s="70">
        <f t="shared" si="3"/>
        <v>79788.66</v>
      </c>
      <c r="F38" s="78">
        <f t="shared" si="4"/>
        <v>103.65</v>
      </c>
      <c r="G38" s="78">
        <f t="shared" si="5"/>
        <v>241.85999999999999</v>
      </c>
      <c r="I38" s="80">
        <v>2</v>
      </c>
      <c r="J38" s="78">
        <f t="shared" si="6"/>
        <v>441.40999999999997</v>
      </c>
      <c r="K38" s="78">
        <f t="shared" si="7"/>
        <v>239.39</v>
      </c>
      <c r="L38" s="78">
        <f t="shared" si="8"/>
        <v>202.02</v>
      </c>
      <c r="M38" s="78">
        <f t="shared" si="9"/>
        <v>79595.959999999992</v>
      </c>
      <c r="N38" s="78">
        <f t="shared" si="10"/>
        <v>132.41999999999999</v>
      </c>
      <c r="O38" s="78">
        <f t="shared" si="11"/>
        <v>308.99</v>
      </c>
    </row>
    <row r="39" spans="1:16" ht="15" customHeight="1">
      <c r="A39" s="7">
        <v>3</v>
      </c>
      <c r="B39" s="70">
        <f t="shared" si="0"/>
        <v>345.51</v>
      </c>
      <c r="C39" s="70">
        <f t="shared" si="1"/>
        <v>239.37</v>
      </c>
      <c r="D39" s="70">
        <f t="shared" si="2"/>
        <v>106.13999999999999</v>
      </c>
      <c r="E39" s="70">
        <f t="shared" si="3"/>
        <v>79682.52</v>
      </c>
      <c r="F39" s="78">
        <f t="shared" si="4"/>
        <v>103.65</v>
      </c>
      <c r="G39" s="78">
        <f t="shared" si="5"/>
        <v>241.85999999999999</v>
      </c>
      <c r="I39" s="80">
        <v>3</v>
      </c>
      <c r="J39" s="78">
        <f t="shared" si="6"/>
        <v>440.81</v>
      </c>
      <c r="K39" s="78">
        <f t="shared" si="7"/>
        <v>238.79</v>
      </c>
      <c r="L39" s="78">
        <f t="shared" si="8"/>
        <v>202.02</v>
      </c>
      <c r="M39" s="78">
        <f t="shared" si="9"/>
        <v>79393.939999999988</v>
      </c>
      <c r="N39" s="78">
        <f t="shared" si="10"/>
        <v>132.24</v>
      </c>
      <c r="O39" s="78">
        <f t="shared" si="11"/>
        <v>308.57</v>
      </c>
    </row>
    <row r="40" spans="1:16" ht="15" customHeight="1">
      <c r="A40" s="7">
        <v>4</v>
      </c>
      <c r="B40" s="70">
        <f t="shared" si="0"/>
        <v>345.51</v>
      </c>
      <c r="C40" s="70">
        <f t="shared" si="1"/>
        <v>239.05</v>
      </c>
      <c r="D40" s="70">
        <f t="shared" si="2"/>
        <v>106.45999999999998</v>
      </c>
      <c r="E40" s="70">
        <f t="shared" si="3"/>
        <v>79576.06</v>
      </c>
      <c r="F40" s="78">
        <f t="shared" si="4"/>
        <v>103.65</v>
      </c>
      <c r="G40" s="78">
        <f t="shared" si="5"/>
        <v>241.85999999999999</v>
      </c>
      <c r="I40" s="80">
        <v>4</v>
      </c>
      <c r="J40" s="78">
        <f t="shared" si="6"/>
        <v>440.20000000000005</v>
      </c>
      <c r="K40" s="78">
        <f t="shared" si="7"/>
        <v>238.18</v>
      </c>
      <c r="L40" s="78">
        <f t="shared" si="8"/>
        <v>202.02</v>
      </c>
      <c r="M40" s="78">
        <f t="shared" si="9"/>
        <v>79191.919999999984</v>
      </c>
      <c r="N40" s="78">
        <f t="shared" si="10"/>
        <v>132.06</v>
      </c>
      <c r="O40" s="78">
        <f t="shared" si="11"/>
        <v>308.14000000000004</v>
      </c>
    </row>
    <row r="41" spans="1:16" ht="15" customHeight="1">
      <c r="A41" s="7">
        <v>5</v>
      </c>
      <c r="B41" s="70">
        <f t="shared" si="0"/>
        <v>345.51</v>
      </c>
      <c r="C41" s="70">
        <f t="shared" si="1"/>
        <v>238.73</v>
      </c>
      <c r="D41" s="70">
        <f t="shared" si="2"/>
        <v>106.78</v>
      </c>
      <c r="E41" s="70">
        <f t="shared" si="3"/>
        <v>79469.279999999999</v>
      </c>
      <c r="F41" s="78">
        <f t="shared" si="4"/>
        <v>103.65</v>
      </c>
      <c r="G41" s="78">
        <f t="shared" si="5"/>
        <v>241.85999999999999</v>
      </c>
      <c r="I41" s="80">
        <v>5</v>
      </c>
      <c r="J41" s="78">
        <f t="shared" si="6"/>
        <v>439.6</v>
      </c>
      <c r="K41" s="78">
        <f t="shared" si="7"/>
        <v>237.58</v>
      </c>
      <c r="L41" s="78">
        <f t="shared" si="8"/>
        <v>202.02</v>
      </c>
      <c r="M41" s="78">
        <f t="shared" si="9"/>
        <v>78989.89999999998</v>
      </c>
      <c r="N41" s="78">
        <f t="shared" si="10"/>
        <v>131.88</v>
      </c>
      <c r="O41" s="78">
        <f t="shared" si="11"/>
        <v>307.72000000000003</v>
      </c>
    </row>
    <row r="42" spans="1:16" ht="15" customHeight="1">
      <c r="A42" s="7">
        <v>6</v>
      </c>
      <c r="B42" s="70">
        <f t="shared" si="0"/>
        <v>345.51</v>
      </c>
      <c r="C42" s="70">
        <f t="shared" si="1"/>
        <v>238.41</v>
      </c>
      <c r="D42" s="70">
        <f t="shared" si="2"/>
        <v>107.1</v>
      </c>
      <c r="E42" s="70">
        <f t="shared" si="3"/>
        <v>79362.179999999993</v>
      </c>
      <c r="F42" s="78">
        <f t="shared" si="4"/>
        <v>103.65</v>
      </c>
      <c r="G42" s="78">
        <f t="shared" si="5"/>
        <v>241.85999999999999</v>
      </c>
      <c r="I42" s="80">
        <v>6</v>
      </c>
      <c r="J42" s="78">
        <f t="shared" si="6"/>
        <v>438.99</v>
      </c>
      <c r="K42" s="78">
        <f t="shared" si="7"/>
        <v>236.97</v>
      </c>
      <c r="L42" s="78">
        <f t="shared" si="8"/>
        <v>202.02</v>
      </c>
      <c r="M42" s="78">
        <f t="shared" si="9"/>
        <v>78787.879999999976</v>
      </c>
      <c r="N42" s="78">
        <f t="shared" si="10"/>
        <v>131.69999999999999</v>
      </c>
      <c r="O42" s="78">
        <f t="shared" si="11"/>
        <v>307.29000000000002</v>
      </c>
    </row>
    <row r="43" spans="1:16" ht="15" customHeight="1">
      <c r="A43" s="7">
        <v>7</v>
      </c>
      <c r="B43" s="70">
        <f t="shared" si="0"/>
        <v>345.51</v>
      </c>
      <c r="C43" s="70">
        <f t="shared" si="1"/>
        <v>238.09</v>
      </c>
      <c r="D43" s="70">
        <f t="shared" si="2"/>
        <v>107.41999999999999</v>
      </c>
      <c r="E43" s="70">
        <f t="shared" si="3"/>
        <v>79254.759999999995</v>
      </c>
      <c r="F43" s="78">
        <f t="shared" si="4"/>
        <v>103.65</v>
      </c>
      <c r="G43" s="78">
        <f t="shared" si="5"/>
        <v>241.85999999999999</v>
      </c>
      <c r="I43" s="80">
        <v>7</v>
      </c>
      <c r="J43" s="78">
        <f t="shared" si="6"/>
        <v>438.38</v>
      </c>
      <c r="K43" s="78">
        <f t="shared" si="7"/>
        <v>236.36</v>
      </c>
      <c r="L43" s="78">
        <f t="shared" si="8"/>
        <v>202.02</v>
      </c>
      <c r="M43" s="78">
        <f t="shared" si="9"/>
        <v>78585.859999999971</v>
      </c>
      <c r="N43" s="78">
        <f t="shared" si="10"/>
        <v>131.51</v>
      </c>
      <c r="O43" s="78">
        <f t="shared" si="11"/>
        <v>306.87</v>
      </c>
    </row>
    <row r="44" spans="1:16" ht="15" customHeight="1">
      <c r="A44" s="7">
        <v>8</v>
      </c>
      <c r="B44" s="70">
        <f t="shared" si="0"/>
        <v>345.51</v>
      </c>
      <c r="C44" s="70">
        <f t="shared" si="1"/>
        <v>237.76</v>
      </c>
      <c r="D44" s="70">
        <f t="shared" si="2"/>
        <v>107.75</v>
      </c>
      <c r="E44" s="70">
        <f t="shared" si="3"/>
        <v>79147.009999999995</v>
      </c>
      <c r="F44" s="78">
        <f t="shared" si="4"/>
        <v>103.65</v>
      </c>
      <c r="G44" s="78">
        <f t="shared" si="5"/>
        <v>241.85999999999999</v>
      </c>
      <c r="I44" s="80">
        <v>8</v>
      </c>
      <c r="J44" s="78">
        <f t="shared" si="6"/>
        <v>437.78</v>
      </c>
      <c r="K44" s="78">
        <f t="shared" si="7"/>
        <v>235.76</v>
      </c>
      <c r="L44" s="78">
        <f t="shared" si="8"/>
        <v>202.02</v>
      </c>
      <c r="M44" s="78">
        <f t="shared" si="9"/>
        <v>78383.839999999967</v>
      </c>
      <c r="N44" s="78">
        <f t="shared" si="10"/>
        <v>131.33000000000001</v>
      </c>
      <c r="O44" s="78">
        <f t="shared" si="11"/>
        <v>306.44999999999993</v>
      </c>
    </row>
    <row r="45" spans="1:16" ht="15" customHeight="1">
      <c r="A45" s="7">
        <v>9</v>
      </c>
      <c r="B45" s="70">
        <f t="shared" si="0"/>
        <v>345.51</v>
      </c>
      <c r="C45" s="70">
        <f t="shared" si="1"/>
        <v>237.44</v>
      </c>
      <c r="D45" s="70">
        <f t="shared" si="2"/>
        <v>108.07</v>
      </c>
      <c r="E45" s="70">
        <f t="shared" si="3"/>
        <v>79038.939999999988</v>
      </c>
      <c r="F45" s="78">
        <f t="shared" si="4"/>
        <v>103.65</v>
      </c>
      <c r="G45" s="78">
        <f t="shared" si="5"/>
        <v>241.85999999999999</v>
      </c>
      <c r="I45" s="80">
        <v>9</v>
      </c>
      <c r="J45" s="78">
        <f t="shared" si="6"/>
        <v>437.17</v>
      </c>
      <c r="K45" s="78">
        <f t="shared" si="7"/>
        <v>235.15</v>
      </c>
      <c r="L45" s="78">
        <f t="shared" si="8"/>
        <v>202.02</v>
      </c>
      <c r="M45" s="78">
        <f t="shared" si="9"/>
        <v>78181.819999999963</v>
      </c>
      <c r="N45" s="78">
        <f t="shared" si="10"/>
        <v>131.15</v>
      </c>
      <c r="O45" s="78">
        <f t="shared" si="11"/>
        <v>306.02</v>
      </c>
    </row>
    <row r="46" spans="1:16" ht="15" customHeight="1">
      <c r="A46" s="7">
        <v>10</v>
      </c>
      <c r="B46" s="70">
        <f t="shared" si="0"/>
        <v>345.51</v>
      </c>
      <c r="C46" s="70">
        <f t="shared" si="1"/>
        <v>237.12</v>
      </c>
      <c r="D46" s="70">
        <f t="shared" si="2"/>
        <v>108.38999999999999</v>
      </c>
      <c r="E46" s="70">
        <f t="shared" si="3"/>
        <v>78930.549999999988</v>
      </c>
      <c r="F46" s="78">
        <f t="shared" si="4"/>
        <v>103.65</v>
      </c>
      <c r="G46" s="78">
        <f t="shared" si="5"/>
        <v>241.85999999999999</v>
      </c>
      <c r="I46" s="80">
        <v>10</v>
      </c>
      <c r="J46" s="78">
        <f t="shared" si="6"/>
        <v>436.57000000000005</v>
      </c>
      <c r="K46" s="78">
        <f t="shared" si="7"/>
        <v>234.55</v>
      </c>
      <c r="L46" s="78">
        <f t="shared" si="8"/>
        <v>202.02</v>
      </c>
      <c r="M46" s="78">
        <f t="shared" si="9"/>
        <v>77979.799999999959</v>
      </c>
      <c r="N46" s="78">
        <f t="shared" si="10"/>
        <v>130.97</v>
      </c>
      <c r="O46" s="78">
        <f t="shared" si="11"/>
        <v>305.60000000000002</v>
      </c>
    </row>
    <row r="47" spans="1:16" ht="15" customHeight="1">
      <c r="A47" s="7">
        <v>11</v>
      </c>
      <c r="B47" s="70">
        <f t="shared" si="0"/>
        <v>345.51</v>
      </c>
      <c r="C47" s="70">
        <f t="shared" si="1"/>
        <v>236.79</v>
      </c>
      <c r="D47" s="70">
        <f t="shared" si="2"/>
        <v>108.72</v>
      </c>
      <c r="E47" s="70">
        <f t="shared" si="3"/>
        <v>78821.829999999987</v>
      </c>
      <c r="F47" s="78">
        <f t="shared" si="4"/>
        <v>103.65</v>
      </c>
      <c r="G47" s="78">
        <f t="shared" si="5"/>
        <v>241.85999999999999</v>
      </c>
      <c r="I47" s="80">
        <v>11</v>
      </c>
      <c r="J47" s="78">
        <f t="shared" si="6"/>
        <v>435.96000000000004</v>
      </c>
      <c r="K47" s="78">
        <f t="shared" si="7"/>
        <v>233.94</v>
      </c>
      <c r="L47" s="78">
        <f t="shared" si="8"/>
        <v>202.02</v>
      </c>
      <c r="M47" s="78">
        <f t="shared" si="9"/>
        <v>77777.779999999955</v>
      </c>
      <c r="N47" s="78">
        <f t="shared" si="10"/>
        <v>130.79</v>
      </c>
      <c r="O47" s="78">
        <f t="shared" si="11"/>
        <v>305.17000000000007</v>
      </c>
    </row>
    <row r="48" spans="1:16" ht="15" customHeight="1">
      <c r="A48" s="7">
        <v>12</v>
      </c>
      <c r="B48" s="70">
        <f t="shared" si="0"/>
        <v>345.51</v>
      </c>
      <c r="C48" s="70">
        <f t="shared" si="1"/>
        <v>236.47</v>
      </c>
      <c r="D48" s="70">
        <f t="shared" si="2"/>
        <v>109.03999999999999</v>
      </c>
      <c r="E48" s="70">
        <f t="shared" si="3"/>
        <v>78712.789999999994</v>
      </c>
      <c r="F48" s="78">
        <f t="shared" si="4"/>
        <v>103.65</v>
      </c>
      <c r="G48" s="78">
        <f t="shared" si="5"/>
        <v>241.85999999999999</v>
      </c>
      <c r="I48" s="80">
        <v>12</v>
      </c>
      <c r="J48" s="78">
        <f t="shared" si="6"/>
        <v>435.35</v>
      </c>
      <c r="K48" s="78">
        <f t="shared" si="7"/>
        <v>233.33</v>
      </c>
      <c r="L48" s="78">
        <f t="shared" si="8"/>
        <v>202.02</v>
      </c>
      <c r="M48" s="78">
        <f t="shared" si="9"/>
        <v>77575.759999999951</v>
      </c>
      <c r="N48" s="78">
        <f t="shared" si="10"/>
        <v>130.61000000000001</v>
      </c>
      <c r="O48" s="78">
        <f t="shared" si="11"/>
        <v>304.74</v>
      </c>
    </row>
    <row r="49" spans="1:15" ht="15" customHeight="1">
      <c r="A49" s="7">
        <v>13</v>
      </c>
      <c r="B49" s="70">
        <f t="shared" si="0"/>
        <v>345.51</v>
      </c>
      <c r="C49" s="70">
        <f t="shared" si="1"/>
        <v>236.14</v>
      </c>
      <c r="D49" s="70">
        <f t="shared" si="2"/>
        <v>109.37</v>
      </c>
      <c r="E49" s="70">
        <f t="shared" si="3"/>
        <v>78603.42</v>
      </c>
      <c r="F49" s="78">
        <f t="shared" si="4"/>
        <v>103.65</v>
      </c>
      <c r="G49" s="78">
        <f t="shared" si="5"/>
        <v>241.85999999999999</v>
      </c>
      <c r="I49" s="80">
        <v>13</v>
      </c>
      <c r="J49" s="78">
        <f t="shared" si="6"/>
        <v>434.75</v>
      </c>
      <c r="K49" s="78">
        <f t="shared" si="7"/>
        <v>232.73</v>
      </c>
      <c r="L49" s="78">
        <f t="shared" si="8"/>
        <v>202.02</v>
      </c>
      <c r="M49" s="78">
        <f t="shared" si="9"/>
        <v>77373.739999999947</v>
      </c>
      <c r="N49" s="78">
        <f t="shared" si="10"/>
        <v>130.43</v>
      </c>
      <c r="O49" s="78">
        <f t="shared" si="11"/>
        <v>304.32</v>
      </c>
    </row>
    <row r="50" spans="1:15" ht="15" customHeight="1">
      <c r="A50" s="7">
        <v>14</v>
      </c>
      <c r="B50" s="70">
        <f t="shared" si="0"/>
        <v>345.51</v>
      </c>
      <c r="C50" s="70">
        <f t="shared" si="1"/>
        <v>235.81</v>
      </c>
      <c r="D50" s="70">
        <f t="shared" si="2"/>
        <v>109.69999999999999</v>
      </c>
      <c r="E50" s="70">
        <f t="shared" si="3"/>
        <v>78493.72</v>
      </c>
      <c r="F50" s="78">
        <f t="shared" si="4"/>
        <v>103.65</v>
      </c>
      <c r="G50" s="78">
        <f t="shared" si="5"/>
        <v>241.85999999999999</v>
      </c>
      <c r="I50" s="80">
        <v>14</v>
      </c>
      <c r="J50" s="78">
        <f t="shared" si="6"/>
        <v>434.14</v>
      </c>
      <c r="K50" s="78">
        <f t="shared" si="7"/>
        <v>232.12</v>
      </c>
      <c r="L50" s="78">
        <f t="shared" si="8"/>
        <v>202.02</v>
      </c>
      <c r="M50" s="78">
        <f t="shared" si="9"/>
        <v>77171.719999999943</v>
      </c>
      <c r="N50" s="78">
        <f t="shared" si="10"/>
        <v>130.24</v>
      </c>
      <c r="O50" s="78">
        <f t="shared" si="11"/>
        <v>303.89999999999998</v>
      </c>
    </row>
    <row r="51" spans="1:15" ht="15" customHeight="1">
      <c r="A51" s="7">
        <v>15</v>
      </c>
      <c r="B51" s="70">
        <f t="shared" si="0"/>
        <v>345.51</v>
      </c>
      <c r="C51" s="70">
        <f t="shared" si="1"/>
        <v>235.48</v>
      </c>
      <c r="D51" s="70">
        <f t="shared" si="2"/>
        <v>110.03</v>
      </c>
      <c r="E51" s="70">
        <f t="shared" si="3"/>
        <v>78383.69</v>
      </c>
      <c r="F51" s="78">
        <f t="shared" si="4"/>
        <v>103.65</v>
      </c>
      <c r="G51" s="78">
        <f t="shared" si="5"/>
        <v>241.85999999999999</v>
      </c>
      <c r="I51" s="80">
        <v>15</v>
      </c>
      <c r="J51" s="78">
        <f t="shared" si="6"/>
        <v>433.54</v>
      </c>
      <c r="K51" s="78">
        <f t="shared" si="7"/>
        <v>231.52</v>
      </c>
      <c r="L51" s="78">
        <f t="shared" si="8"/>
        <v>202.02</v>
      </c>
      <c r="M51" s="78">
        <f t="shared" si="9"/>
        <v>76969.699999999939</v>
      </c>
      <c r="N51" s="78">
        <f t="shared" si="10"/>
        <v>130.06</v>
      </c>
      <c r="O51" s="78">
        <f t="shared" si="11"/>
        <v>303.48</v>
      </c>
    </row>
    <row r="52" spans="1:15" ht="15" customHeight="1">
      <c r="A52" s="7">
        <v>16</v>
      </c>
      <c r="B52" s="70">
        <f t="shared" si="0"/>
        <v>345.51</v>
      </c>
      <c r="C52" s="70">
        <f t="shared" si="1"/>
        <v>235.15</v>
      </c>
      <c r="D52" s="70">
        <f t="shared" si="2"/>
        <v>110.35999999999999</v>
      </c>
      <c r="E52" s="70">
        <f t="shared" si="3"/>
        <v>78273.33</v>
      </c>
      <c r="F52" s="78">
        <f t="shared" si="4"/>
        <v>103.65</v>
      </c>
      <c r="G52" s="78">
        <f t="shared" si="5"/>
        <v>241.85999999999999</v>
      </c>
      <c r="I52" s="80">
        <v>16</v>
      </c>
      <c r="J52" s="78">
        <f t="shared" si="6"/>
        <v>432.93</v>
      </c>
      <c r="K52" s="78">
        <f t="shared" si="7"/>
        <v>230.91</v>
      </c>
      <c r="L52" s="78">
        <f t="shared" si="8"/>
        <v>202.02</v>
      </c>
      <c r="M52" s="78">
        <f t="shared" si="9"/>
        <v>76767.679999999935</v>
      </c>
      <c r="N52" s="78">
        <f t="shared" si="10"/>
        <v>129.88</v>
      </c>
      <c r="O52" s="78">
        <f t="shared" si="11"/>
        <v>303.05</v>
      </c>
    </row>
    <row r="53" spans="1:15" ht="15" customHeight="1">
      <c r="A53" s="7">
        <v>17</v>
      </c>
      <c r="B53" s="70">
        <f t="shared" si="0"/>
        <v>345.51</v>
      </c>
      <c r="C53" s="70">
        <f t="shared" si="1"/>
        <v>234.82</v>
      </c>
      <c r="D53" s="70">
        <f t="shared" si="2"/>
        <v>110.69</v>
      </c>
      <c r="E53" s="70">
        <f t="shared" si="3"/>
        <v>78162.64</v>
      </c>
      <c r="F53" s="78">
        <f t="shared" si="4"/>
        <v>103.65</v>
      </c>
      <c r="G53" s="78">
        <f t="shared" si="5"/>
        <v>241.85999999999999</v>
      </c>
      <c r="I53" s="80">
        <v>17</v>
      </c>
      <c r="J53" s="78">
        <f t="shared" si="6"/>
        <v>432.32000000000005</v>
      </c>
      <c r="K53" s="78">
        <f t="shared" si="7"/>
        <v>230.3</v>
      </c>
      <c r="L53" s="78">
        <f t="shared" si="8"/>
        <v>202.02</v>
      </c>
      <c r="M53" s="78">
        <f t="shared" si="9"/>
        <v>76565.659999999931</v>
      </c>
      <c r="N53" s="78">
        <f t="shared" si="10"/>
        <v>129.69999999999999</v>
      </c>
      <c r="O53" s="78">
        <f t="shared" si="11"/>
        <v>302.62000000000006</v>
      </c>
    </row>
    <row r="54" spans="1:15" ht="15" customHeight="1">
      <c r="A54" s="7">
        <v>18</v>
      </c>
      <c r="B54" s="70">
        <f t="shared" si="0"/>
        <v>345.51</v>
      </c>
      <c r="C54" s="70">
        <f t="shared" si="1"/>
        <v>234.49</v>
      </c>
      <c r="D54" s="70">
        <f t="shared" si="2"/>
        <v>111.01999999999998</v>
      </c>
      <c r="E54" s="70">
        <f t="shared" si="3"/>
        <v>78051.62</v>
      </c>
      <c r="F54" s="78">
        <f t="shared" si="4"/>
        <v>103.65</v>
      </c>
      <c r="G54" s="78">
        <f t="shared" si="5"/>
        <v>241.85999999999999</v>
      </c>
      <c r="I54" s="80">
        <v>18</v>
      </c>
      <c r="J54" s="78">
        <f t="shared" si="6"/>
        <v>431.72</v>
      </c>
      <c r="K54" s="78">
        <f t="shared" si="7"/>
        <v>229.7</v>
      </c>
      <c r="L54" s="78">
        <f t="shared" si="8"/>
        <v>202.02</v>
      </c>
      <c r="M54" s="78">
        <f t="shared" si="9"/>
        <v>76363.639999999927</v>
      </c>
      <c r="N54" s="78">
        <f t="shared" si="10"/>
        <v>129.52000000000001</v>
      </c>
      <c r="O54" s="78">
        <f t="shared" si="11"/>
        <v>302.20000000000005</v>
      </c>
    </row>
    <row r="55" spans="1:15" ht="15" customHeight="1">
      <c r="A55" s="7">
        <v>19</v>
      </c>
      <c r="B55" s="70">
        <f t="shared" si="0"/>
        <v>345.51</v>
      </c>
      <c r="C55" s="70">
        <f t="shared" si="1"/>
        <v>234.15</v>
      </c>
      <c r="D55" s="70">
        <f t="shared" si="2"/>
        <v>111.35999999999999</v>
      </c>
      <c r="E55" s="70">
        <f t="shared" si="3"/>
        <v>77940.259999999995</v>
      </c>
      <c r="F55" s="78">
        <f t="shared" si="4"/>
        <v>103.65</v>
      </c>
      <c r="G55" s="78">
        <f t="shared" si="5"/>
        <v>241.85999999999999</v>
      </c>
      <c r="I55" s="80">
        <v>19</v>
      </c>
      <c r="J55" s="78">
        <f t="shared" si="6"/>
        <v>431.11</v>
      </c>
      <c r="K55" s="78">
        <f t="shared" si="7"/>
        <v>229.09</v>
      </c>
      <c r="L55" s="78">
        <f t="shared" si="8"/>
        <v>202.02</v>
      </c>
      <c r="M55" s="78">
        <f t="shared" si="9"/>
        <v>76161.619999999923</v>
      </c>
      <c r="N55" s="78">
        <f t="shared" si="10"/>
        <v>129.33000000000001</v>
      </c>
      <c r="O55" s="78">
        <f t="shared" si="11"/>
        <v>301.77999999999997</v>
      </c>
    </row>
    <row r="56" spans="1:15" ht="15" customHeight="1">
      <c r="A56" s="7">
        <v>20</v>
      </c>
      <c r="B56" s="70">
        <f t="shared" si="0"/>
        <v>345.51</v>
      </c>
      <c r="C56" s="70">
        <f t="shared" si="1"/>
        <v>233.82</v>
      </c>
      <c r="D56" s="70">
        <f t="shared" si="2"/>
        <v>111.69</v>
      </c>
      <c r="E56" s="70">
        <f t="shared" si="3"/>
        <v>77828.569999999992</v>
      </c>
      <c r="F56" s="78">
        <f t="shared" si="4"/>
        <v>103.65</v>
      </c>
      <c r="G56" s="78">
        <f t="shared" si="5"/>
        <v>241.85999999999999</v>
      </c>
      <c r="I56" s="80">
        <v>20</v>
      </c>
      <c r="J56" s="78">
        <f t="shared" si="6"/>
        <v>430.5</v>
      </c>
      <c r="K56" s="78">
        <f t="shared" si="7"/>
        <v>228.48</v>
      </c>
      <c r="L56" s="78">
        <f t="shared" si="8"/>
        <v>202.02</v>
      </c>
      <c r="M56" s="78">
        <f t="shared" si="9"/>
        <v>75959.599999999919</v>
      </c>
      <c r="N56" s="78">
        <f t="shared" si="10"/>
        <v>129.15</v>
      </c>
      <c r="O56" s="78">
        <f t="shared" si="11"/>
        <v>301.35000000000002</v>
      </c>
    </row>
    <row r="57" spans="1:15" ht="15" customHeight="1">
      <c r="A57" s="7">
        <v>21</v>
      </c>
      <c r="B57" s="70">
        <f t="shared" si="0"/>
        <v>345.51</v>
      </c>
      <c r="C57" s="70">
        <f t="shared" si="1"/>
        <v>233.49</v>
      </c>
      <c r="D57" s="70">
        <f t="shared" si="2"/>
        <v>112.01999999999998</v>
      </c>
      <c r="E57" s="70">
        <f t="shared" si="3"/>
        <v>77716.549999999988</v>
      </c>
      <c r="F57" s="78">
        <f t="shared" si="4"/>
        <v>103.65</v>
      </c>
      <c r="G57" s="78">
        <f t="shared" si="5"/>
        <v>241.85999999999999</v>
      </c>
      <c r="I57" s="80">
        <v>21</v>
      </c>
      <c r="J57" s="78">
        <f t="shared" si="6"/>
        <v>429.9</v>
      </c>
      <c r="K57" s="78">
        <f t="shared" si="7"/>
        <v>227.88</v>
      </c>
      <c r="L57" s="78">
        <f t="shared" si="8"/>
        <v>202.02</v>
      </c>
      <c r="M57" s="78">
        <f t="shared" si="9"/>
        <v>75757.579999999914</v>
      </c>
      <c r="N57" s="78">
        <f t="shared" si="10"/>
        <v>128.97</v>
      </c>
      <c r="O57" s="78">
        <f t="shared" si="11"/>
        <v>300.92999999999995</v>
      </c>
    </row>
    <row r="58" spans="1:15" ht="15" customHeight="1">
      <c r="A58" s="7">
        <v>22</v>
      </c>
      <c r="B58" s="70">
        <f t="shared" si="0"/>
        <v>345.51</v>
      </c>
      <c r="C58" s="70">
        <f t="shared" si="1"/>
        <v>233.15</v>
      </c>
      <c r="D58" s="70">
        <f t="shared" si="2"/>
        <v>112.35999999999999</v>
      </c>
      <c r="E58" s="70">
        <f t="shared" si="3"/>
        <v>77604.189999999988</v>
      </c>
      <c r="F58" s="78">
        <f t="shared" si="4"/>
        <v>103.65</v>
      </c>
      <c r="G58" s="78">
        <f t="shared" si="5"/>
        <v>241.85999999999999</v>
      </c>
      <c r="I58" s="80">
        <v>22</v>
      </c>
      <c r="J58" s="78">
        <f t="shared" si="6"/>
        <v>429.29</v>
      </c>
      <c r="K58" s="78">
        <f t="shared" si="7"/>
        <v>227.27</v>
      </c>
      <c r="L58" s="78">
        <f t="shared" si="8"/>
        <v>202.02</v>
      </c>
      <c r="M58" s="78">
        <f t="shared" si="9"/>
        <v>75555.55999999991</v>
      </c>
      <c r="N58" s="78">
        <f t="shared" si="10"/>
        <v>128.79</v>
      </c>
      <c r="O58" s="78">
        <f t="shared" si="11"/>
        <v>300.5</v>
      </c>
    </row>
    <row r="59" spans="1:15" ht="15" customHeight="1">
      <c r="A59" s="7">
        <v>23</v>
      </c>
      <c r="B59" s="70">
        <f t="shared" si="0"/>
        <v>345.51</v>
      </c>
      <c r="C59" s="70">
        <f t="shared" si="1"/>
        <v>232.81</v>
      </c>
      <c r="D59" s="70">
        <f t="shared" si="2"/>
        <v>112.69999999999999</v>
      </c>
      <c r="E59" s="70">
        <f t="shared" si="3"/>
        <v>77491.489999999991</v>
      </c>
      <c r="F59" s="78">
        <f t="shared" si="4"/>
        <v>103.65</v>
      </c>
      <c r="G59" s="78">
        <f t="shared" si="5"/>
        <v>241.85999999999999</v>
      </c>
      <c r="I59" s="80">
        <v>23</v>
      </c>
      <c r="J59" s="78">
        <f t="shared" si="6"/>
        <v>428.69</v>
      </c>
      <c r="K59" s="78">
        <f t="shared" si="7"/>
        <v>226.67</v>
      </c>
      <c r="L59" s="78">
        <f t="shared" si="8"/>
        <v>202.02</v>
      </c>
      <c r="M59" s="78">
        <f t="shared" si="9"/>
        <v>75353.539999999906</v>
      </c>
      <c r="N59" s="78">
        <f t="shared" si="10"/>
        <v>128.61000000000001</v>
      </c>
      <c r="O59" s="78">
        <f t="shared" si="11"/>
        <v>300.08</v>
      </c>
    </row>
    <row r="60" spans="1:15" ht="15" customHeight="1">
      <c r="A60" s="7">
        <v>24</v>
      </c>
      <c r="B60" s="70">
        <f t="shared" si="0"/>
        <v>345.51</v>
      </c>
      <c r="C60" s="70">
        <f t="shared" si="1"/>
        <v>232.47</v>
      </c>
      <c r="D60" s="70">
        <f t="shared" si="2"/>
        <v>113.03999999999999</v>
      </c>
      <c r="E60" s="70">
        <f t="shared" si="3"/>
        <v>77378.45</v>
      </c>
      <c r="F60" s="78">
        <f t="shared" si="4"/>
        <v>103.65</v>
      </c>
      <c r="G60" s="78">
        <f t="shared" si="5"/>
        <v>241.85999999999999</v>
      </c>
      <c r="I60" s="80">
        <v>24</v>
      </c>
      <c r="J60" s="78">
        <f t="shared" si="6"/>
        <v>428.08000000000004</v>
      </c>
      <c r="K60" s="78">
        <f t="shared" si="7"/>
        <v>226.06</v>
      </c>
      <c r="L60" s="78">
        <f t="shared" si="8"/>
        <v>202.02</v>
      </c>
      <c r="M60" s="78">
        <f t="shared" si="9"/>
        <v>75151.519999999902</v>
      </c>
      <c r="N60" s="78">
        <f t="shared" si="10"/>
        <v>128.41999999999999</v>
      </c>
      <c r="O60" s="78">
        <f t="shared" si="11"/>
        <v>299.66000000000008</v>
      </c>
    </row>
    <row r="61" spans="1:15" ht="15" customHeight="1">
      <c r="A61" s="7">
        <v>25</v>
      </c>
      <c r="B61" s="70">
        <f t="shared" si="0"/>
        <v>345.51</v>
      </c>
      <c r="C61" s="70">
        <f t="shared" si="1"/>
        <v>232.14</v>
      </c>
      <c r="D61" s="70">
        <f t="shared" si="2"/>
        <v>113.37</v>
      </c>
      <c r="E61" s="70">
        <f t="shared" si="3"/>
        <v>77265.08</v>
      </c>
      <c r="F61" s="78">
        <f t="shared" si="4"/>
        <v>103.65</v>
      </c>
      <c r="G61" s="78">
        <f t="shared" si="5"/>
        <v>241.85999999999999</v>
      </c>
      <c r="I61" s="80">
        <v>25</v>
      </c>
      <c r="J61" s="78">
        <f t="shared" si="6"/>
        <v>427.47</v>
      </c>
      <c r="K61" s="78">
        <f t="shared" si="7"/>
        <v>225.45</v>
      </c>
      <c r="L61" s="78">
        <f t="shared" si="8"/>
        <v>202.02</v>
      </c>
      <c r="M61" s="78">
        <f t="shared" si="9"/>
        <v>74949.499999999898</v>
      </c>
      <c r="N61" s="78">
        <f t="shared" si="10"/>
        <v>128.24</v>
      </c>
      <c r="O61" s="78">
        <f t="shared" si="11"/>
        <v>299.23</v>
      </c>
    </row>
    <row r="62" spans="1:15" ht="15" customHeight="1">
      <c r="A62" s="7">
        <v>26</v>
      </c>
      <c r="B62" s="70">
        <f t="shared" si="0"/>
        <v>345.51</v>
      </c>
      <c r="C62" s="70">
        <f t="shared" si="1"/>
        <v>231.8</v>
      </c>
      <c r="D62" s="70">
        <f t="shared" si="2"/>
        <v>113.70999999999998</v>
      </c>
      <c r="E62" s="70">
        <f t="shared" si="3"/>
        <v>77151.37</v>
      </c>
      <c r="F62" s="78">
        <f t="shared" si="4"/>
        <v>103.65</v>
      </c>
      <c r="G62" s="78">
        <f t="shared" si="5"/>
        <v>241.85999999999999</v>
      </c>
      <c r="I62" s="80">
        <v>26</v>
      </c>
      <c r="J62" s="78">
        <f t="shared" si="6"/>
        <v>426.87</v>
      </c>
      <c r="K62" s="78">
        <f t="shared" si="7"/>
        <v>224.85</v>
      </c>
      <c r="L62" s="78">
        <f t="shared" si="8"/>
        <v>202.02</v>
      </c>
      <c r="M62" s="78">
        <f t="shared" si="9"/>
        <v>74747.479999999894</v>
      </c>
      <c r="N62" s="78">
        <f t="shared" si="10"/>
        <v>128.06</v>
      </c>
      <c r="O62" s="78">
        <f t="shared" si="11"/>
        <v>298.81</v>
      </c>
    </row>
    <row r="63" spans="1:15" ht="15" customHeight="1">
      <c r="A63" s="7">
        <v>27</v>
      </c>
      <c r="B63" s="70">
        <f t="shared" si="0"/>
        <v>345.51</v>
      </c>
      <c r="C63" s="70">
        <f t="shared" si="1"/>
        <v>231.45</v>
      </c>
      <c r="D63" s="70">
        <f t="shared" si="2"/>
        <v>114.06</v>
      </c>
      <c r="E63" s="70">
        <f t="shared" si="3"/>
        <v>77037.31</v>
      </c>
      <c r="F63" s="78">
        <f t="shared" si="4"/>
        <v>103.65</v>
      </c>
      <c r="G63" s="78">
        <f t="shared" si="5"/>
        <v>241.85999999999999</v>
      </c>
      <c r="I63" s="80">
        <v>27</v>
      </c>
      <c r="J63" s="78">
        <f t="shared" si="6"/>
        <v>426.26</v>
      </c>
      <c r="K63" s="78">
        <f t="shared" si="7"/>
        <v>224.24</v>
      </c>
      <c r="L63" s="78">
        <f t="shared" si="8"/>
        <v>202.02</v>
      </c>
      <c r="M63" s="78">
        <f t="shared" si="9"/>
        <v>74545.45999999989</v>
      </c>
      <c r="N63" s="78">
        <f t="shared" si="10"/>
        <v>127.88</v>
      </c>
      <c r="O63" s="78">
        <f t="shared" si="11"/>
        <v>298.38</v>
      </c>
    </row>
    <row r="64" spans="1:15" ht="15" customHeight="1">
      <c r="A64" s="7">
        <v>28</v>
      </c>
      <c r="B64" s="70">
        <f t="shared" si="0"/>
        <v>345.51</v>
      </c>
      <c r="C64" s="70">
        <f t="shared" si="1"/>
        <v>231.11</v>
      </c>
      <c r="D64" s="70">
        <f t="shared" si="2"/>
        <v>114.39999999999998</v>
      </c>
      <c r="E64" s="70">
        <f t="shared" si="3"/>
        <v>76922.91</v>
      </c>
      <c r="F64" s="78">
        <f t="shared" si="4"/>
        <v>103.65</v>
      </c>
      <c r="G64" s="78">
        <f t="shared" si="5"/>
        <v>241.85999999999999</v>
      </c>
      <c r="I64" s="80">
        <v>28</v>
      </c>
      <c r="J64" s="78">
        <f t="shared" si="6"/>
        <v>425.65999999999997</v>
      </c>
      <c r="K64" s="78">
        <f t="shared" si="7"/>
        <v>223.64</v>
      </c>
      <c r="L64" s="78">
        <f t="shared" si="8"/>
        <v>202.02</v>
      </c>
      <c r="M64" s="78">
        <f t="shared" si="9"/>
        <v>74343.439999999886</v>
      </c>
      <c r="N64" s="78">
        <f t="shared" si="10"/>
        <v>127.7</v>
      </c>
      <c r="O64" s="78">
        <f t="shared" si="11"/>
        <v>297.95999999999998</v>
      </c>
    </row>
    <row r="65" spans="1:15" ht="15" customHeight="1">
      <c r="A65" s="7">
        <v>29</v>
      </c>
      <c r="B65" s="70">
        <f t="shared" si="0"/>
        <v>345.51</v>
      </c>
      <c r="C65" s="70">
        <f t="shared" si="1"/>
        <v>230.77</v>
      </c>
      <c r="D65" s="70">
        <f t="shared" si="2"/>
        <v>114.73999999999998</v>
      </c>
      <c r="E65" s="70">
        <f t="shared" si="3"/>
        <v>76808.17</v>
      </c>
      <c r="F65" s="78">
        <f t="shared" si="4"/>
        <v>103.65</v>
      </c>
      <c r="G65" s="78">
        <f t="shared" si="5"/>
        <v>241.85999999999999</v>
      </c>
      <c r="I65" s="80">
        <v>29</v>
      </c>
      <c r="J65" s="78">
        <f t="shared" si="6"/>
        <v>425.05</v>
      </c>
      <c r="K65" s="78">
        <f t="shared" si="7"/>
        <v>223.03</v>
      </c>
      <c r="L65" s="78">
        <f t="shared" si="8"/>
        <v>202.02</v>
      </c>
      <c r="M65" s="78">
        <f t="shared" si="9"/>
        <v>74141.419999999882</v>
      </c>
      <c r="N65" s="78">
        <f t="shared" si="10"/>
        <v>127.52</v>
      </c>
      <c r="O65" s="78">
        <f t="shared" si="11"/>
        <v>297.53000000000003</v>
      </c>
    </row>
    <row r="66" spans="1:15" ht="15" customHeight="1">
      <c r="A66" s="7">
        <v>30</v>
      </c>
      <c r="B66" s="70">
        <f t="shared" si="0"/>
        <v>345.51</v>
      </c>
      <c r="C66" s="70">
        <f t="shared" si="1"/>
        <v>230.42</v>
      </c>
      <c r="D66" s="70">
        <f t="shared" si="2"/>
        <v>115.09</v>
      </c>
      <c r="E66" s="70">
        <f t="shared" si="3"/>
        <v>76693.08</v>
      </c>
      <c r="F66" s="78">
        <f t="shared" si="4"/>
        <v>103.65</v>
      </c>
      <c r="G66" s="78">
        <f t="shared" si="5"/>
        <v>241.85999999999999</v>
      </c>
      <c r="I66" s="80">
        <v>30</v>
      </c>
      <c r="J66" s="78">
        <f t="shared" si="6"/>
        <v>424.44</v>
      </c>
      <c r="K66" s="78">
        <f t="shared" si="7"/>
        <v>222.42</v>
      </c>
      <c r="L66" s="78">
        <f t="shared" si="8"/>
        <v>202.02</v>
      </c>
      <c r="M66" s="78">
        <f t="shared" si="9"/>
        <v>73939.399999999878</v>
      </c>
      <c r="N66" s="78">
        <f t="shared" si="10"/>
        <v>127.33</v>
      </c>
      <c r="O66" s="78">
        <f t="shared" si="11"/>
        <v>297.11</v>
      </c>
    </row>
    <row r="67" spans="1:15" ht="15" customHeight="1">
      <c r="A67" s="7">
        <v>31</v>
      </c>
      <c r="B67" s="70">
        <f t="shared" si="0"/>
        <v>345.51</v>
      </c>
      <c r="C67" s="70">
        <f t="shared" si="1"/>
        <v>230.08</v>
      </c>
      <c r="D67" s="70">
        <f t="shared" si="2"/>
        <v>115.42999999999998</v>
      </c>
      <c r="E67" s="70">
        <f t="shared" si="3"/>
        <v>76577.650000000009</v>
      </c>
      <c r="F67" s="78">
        <f t="shared" si="4"/>
        <v>103.65</v>
      </c>
      <c r="G67" s="78">
        <f t="shared" si="5"/>
        <v>241.85999999999999</v>
      </c>
      <c r="I67" s="80">
        <v>31</v>
      </c>
      <c r="J67" s="78">
        <f t="shared" si="6"/>
        <v>423.84000000000003</v>
      </c>
      <c r="K67" s="78">
        <f t="shared" si="7"/>
        <v>221.82</v>
      </c>
      <c r="L67" s="78">
        <f t="shared" si="8"/>
        <v>202.02</v>
      </c>
      <c r="M67" s="78">
        <f t="shared" si="9"/>
        <v>73737.379999999874</v>
      </c>
      <c r="N67" s="78">
        <f t="shared" si="10"/>
        <v>127.15</v>
      </c>
      <c r="O67" s="78">
        <f t="shared" si="11"/>
        <v>296.69000000000005</v>
      </c>
    </row>
    <row r="68" spans="1:15" ht="15" customHeight="1">
      <c r="A68" s="7">
        <v>32</v>
      </c>
      <c r="B68" s="70">
        <f t="shared" si="0"/>
        <v>345.51</v>
      </c>
      <c r="C68" s="70">
        <f t="shared" si="1"/>
        <v>229.73</v>
      </c>
      <c r="D68" s="70">
        <f t="shared" si="2"/>
        <v>115.78</v>
      </c>
      <c r="E68" s="70">
        <f t="shared" si="3"/>
        <v>76461.87000000001</v>
      </c>
      <c r="F68" s="78">
        <f t="shared" si="4"/>
        <v>103.65</v>
      </c>
      <c r="G68" s="78">
        <f t="shared" si="5"/>
        <v>241.85999999999999</v>
      </c>
      <c r="I68" s="80">
        <v>32</v>
      </c>
      <c r="J68" s="78">
        <f t="shared" si="6"/>
        <v>423.23</v>
      </c>
      <c r="K68" s="78">
        <f t="shared" si="7"/>
        <v>221.21</v>
      </c>
      <c r="L68" s="78">
        <f t="shared" si="8"/>
        <v>202.02</v>
      </c>
      <c r="M68" s="78">
        <f t="shared" si="9"/>
        <v>73535.35999999987</v>
      </c>
      <c r="N68" s="78">
        <f t="shared" si="10"/>
        <v>126.97</v>
      </c>
      <c r="O68" s="78">
        <f t="shared" si="11"/>
        <v>296.26</v>
      </c>
    </row>
    <row r="69" spans="1:15" ht="15" customHeight="1">
      <c r="A69" s="7">
        <v>33</v>
      </c>
      <c r="B69" s="70">
        <f t="shared" si="0"/>
        <v>345.51</v>
      </c>
      <c r="C69" s="70">
        <f t="shared" si="1"/>
        <v>229.39</v>
      </c>
      <c r="D69" s="70">
        <f t="shared" si="2"/>
        <v>116.12</v>
      </c>
      <c r="E69" s="70">
        <f t="shared" si="3"/>
        <v>76345.750000000015</v>
      </c>
      <c r="F69" s="78">
        <f t="shared" si="4"/>
        <v>103.65</v>
      </c>
      <c r="G69" s="78">
        <f t="shared" si="5"/>
        <v>241.85999999999999</v>
      </c>
      <c r="I69" s="80">
        <v>33</v>
      </c>
      <c r="J69" s="78">
        <f t="shared" si="6"/>
        <v>422.63</v>
      </c>
      <c r="K69" s="78">
        <f t="shared" si="7"/>
        <v>220.61</v>
      </c>
      <c r="L69" s="78">
        <f t="shared" si="8"/>
        <v>202.02</v>
      </c>
      <c r="M69" s="78">
        <f t="shared" si="9"/>
        <v>73333.339999999866</v>
      </c>
      <c r="N69" s="78">
        <f t="shared" si="10"/>
        <v>126.79</v>
      </c>
      <c r="O69" s="78">
        <f t="shared" si="11"/>
        <v>295.83999999999997</v>
      </c>
    </row>
    <row r="70" spans="1:15" ht="15" customHeight="1">
      <c r="A70" s="7">
        <v>34</v>
      </c>
      <c r="B70" s="70">
        <f t="shared" si="0"/>
        <v>345.51</v>
      </c>
      <c r="C70" s="70">
        <f t="shared" si="1"/>
        <v>229.04</v>
      </c>
      <c r="D70" s="70">
        <f t="shared" si="2"/>
        <v>116.47</v>
      </c>
      <c r="E70" s="70">
        <f t="shared" si="3"/>
        <v>76229.280000000013</v>
      </c>
      <c r="F70" s="78">
        <f t="shared" si="4"/>
        <v>103.65</v>
      </c>
      <c r="G70" s="78">
        <f t="shared" si="5"/>
        <v>241.85999999999999</v>
      </c>
      <c r="I70" s="80">
        <v>34</v>
      </c>
      <c r="J70" s="78">
        <f t="shared" si="6"/>
        <v>422.02</v>
      </c>
      <c r="K70" s="78">
        <f t="shared" si="7"/>
        <v>220</v>
      </c>
      <c r="L70" s="78">
        <f t="shared" si="8"/>
        <v>202.02</v>
      </c>
      <c r="M70" s="78">
        <f t="shared" si="9"/>
        <v>73131.319999999861</v>
      </c>
      <c r="N70" s="78">
        <f t="shared" si="10"/>
        <v>126.61</v>
      </c>
      <c r="O70" s="78">
        <f t="shared" si="11"/>
        <v>295.40999999999997</v>
      </c>
    </row>
    <row r="71" spans="1:15" ht="15" customHeight="1">
      <c r="A71" s="7">
        <v>35</v>
      </c>
      <c r="B71" s="70">
        <f t="shared" si="0"/>
        <v>345.51</v>
      </c>
      <c r="C71" s="70">
        <f t="shared" si="1"/>
        <v>228.69</v>
      </c>
      <c r="D71" s="70">
        <f t="shared" si="2"/>
        <v>116.82</v>
      </c>
      <c r="E71" s="70">
        <f t="shared" si="3"/>
        <v>76112.460000000006</v>
      </c>
      <c r="F71" s="78">
        <f t="shared" si="4"/>
        <v>103.65</v>
      </c>
      <c r="G71" s="78">
        <f t="shared" si="5"/>
        <v>241.85999999999999</v>
      </c>
      <c r="I71" s="80">
        <v>35</v>
      </c>
      <c r="J71" s="78">
        <f t="shared" si="6"/>
        <v>421.40999999999997</v>
      </c>
      <c r="K71" s="78">
        <f t="shared" si="7"/>
        <v>219.39</v>
      </c>
      <c r="L71" s="78">
        <f t="shared" si="8"/>
        <v>202.02</v>
      </c>
      <c r="M71" s="78">
        <f t="shared" si="9"/>
        <v>72929.299999999857</v>
      </c>
      <c r="N71" s="78">
        <f t="shared" si="10"/>
        <v>126.42</v>
      </c>
      <c r="O71" s="78">
        <f t="shared" si="11"/>
        <v>294.98999999999995</v>
      </c>
    </row>
    <row r="72" spans="1:15" ht="15" customHeight="1">
      <c r="A72" s="7">
        <v>36</v>
      </c>
      <c r="B72" s="70">
        <f t="shared" si="0"/>
        <v>345.51</v>
      </c>
      <c r="C72" s="70">
        <f t="shared" si="1"/>
        <v>228.34</v>
      </c>
      <c r="D72" s="70">
        <f t="shared" si="2"/>
        <v>117.16999999999999</v>
      </c>
      <c r="E72" s="70">
        <f t="shared" si="3"/>
        <v>75995.290000000008</v>
      </c>
      <c r="F72" s="78">
        <f t="shared" si="4"/>
        <v>103.65</v>
      </c>
      <c r="G72" s="78">
        <f t="shared" si="5"/>
        <v>241.85999999999999</v>
      </c>
      <c r="I72" s="80">
        <v>36</v>
      </c>
      <c r="J72" s="78">
        <f t="shared" si="6"/>
        <v>420.81</v>
      </c>
      <c r="K72" s="78">
        <f t="shared" si="7"/>
        <v>218.79</v>
      </c>
      <c r="L72" s="78">
        <f t="shared" si="8"/>
        <v>202.02</v>
      </c>
      <c r="M72" s="78">
        <f t="shared" si="9"/>
        <v>72727.279999999853</v>
      </c>
      <c r="N72" s="78">
        <f t="shared" si="10"/>
        <v>126.24</v>
      </c>
      <c r="O72" s="78">
        <f t="shared" si="11"/>
        <v>294.57</v>
      </c>
    </row>
    <row r="73" spans="1:15" ht="15" customHeight="1">
      <c r="A73" s="7">
        <v>37</v>
      </c>
      <c r="B73" s="70">
        <f t="shared" si="0"/>
        <v>345.51</v>
      </c>
      <c r="C73" s="70">
        <f t="shared" si="1"/>
        <v>227.99</v>
      </c>
      <c r="D73" s="70">
        <f t="shared" si="2"/>
        <v>117.51999999999998</v>
      </c>
      <c r="E73" s="70">
        <f t="shared" si="3"/>
        <v>75877.77</v>
      </c>
      <c r="F73" s="78">
        <f t="shared" si="4"/>
        <v>103.65</v>
      </c>
      <c r="G73" s="78">
        <f t="shared" si="5"/>
        <v>241.85999999999999</v>
      </c>
      <c r="I73" s="80">
        <v>37</v>
      </c>
      <c r="J73" s="78">
        <f t="shared" si="6"/>
        <v>420.20000000000005</v>
      </c>
      <c r="K73" s="78">
        <f t="shared" si="7"/>
        <v>218.18</v>
      </c>
      <c r="L73" s="78">
        <f t="shared" si="8"/>
        <v>202.02</v>
      </c>
      <c r="M73" s="78">
        <f t="shared" si="9"/>
        <v>72525.259999999849</v>
      </c>
      <c r="N73" s="78">
        <f t="shared" si="10"/>
        <v>126.06</v>
      </c>
      <c r="O73" s="78">
        <f t="shared" si="11"/>
        <v>294.14000000000004</v>
      </c>
    </row>
    <row r="74" spans="1:15" ht="15" customHeight="1">
      <c r="A74" s="7">
        <v>38</v>
      </c>
      <c r="B74" s="70">
        <f t="shared" si="0"/>
        <v>345.51</v>
      </c>
      <c r="C74" s="70">
        <f t="shared" si="1"/>
        <v>227.63</v>
      </c>
      <c r="D74" s="70">
        <f t="shared" si="2"/>
        <v>117.88</v>
      </c>
      <c r="E74" s="70">
        <f t="shared" si="3"/>
        <v>75759.89</v>
      </c>
      <c r="F74" s="78">
        <f t="shared" si="4"/>
        <v>103.65</v>
      </c>
      <c r="G74" s="78">
        <f t="shared" si="5"/>
        <v>241.85999999999999</v>
      </c>
      <c r="I74" s="80">
        <v>38</v>
      </c>
      <c r="J74" s="78">
        <f t="shared" si="6"/>
        <v>419.6</v>
      </c>
      <c r="K74" s="78">
        <f t="shared" si="7"/>
        <v>217.58</v>
      </c>
      <c r="L74" s="78">
        <f t="shared" si="8"/>
        <v>202.02</v>
      </c>
      <c r="M74" s="78">
        <f t="shared" si="9"/>
        <v>72323.239999999845</v>
      </c>
      <c r="N74" s="78">
        <f t="shared" si="10"/>
        <v>125.88</v>
      </c>
      <c r="O74" s="78">
        <f t="shared" si="11"/>
        <v>293.72000000000003</v>
      </c>
    </row>
    <row r="75" spans="1:15" ht="15" customHeight="1">
      <c r="A75" s="7">
        <v>39</v>
      </c>
      <c r="B75" s="70">
        <f t="shared" si="0"/>
        <v>345.51</v>
      </c>
      <c r="C75" s="70">
        <f t="shared" si="1"/>
        <v>227.28</v>
      </c>
      <c r="D75" s="70">
        <f t="shared" si="2"/>
        <v>118.22999999999999</v>
      </c>
      <c r="E75" s="70">
        <f t="shared" si="3"/>
        <v>75641.66</v>
      </c>
      <c r="F75" s="78">
        <f t="shared" si="4"/>
        <v>103.65</v>
      </c>
      <c r="G75" s="78">
        <f t="shared" si="5"/>
        <v>241.85999999999999</v>
      </c>
      <c r="I75" s="80">
        <v>39</v>
      </c>
      <c r="J75" s="78">
        <f t="shared" si="6"/>
        <v>418.99</v>
      </c>
      <c r="K75" s="78">
        <f t="shared" si="7"/>
        <v>216.97</v>
      </c>
      <c r="L75" s="78">
        <f t="shared" si="8"/>
        <v>202.02</v>
      </c>
      <c r="M75" s="78">
        <f t="shared" si="9"/>
        <v>72121.219999999841</v>
      </c>
      <c r="N75" s="78">
        <f t="shared" si="10"/>
        <v>125.7</v>
      </c>
      <c r="O75" s="78">
        <f t="shared" si="11"/>
        <v>293.29000000000002</v>
      </c>
    </row>
    <row r="76" spans="1:15" ht="15" customHeight="1">
      <c r="A76" s="7">
        <v>40</v>
      </c>
      <c r="B76" s="70">
        <f t="shared" si="0"/>
        <v>345.51</v>
      </c>
      <c r="C76" s="70">
        <f t="shared" si="1"/>
        <v>226.92</v>
      </c>
      <c r="D76" s="70">
        <f t="shared" si="2"/>
        <v>118.59</v>
      </c>
      <c r="E76" s="70">
        <f t="shared" si="3"/>
        <v>75523.070000000007</v>
      </c>
      <c r="F76" s="78">
        <f t="shared" si="4"/>
        <v>103.65</v>
      </c>
      <c r="G76" s="78">
        <f t="shared" si="5"/>
        <v>241.85999999999999</v>
      </c>
      <c r="I76" s="80">
        <v>40</v>
      </c>
      <c r="J76" s="78">
        <f t="shared" si="6"/>
        <v>418.38</v>
      </c>
      <c r="K76" s="78">
        <f t="shared" si="7"/>
        <v>216.36</v>
      </c>
      <c r="L76" s="78">
        <f t="shared" si="8"/>
        <v>202.02</v>
      </c>
      <c r="M76" s="78">
        <f t="shared" si="9"/>
        <v>71919.199999999837</v>
      </c>
      <c r="N76" s="78">
        <f t="shared" si="10"/>
        <v>125.51</v>
      </c>
      <c r="O76" s="78">
        <f t="shared" si="11"/>
        <v>292.87</v>
      </c>
    </row>
    <row r="77" spans="1:15" ht="15" customHeight="1">
      <c r="A77" s="7">
        <v>41</v>
      </c>
      <c r="B77" s="70">
        <f t="shared" si="0"/>
        <v>345.51</v>
      </c>
      <c r="C77" s="70">
        <f t="shared" si="1"/>
        <v>226.57</v>
      </c>
      <c r="D77" s="70">
        <f t="shared" si="2"/>
        <v>118.94</v>
      </c>
      <c r="E77" s="70">
        <f t="shared" si="3"/>
        <v>75404.13</v>
      </c>
      <c r="F77" s="78">
        <f t="shared" si="4"/>
        <v>103.65</v>
      </c>
      <c r="G77" s="78">
        <f t="shared" si="5"/>
        <v>241.85999999999999</v>
      </c>
      <c r="I77" s="80">
        <v>41</v>
      </c>
      <c r="J77" s="78">
        <f t="shared" si="6"/>
        <v>417.78</v>
      </c>
      <c r="K77" s="78">
        <f t="shared" si="7"/>
        <v>215.76</v>
      </c>
      <c r="L77" s="78">
        <f t="shared" si="8"/>
        <v>202.02</v>
      </c>
      <c r="M77" s="78">
        <f t="shared" si="9"/>
        <v>71717.179999999833</v>
      </c>
      <c r="N77" s="78">
        <f t="shared" si="10"/>
        <v>125.33</v>
      </c>
      <c r="O77" s="78">
        <f t="shared" si="11"/>
        <v>292.45</v>
      </c>
    </row>
    <row r="78" spans="1:15" ht="15" customHeight="1">
      <c r="A78" s="7">
        <v>42</v>
      </c>
      <c r="B78" s="70">
        <f t="shared" si="0"/>
        <v>345.51</v>
      </c>
      <c r="C78" s="70">
        <f t="shared" si="1"/>
        <v>226.21</v>
      </c>
      <c r="D78" s="70">
        <f t="shared" si="2"/>
        <v>119.29999999999998</v>
      </c>
      <c r="E78" s="70">
        <f t="shared" si="3"/>
        <v>75284.83</v>
      </c>
      <c r="F78" s="78">
        <f t="shared" si="4"/>
        <v>103.65</v>
      </c>
      <c r="G78" s="78">
        <f t="shared" si="5"/>
        <v>241.85999999999999</v>
      </c>
      <c r="I78" s="80">
        <v>42</v>
      </c>
      <c r="J78" s="78">
        <f t="shared" si="6"/>
        <v>417.17</v>
      </c>
      <c r="K78" s="78">
        <f t="shared" si="7"/>
        <v>215.15</v>
      </c>
      <c r="L78" s="78">
        <f t="shared" si="8"/>
        <v>202.02</v>
      </c>
      <c r="M78" s="78">
        <f t="shared" si="9"/>
        <v>71515.159999999829</v>
      </c>
      <c r="N78" s="78">
        <f t="shared" si="10"/>
        <v>125.15</v>
      </c>
      <c r="O78" s="78">
        <f t="shared" si="11"/>
        <v>292.02</v>
      </c>
    </row>
    <row r="79" spans="1:15" ht="15" customHeight="1">
      <c r="A79" s="7">
        <v>43</v>
      </c>
      <c r="B79" s="70">
        <f t="shared" si="0"/>
        <v>345.51</v>
      </c>
      <c r="C79" s="70">
        <f t="shared" si="1"/>
        <v>225.85</v>
      </c>
      <c r="D79" s="70">
        <f t="shared" si="2"/>
        <v>119.66</v>
      </c>
      <c r="E79" s="70">
        <f t="shared" si="3"/>
        <v>75165.17</v>
      </c>
      <c r="F79" s="78">
        <f t="shared" si="4"/>
        <v>103.65</v>
      </c>
      <c r="G79" s="78">
        <f t="shared" si="5"/>
        <v>241.85999999999999</v>
      </c>
      <c r="I79" s="80">
        <v>43</v>
      </c>
      <c r="J79" s="78">
        <f t="shared" si="6"/>
        <v>416.57000000000005</v>
      </c>
      <c r="K79" s="78">
        <f t="shared" si="7"/>
        <v>214.55</v>
      </c>
      <c r="L79" s="78">
        <f t="shared" si="8"/>
        <v>202.02</v>
      </c>
      <c r="M79" s="78">
        <f t="shared" si="9"/>
        <v>71313.139999999825</v>
      </c>
      <c r="N79" s="78">
        <f t="shared" si="10"/>
        <v>124.97</v>
      </c>
      <c r="O79" s="78">
        <f t="shared" si="11"/>
        <v>291.60000000000002</v>
      </c>
    </row>
    <row r="80" spans="1:15" ht="15" customHeight="1">
      <c r="A80" s="7">
        <v>44</v>
      </c>
      <c r="B80" s="70">
        <f t="shared" si="0"/>
        <v>345.51</v>
      </c>
      <c r="C80" s="70">
        <f t="shared" si="1"/>
        <v>225.5</v>
      </c>
      <c r="D80" s="70">
        <f t="shared" si="2"/>
        <v>120.00999999999999</v>
      </c>
      <c r="E80" s="70">
        <f t="shared" si="3"/>
        <v>75045.16</v>
      </c>
      <c r="F80" s="78">
        <f t="shared" si="4"/>
        <v>103.65</v>
      </c>
      <c r="G80" s="78">
        <f t="shared" si="5"/>
        <v>241.85999999999999</v>
      </c>
      <c r="I80" s="80">
        <v>44</v>
      </c>
      <c r="J80" s="78">
        <f t="shared" si="6"/>
        <v>415.96000000000004</v>
      </c>
      <c r="K80" s="78">
        <f t="shared" si="7"/>
        <v>213.94</v>
      </c>
      <c r="L80" s="78">
        <f t="shared" si="8"/>
        <v>202.02</v>
      </c>
      <c r="M80" s="78">
        <f t="shared" si="9"/>
        <v>71111.119999999821</v>
      </c>
      <c r="N80" s="78">
        <f t="shared" si="10"/>
        <v>124.79</v>
      </c>
      <c r="O80" s="78">
        <f t="shared" si="11"/>
        <v>291.17</v>
      </c>
    </row>
    <row r="81" spans="1:15" ht="15" customHeight="1">
      <c r="A81" s="7">
        <v>45</v>
      </c>
      <c r="B81" s="70">
        <f t="shared" si="0"/>
        <v>345.51</v>
      </c>
      <c r="C81" s="70">
        <f t="shared" si="1"/>
        <v>225.14</v>
      </c>
      <c r="D81" s="70">
        <f t="shared" si="2"/>
        <v>120.37</v>
      </c>
      <c r="E81" s="70">
        <f t="shared" si="3"/>
        <v>74924.790000000008</v>
      </c>
      <c r="F81" s="78">
        <f t="shared" si="4"/>
        <v>103.65</v>
      </c>
      <c r="G81" s="78">
        <f t="shared" si="5"/>
        <v>241.85999999999999</v>
      </c>
      <c r="I81" s="80">
        <v>45</v>
      </c>
      <c r="J81" s="78">
        <f t="shared" si="6"/>
        <v>415.35</v>
      </c>
      <c r="K81" s="78">
        <f t="shared" si="7"/>
        <v>213.33</v>
      </c>
      <c r="L81" s="78">
        <f t="shared" si="8"/>
        <v>202.02</v>
      </c>
      <c r="M81" s="78">
        <f t="shared" si="9"/>
        <v>70909.099999999817</v>
      </c>
      <c r="N81" s="78">
        <f t="shared" si="10"/>
        <v>124.61</v>
      </c>
      <c r="O81" s="78">
        <f t="shared" si="11"/>
        <v>290.74</v>
      </c>
    </row>
    <row r="82" spans="1:15" ht="15" customHeight="1">
      <c r="A82" s="7">
        <v>46</v>
      </c>
      <c r="B82" s="70">
        <f t="shared" si="0"/>
        <v>345.51</v>
      </c>
      <c r="C82" s="70">
        <f t="shared" si="1"/>
        <v>224.77</v>
      </c>
      <c r="D82" s="70">
        <f t="shared" si="2"/>
        <v>120.73999999999998</v>
      </c>
      <c r="E82" s="70">
        <f t="shared" si="3"/>
        <v>74804.05</v>
      </c>
      <c r="F82" s="78">
        <f t="shared" si="4"/>
        <v>103.65</v>
      </c>
      <c r="G82" s="78">
        <f t="shared" si="5"/>
        <v>241.85999999999999</v>
      </c>
      <c r="I82" s="80">
        <v>46</v>
      </c>
      <c r="J82" s="78">
        <f t="shared" si="6"/>
        <v>414.75</v>
      </c>
      <c r="K82" s="78">
        <f t="shared" si="7"/>
        <v>212.73</v>
      </c>
      <c r="L82" s="78">
        <f t="shared" si="8"/>
        <v>202.02</v>
      </c>
      <c r="M82" s="78">
        <f t="shared" si="9"/>
        <v>70707.079999999813</v>
      </c>
      <c r="N82" s="78">
        <f t="shared" si="10"/>
        <v>124.43</v>
      </c>
      <c r="O82" s="78">
        <f t="shared" si="11"/>
        <v>290.32</v>
      </c>
    </row>
    <row r="83" spans="1:15" ht="15" customHeight="1">
      <c r="A83" s="7">
        <v>47</v>
      </c>
      <c r="B83" s="70">
        <f t="shared" si="0"/>
        <v>345.51</v>
      </c>
      <c r="C83" s="70">
        <f t="shared" si="1"/>
        <v>224.41</v>
      </c>
      <c r="D83" s="70">
        <f t="shared" si="2"/>
        <v>121.1</v>
      </c>
      <c r="E83" s="70">
        <f t="shared" si="3"/>
        <v>74682.95</v>
      </c>
      <c r="F83" s="78">
        <f t="shared" si="4"/>
        <v>103.65</v>
      </c>
      <c r="G83" s="78">
        <f t="shared" si="5"/>
        <v>241.85999999999999</v>
      </c>
      <c r="I83" s="80">
        <v>47</v>
      </c>
      <c r="J83" s="78">
        <f t="shared" si="6"/>
        <v>414.14</v>
      </c>
      <c r="K83" s="78">
        <f t="shared" si="7"/>
        <v>212.12</v>
      </c>
      <c r="L83" s="78">
        <f t="shared" si="8"/>
        <v>202.02</v>
      </c>
      <c r="M83" s="78">
        <f t="shared" si="9"/>
        <v>70505.059999999808</v>
      </c>
      <c r="N83" s="78">
        <f t="shared" si="10"/>
        <v>124.24</v>
      </c>
      <c r="O83" s="78">
        <f t="shared" si="11"/>
        <v>289.89999999999998</v>
      </c>
    </row>
    <row r="84" spans="1:15" ht="15" customHeight="1">
      <c r="A84" s="7">
        <v>48</v>
      </c>
      <c r="B84" s="70">
        <f t="shared" si="0"/>
        <v>345.51</v>
      </c>
      <c r="C84" s="70">
        <f t="shared" si="1"/>
        <v>224.05</v>
      </c>
      <c r="D84" s="70">
        <f t="shared" si="2"/>
        <v>121.45999999999998</v>
      </c>
      <c r="E84" s="70">
        <f t="shared" si="3"/>
        <v>74561.489999999991</v>
      </c>
      <c r="F84" s="78">
        <f t="shared" si="4"/>
        <v>103.65</v>
      </c>
      <c r="G84" s="78">
        <f t="shared" si="5"/>
        <v>241.85999999999999</v>
      </c>
      <c r="I84" s="80">
        <v>48</v>
      </c>
      <c r="J84" s="78">
        <f t="shared" si="6"/>
        <v>413.54</v>
      </c>
      <c r="K84" s="78">
        <f t="shared" si="7"/>
        <v>211.52</v>
      </c>
      <c r="L84" s="78">
        <f t="shared" si="8"/>
        <v>202.02</v>
      </c>
      <c r="M84" s="78">
        <f t="shared" si="9"/>
        <v>70303.039999999804</v>
      </c>
      <c r="N84" s="78">
        <f t="shared" si="10"/>
        <v>124.06</v>
      </c>
      <c r="O84" s="78">
        <f t="shared" si="11"/>
        <v>289.48</v>
      </c>
    </row>
    <row r="85" spans="1:15" ht="15" customHeight="1">
      <c r="A85" s="7">
        <v>49</v>
      </c>
      <c r="B85" s="70">
        <f t="shared" si="0"/>
        <v>345.51</v>
      </c>
      <c r="C85" s="70">
        <f t="shared" si="1"/>
        <v>223.68</v>
      </c>
      <c r="D85" s="70">
        <f t="shared" si="2"/>
        <v>121.82999999999998</v>
      </c>
      <c r="E85" s="70">
        <f t="shared" si="3"/>
        <v>74439.659999999989</v>
      </c>
      <c r="F85" s="78">
        <f t="shared" si="4"/>
        <v>103.65</v>
      </c>
      <c r="G85" s="78">
        <f t="shared" si="5"/>
        <v>241.85999999999999</v>
      </c>
      <c r="I85" s="80">
        <v>49</v>
      </c>
      <c r="J85" s="78">
        <f t="shared" si="6"/>
        <v>412.93</v>
      </c>
      <c r="K85" s="78">
        <f t="shared" si="7"/>
        <v>210.91</v>
      </c>
      <c r="L85" s="78">
        <f t="shared" si="8"/>
        <v>202.02</v>
      </c>
      <c r="M85" s="78">
        <f t="shared" si="9"/>
        <v>70101.0199999998</v>
      </c>
      <c r="N85" s="78">
        <f t="shared" si="10"/>
        <v>123.88</v>
      </c>
      <c r="O85" s="78">
        <f t="shared" si="11"/>
        <v>289.05</v>
      </c>
    </row>
    <row r="86" spans="1:15" ht="15" customHeight="1">
      <c r="A86" s="7">
        <v>50</v>
      </c>
      <c r="B86" s="70">
        <f t="shared" si="0"/>
        <v>345.51</v>
      </c>
      <c r="C86" s="70">
        <f t="shared" si="1"/>
        <v>223.32</v>
      </c>
      <c r="D86" s="70">
        <f t="shared" si="2"/>
        <v>122.19</v>
      </c>
      <c r="E86" s="70">
        <f t="shared" si="3"/>
        <v>74317.469999999987</v>
      </c>
      <c r="F86" s="78">
        <f t="shared" si="4"/>
        <v>103.65</v>
      </c>
      <c r="G86" s="78">
        <f t="shared" si="5"/>
        <v>241.85999999999999</v>
      </c>
      <c r="I86" s="80">
        <v>50</v>
      </c>
      <c r="J86" s="78">
        <f t="shared" si="6"/>
        <v>412.32000000000005</v>
      </c>
      <c r="K86" s="78">
        <f t="shared" si="7"/>
        <v>210.3</v>
      </c>
      <c r="L86" s="78">
        <f t="shared" si="8"/>
        <v>202.02</v>
      </c>
      <c r="M86" s="78">
        <f t="shared" si="9"/>
        <v>69898.999999999796</v>
      </c>
      <c r="N86" s="78">
        <f t="shared" si="10"/>
        <v>123.7</v>
      </c>
      <c r="O86" s="78">
        <f t="shared" si="11"/>
        <v>288.62000000000006</v>
      </c>
    </row>
    <row r="87" spans="1:15" ht="15" customHeight="1">
      <c r="A87" s="7">
        <v>51</v>
      </c>
      <c r="B87" s="70">
        <f t="shared" si="0"/>
        <v>345.51</v>
      </c>
      <c r="C87" s="70">
        <f t="shared" si="1"/>
        <v>222.95</v>
      </c>
      <c r="D87" s="70">
        <f t="shared" si="2"/>
        <v>122.56</v>
      </c>
      <c r="E87" s="70">
        <f t="shared" si="3"/>
        <v>74194.909999999989</v>
      </c>
      <c r="F87" s="78">
        <f t="shared" si="4"/>
        <v>103.65</v>
      </c>
      <c r="G87" s="78">
        <f t="shared" si="5"/>
        <v>241.85999999999999</v>
      </c>
      <c r="I87" s="80">
        <v>51</v>
      </c>
      <c r="J87" s="78">
        <f t="shared" si="6"/>
        <v>411.72</v>
      </c>
      <c r="K87" s="78">
        <f t="shared" si="7"/>
        <v>209.7</v>
      </c>
      <c r="L87" s="78">
        <f t="shared" si="8"/>
        <v>202.02</v>
      </c>
      <c r="M87" s="78">
        <f t="shared" si="9"/>
        <v>69696.979999999792</v>
      </c>
      <c r="N87" s="78">
        <f t="shared" si="10"/>
        <v>123.52</v>
      </c>
      <c r="O87" s="78">
        <f t="shared" si="11"/>
        <v>288.20000000000005</v>
      </c>
    </row>
    <row r="88" spans="1:15" ht="15" customHeight="1">
      <c r="A88" s="7">
        <v>52</v>
      </c>
      <c r="B88" s="70">
        <f t="shared" si="0"/>
        <v>345.51</v>
      </c>
      <c r="C88" s="70">
        <f t="shared" si="1"/>
        <v>222.58</v>
      </c>
      <c r="D88" s="70">
        <f t="shared" si="2"/>
        <v>122.92999999999998</v>
      </c>
      <c r="E88" s="70">
        <f t="shared" si="3"/>
        <v>74071.98</v>
      </c>
      <c r="F88" s="78">
        <f t="shared" si="4"/>
        <v>103.65</v>
      </c>
      <c r="G88" s="78">
        <f t="shared" si="5"/>
        <v>241.85999999999999</v>
      </c>
      <c r="I88" s="80">
        <v>52</v>
      </c>
      <c r="J88" s="78">
        <f t="shared" si="6"/>
        <v>411.11</v>
      </c>
      <c r="K88" s="78">
        <f t="shared" si="7"/>
        <v>209.09</v>
      </c>
      <c r="L88" s="78">
        <f t="shared" si="8"/>
        <v>202.02</v>
      </c>
      <c r="M88" s="78">
        <f t="shared" si="9"/>
        <v>69494.959999999788</v>
      </c>
      <c r="N88" s="78">
        <f t="shared" si="10"/>
        <v>123.33</v>
      </c>
      <c r="O88" s="78">
        <f t="shared" si="11"/>
        <v>287.78000000000003</v>
      </c>
    </row>
    <row r="89" spans="1:15" ht="15" customHeight="1">
      <c r="A89" s="7">
        <v>53</v>
      </c>
      <c r="B89" s="70">
        <f t="shared" si="0"/>
        <v>345.51</v>
      </c>
      <c r="C89" s="70">
        <f t="shared" si="1"/>
        <v>222.22</v>
      </c>
      <c r="D89" s="70">
        <f t="shared" si="2"/>
        <v>123.28999999999999</v>
      </c>
      <c r="E89" s="70">
        <f t="shared" si="3"/>
        <v>73948.69</v>
      </c>
      <c r="F89" s="78">
        <f t="shared" si="4"/>
        <v>103.65</v>
      </c>
      <c r="G89" s="78">
        <f t="shared" si="5"/>
        <v>241.85999999999999</v>
      </c>
      <c r="I89" s="80">
        <v>53</v>
      </c>
      <c r="J89" s="78">
        <f t="shared" si="6"/>
        <v>410.5</v>
      </c>
      <c r="K89" s="78">
        <f t="shared" si="7"/>
        <v>208.48</v>
      </c>
      <c r="L89" s="78">
        <f t="shared" si="8"/>
        <v>202.02</v>
      </c>
      <c r="M89" s="78">
        <f t="shared" si="9"/>
        <v>69292.939999999784</v>
      </c>
      <c r="N89" s="78">
        <f t="shared" si="10"/>
        <v>123.15</v>
      </c>
      <c r="O89" s="78">
        <f t="shared" si="11"/>
        <v>287.35000000000002</v>
      </c>
    </row>
    <row r="90" spans="1:15" ht="15" customHeight="1">
      <c r="A90" s="7">
        <v>54</v>
      </c>
      <c r="B90" s="70">
        <f t="shared" si="0"/>
        <v>345.51</v>
      </c>
      <c r="C90" s="70">
        <f t="shared" si="1"/>
        <v>221.85</v>
      </c>
      <c r="D90" s="70">
        <f t="shared" si="2"/>
        <v>123.66</v>
      </c>
      <c r="E90" s="70">
        <f t="shared" si="3"/>
        <v>73825.03</v>
      </c>
      <c r="F90" s="78">
        <f t="shared" si="4"/>
        <v>103.65</v>
      </c>
      <c r="G90" s="78">
        <f t="shared" si="5"/>
        <v>241.85999999999999</v>
      </c>
      <c r="I90" s="80">
        <v>54</v>
      </c>
      <c r="J90" s="78">
        <f t="shared" si="6"/>
        <v>409.9</v>
      </c>
      <c r="K90" s="78">
        <f t="shared" si="7"/>
        <v>207.88</v>
      </c>
      <c r="L90" s="78">
        <f t="shared" si="8"/>
        <v>202.02</v>
      </c>
      <c r="M90" s="78">
        <f t="shared" si="9"/>
        <v>69090.91999999978</v>
      </c>
      <c r="N90" s="78">
        <f t="shared" si="10"/>
        <v>122.97</v>
      </c>
      <c r="O90" s="78">
        <f t="shared" si="11"/>
        <v>286.92999999999995</v>
      </c>
    </row>
    <row r="91" spans="1:15" ht="15" customHeight="1">
      <c r="A91" s="7">
        <v>55</v>
      </c>
      <c r="B91" s="70">
        <f t="shared" si="0"/>
        <v>345.51</v>
      </c>
      <c r="C91" s="70">
        <f t="shared" si="1"/>
        <v>221.48</v>
      </c>
      <c r="D91" s="70">
        <f t="shared" si="2"/>
        <v>124.03</v>
      </c>
      <c r="E91" s="70">
        <f t="shared" si="3"/>
        <v>73701</v>
      </c>
      <c r="F91" s="78">
        <f t="shared" si="4"/>
        <v>103.65</v>
      </c>
      <c r="G91" s="78">
        <f t="shared" si="5"/>
        <v>241.85999999999999</v>
      </c>
      <c r="I91" s="80">
        <v>55</v>
      </c>
      <c r="J91" s="78">
        <f t="shared" si="6"/>
        <v>409.29</v>
      </c>
      <c r="K91" s="78">
        <f t="shared" si="7"/>
        <v>207.27</v>
      </c>
      <c r="L91" s="78">
        <f t="shared" si="8"/>
        <v>202.02</v>
      </c>
      <c r="M91" s="78">
        <f t="shared" si="9"/>
        <v>68888.899999999776</v>
      </c>
      <c r="N91" s="78">
        <f t="shared" si="10"/>
        <v>122.79</v>
      </c>
      <c r="O91" s="78">
        <f t="shared" si="11"/>
        <v>286.5</v>
      </c>
    </row>
    <row r="92" spans="1:15" ht="15" customHeight="1">
      <c r="A92" s="7">
        <v>56</v>
      </c>
      <c r="B92" s="70">
        <f t="shared" si="0"/>
        <v>345.51</v>
      </c>
      <c r="C92" s="70">
        <f t="shared" si="1"/>
        <v>221.1</v>
      </c>
      <c r="D92" s="70">
        <f t="shared" si="2"/>
        <v>124.41</v>
      </c>
      <c r="E92" s="70">
        <f t="shared" si="3"/>
        <v>73576.59</v>
      </c>
      <c r="F92" s="78">
        <f t="shared" si="4"/>
        <v>103.65</v>
      </c>
      <c r="G92" s="78">
        <f t="shared" si="5"/>
        <v>241.85999999999999</v>
      </c>
      <c r="I92" s="80">
        <v>56</v>
      </c>
      <c r="J92" s="78">
        <f t="shared" si="6"/>
        <v>408.69</v>
      </c>
      <c r="K92" s="78">
        <f t="shared" si="7"/>
        <v>206.67</v>
      </c>
      <c r="L92" s="78">
        <f t="shared" si="8"/>
        <v>202.02</v>
      </c>
      <c r="M92" s="78">
        <f t="shared" si="9"/>
        <v>68686.879999999772</v>
      </c>
      <c r="N92" s="78">
        <f t="shared" si="10"/>
        <v>122.61</v>
      </c>
      <c r="O92" s="78">
        <f t="shared" si="11"/>
        <v>286.08</v>
      </c>
    </row>
    <row r="93" spans="1:15" ht="15" customHeight="1">
      <c r="A93" s="7">
        <v>57</v>
      </c>
      <c r="B93" s="70">
        <f t="shared" si="0"/>
        <v>345.51</v>
      </c>
      <c r="C93" s="70">
        <f t="shared" si="1"/>
        <v>220.73</v>
      </c>
      <c r="D93" s="70">
        <f t="shared" si="2"/>
        <v>124.78</v>
      </c>
      <c r="E93" s="70">
        <f t="shared" si="3"/>
        <v>73451.81</v>
      </c>
      <c r="F93" s="78">
        <f t="shared" si="4"/>
        <v>103.65</v>
      </c>
      <c r="G93" s="78">
        <f t="shared" si="5"/>
        <v>241.85999999999999</v>
      </c>
      <c r="I93" s="80">
        <v>57</v>
      </c>
      <c r="J93" s="78">
        <f t="shared" si="6"/>
        <v>408.08000000000004</v>
      </c>
      <c r="K93" s="78">
        <f t="shared" si="7"/>
        <v>206.06</v>
      </c>
      <c r="L93" s="78">
        <f t="shared" si="8"/>
        <v>202.02</v>
      </c>
      <c r="M93" s="78">
        <f t="shared" si="9"/>
        <v>68484.859999999768</v>
      </c>
      <c r="N93" s="78">
        <f t="shared" si="10"/>
        <v>122.42</v>
      </c>
      <c r="O93" s="78">
        <f t="shared" si="11"/>
        <v>285.66000000000003</v>
      </c>
    </row>
    <row r="94" spans="1:15" ht="15" customHeight="1">
      <c r="A94" s="7">
        <v>58</v>
      </c>
      <c r="B94" s="70">
        <f t="shared" si="0"/>
        <v>345.51</v>
      </c>
      <c r="C94" s="70">
        <f t="shared" si="1"/>
        <v>220.36</v>
      </c>
      <c r="D94" s="70">
        <f t="shared" si="2"/>
        <v>125.14999999999998</v>
      </c>
      <c r="E94" s="70">
        <f t="shared" si="3"/>
        <v>73326.66</v>
      </c>
      <c r="F94" s="78">
        <f t="shared" si="4"/>
        <v>103.65</v>
      </c>
      <c r="G94" s="78">
        <f t="shared" si="5"/>
        <v>241.85999999999999</v>
      </c>
      <c r="I94" s="80">
        <v>58</v>
      </c>
      <c r="J94" s="78">
        <f t="shared" si="6"/>
        <v>407.47</v>
      </c>
      <c r="K94" s="78">
        <f t="shared" si="7"/>
        <v>205.45</v>
      </c>
      <c r="L94" s="78">
        <f t="shared" si="8"/>
        <v>202.02</v>
      </c>
      <c r="M94" s="78">
        <f t="shared" si="9"/>
        <v>68282.839999999764</v>
      </c>
      <c r="N94" s="78">
        <f t="shared" si="10"/>
        <v>122.24</v>
      </c>
      <c r="O94" s="78">
        <f t="shared" si="11"/>
        <v>285.23</v>
      </c>
    </row>
    <row r="95" spans="1:15" ht="15" customHeight="1">
      <c r="A95" s="7">
        <v>59</v>
      </c>
      <c r="B95" s="70">
        <f t="shared" si="0"/>
        <v>345.51</v>
      </c>
      <c r="C95" s="70">
        <f t="shared" si="1"/>
        <v>219.98</v>
      </c>
      <c r="D95" s="70">
        <f t="shared" si="2"/>
        <v>125.53</v>
      </c>
      <c r="E95" s="70">
        <f t="shared" si="3"/>
        <v>73201.13</v>
      </c>
      <c r="F95" s="78">
        <f t="shared" si="4"/>
        <v>103.65</v>
      </c>
      <c r="G95" s="78">
        <f t="shared" si="5"/>
        <v>241.85999999999999</v>
      </c>
      <c r="I95" s="80">
        <v>59</v>
      </c>
      <c r="J95" s="78">
        <f t="shared" si="6"/>
        <v>406.87</v>
      </c>
      <c r="K95" s="78">
        <f t="shared" si="7"/>
        <v>204.85</v>
      </c>
      <c r="L95" s="78">
        <f t="shared" si="8"/>
        <v>202.02</v>
      </c>
      <c r="M95" s="78">
        <f t="shared" si="9"/>
        <v>68080.81999999976</v>
      </c>
      <c r="N95" s="78">
        <f t="shared" si="10"/>
        <v>122.06</v>
      </c>
      <c r="O95" s="78">
        <f t="shared" si="11"/>
        <v>284.81</v>
      </c>
    </row>
    <row r="96" spans="1:15" ht="15" customHeight="1">
      <c r="A96" s="7">
        <v>60</v>
      </c>
      <c r="B96" s="70">
        <f t="shared" si="0"/>
        <v>345.51</v>
      </c>
      <c r="C96" s="70">
        <f t="shared" si="1"/>
        <v>219.6</v>
      </c>
      <c r="D96" s="70">
        <f t="shared" si="2"/>
        <v>125.91</v>
      </c>
      <c r="E96" s="70">
        <f t="shared" si="3"/>
        <v>73075.22</v>
      </c>
      <c r="F96" s="78">
        <f t="shared" si="4"/>
        <v>103.65</v>
      </c>
      <c r="G96" s="78">
        <f t="shared" si="5"/>
        <v>241.85999999999999</v>
      </c>
      <c r="I96" s="80">
        <v>60</v>
      </c>
      <c r="J96" s="78">
        <f t="shared" si="6"/>
        <v>406.26</v>
      </c>
      <c r="K96" s="78">
        <f t="shared" si="7"/>
        <v>204.24</v>
      </c>
      <c r="L96" s="78">
        <f t="shared" si="8"/>
        <v>202.02</v>
      </c>
      <c r="M96" s="78">
        <f t="shared" si="9"/>
        <v>67878.799999999756</v>
      </c>
      <c r="N96" s="78">
        <f t="shared" si="10"/>
        <v>121.88</v>
      </c>
      <c r="O96" s="78">
        <f t="shared" si="11"/>
        <v>284.38</v>
      </c>
    </row>
    <row r="97" spans="1:16" ht="15" customHeight="1">
      <c r="A97" s="7">
        <v>61</v>
      </c>
      <c r="B97" s="70">
        <f t="shared" si="0"/>
        <v>345.51</v>
      </c>
      <c r="C97" s="70">
        <f t="shared" si="1"/>
        <v>219.23</v>
      </c>
      <c r="D97" s="70">
        <f t="shared" si="2"/>
        <v>126.28</v>
      </c>
      <c r="E97" s="70">
        <f t="shared" si="3"/>
        <v>72948.94</v>
      </c>
      <c r="F97" s="78">
        <v>0</v>
      </c>
      <c r="G97" s="79">
        <f t="shared" si="5"/>
        <v>345.51</v>
      </c>
      <c r="H97" s="18" t="s">
        <v>117</v>
      </c>
      <c r="I97" s="80">
        <v>61</v>
      </c>
      <c r="J97" s="78">
        <f t="shared" si="6"/>
        <v>405.65999999999997</v>
      </c>
      <c r="K97" s="78">
        <f t="shared" si="7"/>
        <v>203.64</v>
      </c>
      <c r="L97" s="78">
        <f t="shared" si="8"/>
        <v>202.02</v>
      </c>
      <c r="M97" s="78">
        <f t="shared" si="9"/>
        <v>67676.779999999751</v>
      </c>
      <c r="N97" s="78">
        <v>0</v>
      </c>
      <c r="O97" s="79">
        <f t="shared" si="11"/>
        <v>405.65999999999997</v>
      </c>
      <c r="P97" s="18" t="s">
        <v>117</v>
      </c>
    </row>
    <row r="98" spans="1:16" ht="15" customHeight="1">
      <c r="A98" s="7">
        <v>62</v>
      </c>
      <c r="B98" s="70">
        <f t="shared" si="0"/>
        <v>345.51</v>
      </c>
      <c r="C98" s="70">
        <f t="shared" si="1"/>
        <v>218.85</v>
      </c>
      <c r="D98" s="70">
        <f t="shared" si="2"/>
        <v>126.66</v>
      </c>
      <c r="E98" s="70">
        <f t="shared" si="3"/>
        <v>72822.28</v>
      </c>
      <c r="F98" s="78">
        <v>0</v>
      </c>
      <c r="G98" s="78">
        <f t="shared" si="5"/>
        <v>345.51</v>
      </c>
      <c r="I98" s="80">
        <v>62</v>
      </c>
      <c r="J98" s="78">
        <f t="shared" si="6"/>
        <v>405.05</v>
      </c>
      <c r="K98" s="78">
        <f t="shared" si="7"/>
        <v>203.03</v>
      </c>
      <c r="L98" s="78">
        <f t="shared" si="8"/>
        <v>202.02</v>
      </c>
      <c r="M98" s="78">
        <f t="shared" si="9"/>
        <v>67474.759999999747</v>
      </c>
      <c r="N98" s="78">
        <v>0</v>
      </c>
      <c r="O98" s="78">
        <f t="shared" si="11"/>
        <v>405.05</v>
      </c>
    </row>
    <row r="99" spans="1:16" ht="15" customHeight="1">
      <c r="A99" s="7">
        <v>63</v>
      </c>
      <c r="B99" s="70">
        <f t="shared" si="0"/>
        <v>345.51</v>
      </c>
      <c r="C99" s="70">
        <f t="shared" si="1"/>
        <v>218.47</v>
      </c>
      <c r="D99" s="70">
        <f t="shared" si="2"/>
        <v>127.03999999999999</v>
      </c>
      <c r="E99" s="70">
        <f t="shared" si="3"/>
        <v>72695.240000000005</v>
      </c>
      <c r="F99" s="78">
        <v>0</v>
      </c>
      <c r="G99" s="78">
        <f t="shared" si="5"/>
        <v>345.51</v>
      </c>
      <c r="I99" s="80">
        <v>63</v>
      </c>
      <c r="J99" s="78">
        <f t="shared" si="6"/>
        <v>404.44</v>
      </c>
      <c r="K99" s="78">
        <f t="shared" si="7"/>
        <v>202.42</v>
      </c>
      <c r="L99" s="78">
        <f t="shared" si="8"/>
        <v>202.02</v>
      </c>
      <c r="M99" s="78">
        <f t="shared" si="9"/>
        <v>67272.739999999743</v>
      </c>
      <c r="N99" s="78">
        <v>0</v>
      </c>
      <c r="O99" s="78">
        <f t="shared" si="11"/>
        <v>404.44</v>
      </c>
    </row>
    <row r="100" spans="1:16" ht="15" customHeight="1">
      <c r="A100" s="7">
        <v>64</v>
      </c>
      <c r="B100" s="70">
        <f t="shared" si="0"/>
        <v>345.51</v>
      </c>
      <c r="C100" s="70">
        <f t="shared" si="1"/>
        <v>218.09</v>
      </c>
      <c r="D100" s="70">
        <f t="shared" si="2"/>
        <v>127.41999999999999</v>
      </c>
      <c r="E100" s="70">
        <f t="shared" si="3"/>
        <v>72567.820000000007</v>
      </c>
      <c r="F100" s="78">
        <v>0</v>
      </c>
      <c r="G100" s="78">
        <f t="shared" si="5"/>
        <v>345.51</v>
      </c>
      <c r="I100" s="80">
        <v>64</v>
      </c>
      <c r="J100" s="78">
        <f t="shared" si="6"/>
        <v>403.84000000000003</v>
      </c>
      <c r="K100" s="78">
        <f t="shared" si="7"/>
        <v>201.82</v>
      </c>
      <c r="L100" s="78">
        <f t="shared" si="8"/>
        <v>202.02</v>
      </c>
      <c r="M100" s="78">
        <f t="shared" si="9"/>
        <v>67070.719999999739</v>
      </c>
      <c r="N100" s="78">
        <v>0</v>
      </c>
      <c r="O100" s="78">
        <f t="shared" si="11"/>
        <v>403.84000000000003</v>
      </c>
    </row>
    <row r="101" spans="1:16" ht="15" customHeight="1">
      <c r="A101" s="7">
        <v>65</v>
      </c>
      <c r="B101" s="70">
        <f t="shared" si="0"/>
        <v>345.51</v>
      </c>
      <c r="C101" s="70">
        <f t="shared" si="1"/>
        <v>217.7</v>
      </c>
      <c r="D101" s="70">
        <f t="shared" si="2"/>
        <v>127.81</v>
      </c>
      <c r="E101" s="70">
        <f t="shared" si="3"/>
        <v>72440.010000000009</v>
      </c>
      <c r="F101" s="78">
        <v>0</v>
      </c>
      <c r="G101" s="78">
        <f t="shared" si="5"/>
        <v>345.51</v>
      </c>
      <c r="I101" s="80">
        <v>65</v>
      </c>
      <c r="J101" s="78">
        <f t="shared" si="6"/>
        <v>403.23</v>
      </c>
      <c r="K101" s="78">
        <f t="shared" si="7"/>
        <v>201.21</v>
      </c>
      <c r="L101" s="78">
        <f t="shared" si="8"/>
        <v>202.02</v>
      </c>
      <c r="M101" s="78">
        <f t="shared" si="9"/>
        <v>66868.699999999735</v>
      </c>
      <c r="N101" s="78">
        <v>0</v>
      </c>
      <c r="O101" s="78">
        <f t="shared" si="11"/>
        <v>403.23</v>
      </c>
    </row>
    <row r="102" spans="1:16" ht="15" customHeight="1">
      <c r="A102" s="7">
        <v>66</v>
      </c>
      <c r="B102" s="70">
        <f t="shared" si="0"/>
        <v>345.51</v>
      </c>
      <c r="C102" s="70">
        <f t="shared" si="1"/>
        <v>217.32</v>
      </c>
      <c r="D102" s="70">
        <f t="shared" si="2"/>
        <v>128.19</v>
      </c>
      <c r="E102" s="70">
        <f t="shared" si="3"/>
        <v>72311.820000000007</v>
      </c>
      <c r="F102" s="78">
        <v>0</v>
      </c>
      <c r="G102" s="78">
        <f t="shared" si="5"/>
        <v>345.51</v>
      </c>
      <c r="I102" s="80">
        <v>66</v>
      </c>
      <c r="J102" s="78">
        <f t="shared" si="6"/>
        <v>402.63</v>
      </c>
      <c r="K102" s="78">
        <f t="shared" si="7"/>
        <v>200.61</v>
      </c>
      <c r="L102" s="78">
        <f t="shared" si="8"/>
        <v>202.02</v>
      </c>
      <c r="M102" s="78">
        <f t="shared" si="9"/>
        <v>66666.679999999731</v>
      </c>
      <c r="N102" s="78">
        <v>0</v>
      </c>
      <c r="O102" s="78">
        <f t="shared" si="11"/>
        <v>402.63</v>
      </c>
    </row>
    <row r="103" spans="1:16" ht="15" customHeight="1">
      <c r="A103" s="7">
        <v>67</v>
      </c>
      <c r="B103" s="70">
        <f t="shared" si="0"/>
        <v>345.51</v>
      </c>
      <c r="C103" s="70">
        <f t="shared" si="1"/>
        <v>216.94</v>
      </c>
      <c r="D103" s="70">
        <f t="shared" si="2"/>
        <v>128.57</v>
      </c>
      <c r="E103" s="70">
        <f t="shared" si="3"/>
        <v>72183.25</v>
      </c>
      <c r="F103" s="78">
        <v>0</v>
      </c>
      <c r="G103" s="78">
        <f t="shared" si="5"/>
        <v>345.51</v>
      </c>
      <c r="I103" s="80">
        <v>67</v>
      </c>
      <c r="J103" s="78">
        <f t="shared" si="6"/>
        <v>402.02</v>
      </c>
      <c r="K103" s="78">
        <f t="shared" si="7"/>
        <v>200</v>
      </c>
      <c r="L103" s="78">
        <f t="shared" si="8"/>
        <v>202.02</v>
      </c>
      <c r="M103" s="78">
        <f t="shared" si="9"/>
        <v>66464.659999999727</v>
      </c>
      <c r="N103" s="78">
        <v>0</v>
      </c>
      <c r="O103" s="78">
        <f t="shared" si="11"/>
        <v>402.02</v>
      </c>
    </row>
    <row r="104" spans="1:16" ht="15" customHeight="1">
      <c r="A104" s="7">
        <v>68</v>
      </c>
      <c r="B104" s="70">
        <f t="shared" si="0"/>
        <v>345.51</v>
      </c>
      <c r="C104" s="70">
        <f t="shared" si="1"/>
        <v>216.55</v>
      </c>
      <c r="D104" s="70">
        <f t="shared" si="2"/>
        <v>128.95999999999998</v>
      </c>
      <c r="E104" s="70">
        <f t="shared" si="3"/>
        <v>72054.289999999994</v>
      </c>
      <c r="F104" s="78">
        <v>0</v>
      </c>
      <c r="G104" s="78">
        <f t="shared" si="5"/>
        <v>345.51</v>
      </c>
      <c r="I104" s="80">
        <v>68</v>
      </c>
      <c r="J104" s="78">
        <f t="shared" si="6"/>
        <v>401.40999999999997</v>
      </c>
      <c r="K104" s="78">
        <f t="shared" si="7"/>
        <v>199.39</v>
      </c>
      <c r="L104" s="78">
        <f t="shared" si="8"/>
        <v>202.02</v>
      </c>
      <c r="M104" s="78">
        <f t="shared" si="9"/>
        <v>66262.639999999723</v>
      </c>
      <c r="N104" s="78">
        <v>0</v>
      </c>
      <c r="O104" s="78">
        <f t="shared" si="11"/>
        <v>401.40999999999997</v>
      </c>
    </row>
    <row r="105" spans="1:16" ht="15" customHeight="1">
      <c r="A105" s="7">
        <v>69</v>
      </c>
      <c r="B105" s="70">
        <f t="shared" si="0"/>
        <v>345.51</v>
      </c>
      <c r="C105" s="70">
        <f t="shared" si="1"/>
        <v>216.16</v>
      </c>
      <c r="D105" s="70">
        <f t="shared" si="2"/>
        <v>129.35</v>
      </c>
      <c r="E105" s="70">
        <f t="shared" si="3"/>
        <v>71924.939999999988</v>
      </c>
      <c r="F105" s="78">
        <v>0</v>
      </c>
      <c r="G105" s="78">
        <f t="shared" si="5"/>
        <v>345.51</v>
      </c>
      <c r="I105" s="80">
        <v>69</v>
      </c>
      <c r="J105" s="78">
        <f t="shared" si="6"/>
        <v>400.81</v>
      </c>
      <c r="K105" s="78">
        <f t="shared" si="7"/>
        <v>198.79</v>
      </c>
      <c r="L105" s="78">
        <f t="shared" si="8"/>
        <v>202.02</v>
      </c>
      <c r="M105" s="78">
        <f t="shared" si="9"/>
        <v>66060.619999999719</v>
      </c>
      <c r="N105" s="78">
        <v>0</v>
      </c>
      <c r="O105" s="78">
        <f t="shared" si="11"/>
        <v>400.81</v>
      </c>
    </row>
    <row r="106" spans="1:16" ht="15" customHeight="1">
      <c r="A106" s="7">
        <v>70</v>
      </c>
      <c r="B106" s="70">
        <f t="shared" si="0"/>
        <v>345.51</v>
      </c>
      <c r="C106" s="70">
        <f t="shared" si="1"/>
        <v>215.77</v>
      </c>
      <c r="D106" s="70">
        <f t="shared" si="2"/>
        <v>129.73999999999998</v>
      </c>
      <c r="E106" s="70">
        <f t="shared" si="3"/>
        <v>71795.199999999983</v>
      </c>
      <c r="F106" s="78">
        <v>0</v>
      </c>
      <c r="G106" s="78">
        <f t="shared" si="5"/>
        <v>345.51</v>
      </c>
      <c r="I106" s="80">
        <v>70</v>
      </c>
      <c r="J106" s="78">
        <f t="shared" si="6"/>
        <v>400.20000000000005</v>
      </c>
      <c r="K106" s="78">
        <f t="shared" si="7"/>
        <v>198.18</v>
      </c>
      <c r="L106" s="78">
        <f t="shared" si="8"/>
        <v>202.02</v>
      </c>
      <c r="M106" s="78">
        <f t="shared" si="9"/>
        <v>65858.599999999715</v>
      </c>
      <c r="N106" s="78">
        <v>0</v>
      </c>
      <c r="O106" s="78">
        <f t="shared" si="11"/>
        <v>400.20000000000005</v>
      </c>
    </row>
    <row r="107" spans="1:16" ht="15" customHeight="1">
      <c r="A107" s="7">
        <v>71</v>
      </c>
      <c r="B107" s="70">
        <f t="shared" si="0"/>
        <v>345.51</v>
      </c>
      <c r="C107" s="70">
        <f t="shared" si="1"/>
        <v>215.39</v>
      </c>
      <c r="D107" s="70">
        <f t="shared" si="2"/>
        <v>130.12</v>
      </c>
      <c r="E107" s="70">
        <f t="shared" si="3"/>
        <v>71665.079999999987</v>
      </c>
      <c r="F107" s="78">
        <v>0</v>
      </c>
      <c r="G107" s="78">
        <f t="shared" si="5"/>
        <v>345.51</v>
      </c>
      <c r="I107" s="80">
        <v>71</v>
      </c>
      <c r="J107" s="78">
        <f t="shared" si="6"/>
        <v>399.6</v>
      </c>
      <c r="K107" s="78">
        <f t="shared" si="7"/>
        <v>197.58</v>
      </c>
      <c r="L107" s="78">
        <f t="shared" si="8"/>
        <v>202.02</v>
      </c>
      <c r="M107" s="78">
        <f t="shared" si="9"/>
        <v>65656.579999999711</v>
      </c>
      <c r="N107" s="78">
        <v>0</v>
      </c>
      <c r="O107" s="78">
        <f t="shared" si="11"/>
        <v>399.6</v>
      </c>
    </row>
    <row r="108" spans="1:16" ht="15" customHeight="1">
      <c r="A108" s="7">
        <v>72</v>
      </c>
      <c r="B108" s="70">
        <f t="shared" si="0"/>
        <v>345.51</v>
      </c>
      <c r="C108" s="70">
        <f t="shared" si="1"/>
        <v>215</v>
      </c>
      <c r="D108" s="70">
        <f t="shared" si="2"/>
        <v>130.51</v>
      </c>
      <c r="E108" s="70">
        <f t="shared" si="3"/>
        <v>71534.569999999992</v>
      </c>
      <c r="F108" s="78">
        <v>0</v>
      </c>
      <c r="G108" s="78">
        <f t="shared" si="5"/>
        <v>345.51</v>
      </c>
      <c r="I108" s="80">
        <v>72</v>
      </c>
      <c r="J108" s="78">
        <f t="shared" si="6"/>
        <v>398.99</v>
      </c>
      <c r="K108" s="78">
        <f t="shared" si="7"/>
        <v>196.97</v>
      </c>
      <c r="L108" s="78">
        <f t="shared" si="8"/>
        <v>202.02</v>
      </c>
      <c r="M108" s="78">
        <f t="shared" si="9"/>
        <v>65454.559999999714</v>
      </c>
      <c r="N108" s="78">
        <v>0</v>
      </c>
      <c r="O108" s="78">
        <f t="shared" si="11"/>
        <v>398.99</v>
      </c>
    </row>
    <row r="109" spans="1:16" ht="15" customHeight="1">
      <c r="A109" s="7">
        <v>73</v>
      </c>
      <c r="B109" s="70">
        <f t="shared" si="0"/>
        <v>345.51</v>
      </c>
      <c r="C109" s="70">
        <f t="shared" si="1"/>
        <v>214.6</v>
      </c>
      <c r="D109" s="70">
        <f t="shared" si="2"/>
        <v>130.91</v>
      </c>
      <c r="E109" s="70">
        <f t="shared" si="3"/>
        <v>71403.659999999989</v>
      </c>
      <c r="F109" s="78">
        <v>0</v>
      </c>
      <c r="G109" s="78">
        <f t="shared" si="5"/>
        <v>345.51</v>
      </c>
      <c r="I109" s="80">
        <v>73</v>
      </c>
      <c r="J109" s="78">
        <f t="shared" si="6"/>
        <v>398.38</v>
      </c>
      <c r="K109" s="78">
        <f t="shared" si="7"/>
        <v>196.36</v>
      </c>
      <c r="L109" s="78">
        <f t="shared" si="8"/>
        <v>202.02</v>
      </c>
      <c r="M109" s="78">
        <f t="shared" si="9"/>
        <v>65252.539999999717</v>
      </c>
      <c r="N109" s="78">
        <v>0</v>
      </c>
      <c r="O109" s="78">
        <f t="shared" si="11"/>
        <v>398.38</v>
      </c>
    </row>
    <row r="110" spans="1:16" ht="15" customHeight="1">
      <c r="A110" s="7">
        <v>74</v>
      </c>
      <c r="B110" s="70">
        <f t="shared" si="0"/>
        <v>345.51</v>
      </c>
      <c r="C110" s="70">
        <f t="shared" si="1"/>
        <v>214.21</v>
      </c>
      <c r="D110" s="70">
        <f t="shared" si="2"/>
        <v>131.29999999999998</v>
      </c>
      <c r="E110" s="70">
        <f t="shared" si="3"/>
        <v>71272.359999999986</v>
      </c>
      <c r="F110" s="78">
        <v>0</v>
      </c>
      <c r="G110" s="78">
        <f t="shared" si="5"/>
        <v>345.51</v>
      </c>
      <c r="I110" s="80">
        <v>74</v>
      </c>
      <c r="J110" s="78">
        <f t="shared" si="6"/>
        <v>397.78</v>
      </c>
      <c r="K110" s="78">
        <f t="shared" si="7"/>
        <v>195.76</v>
      </c>
      <c r="L110" s="78">
        <f t="shared" si="8"/>
        <v>202.02</v>
      </c>
      <c r="M110" s="78">
        <f t="shared" si="9"/>
        <v>65050.51999999972</v>
      </c>
      <c r="N110" s="78">
        <v>0</v>
      </c>
      <c r="O110" s="78">
        <f t="shared" si="11"/>
        <v>397.78</v>
      </c>
    </row>
    <row r="111" spans="1:16" ht="15" customHeight="1">
      <c r="A111" s="7">
        <v>75</v>
      </c>
      <c r="B111" s="70">
        <f t="shared" si="0"/>
        <v>345.51</v>
      </c>
      <c r="C111" s="70">
        <f t="shared" si="1"/>
        <v>213.82</v>
      </c>
      <c r="D111" s="70">
        <f t="shared" si="2"/>
        <v>131.69</v>
      </c>
      <c r="E111" s="70">
        <f t="shared" si="3"/>
        <v>71140.669999999984</v>
      </c>
      <c r="F111" s="78">
        <v>0</v>
      </c>
      <c r="G111" s="78">
        <f t="shared" si="5"/>
        <v>345.51</v>
      </c>
      <c r="I111" s="80">
        <v>75</v>
      </c>
      <c r="J111" s="78">
        <f t="shared" si="6"/>
        <v>397.17</v>
      </c>
      <c r="K111" s="78">
        <f t="shared" si="7"/>
        <v>195.15</v>
      </c>
      <c r="L111" s="78">
        <f t="shared" si="8"/>
        <v>202.02</v>
      </c>
      <c r="M111" s="78">
        <f t="shared" si="9"/>
        <v>64848.499999999724</v>
      </c>
      <c r="N111" s="78">
        <v>0</v>
      </c>
      <c r="O111" s="78">
        <f t="shared" si="11"/>
        <v>397.17</v>
      </c>
    </row>
    <row r="112" spans="1:16" ht="15" customHeight="1">
      <c r="A112" s="7">
        <v>76</v>
      </c>
      <c r="B112" s="70">
        <f t="shared" si="0"/>
        <v>345.51</v>
      </c>
      <c r="C112" s="70">
        <f t="shared" si="1"/>
        <v>213.42</v>
      </c>
      <c r="D112" s="70">
        <f t="shared" si="2"/>
        <v>132.09</v>
      </c>
      <c r="E112" s="70">
        <f t="shared" si="3"/>
        <v>71008.579999999987</v>
      </c>
      <c r="F112" s="78">
        <v>0</v>
      </c>
      <c r="G112" s="78">
        <f t="shared" si="5"/>
        <v>345.51</v>
      </c>
      <c r="I112" s="80">
        <v>76</v>
      </c>
      <c r="J112" s="78">
        <f t="shared" si="6"/>
        <v>396.57000000000005</v>
      </c>
      <c r="K112" s="78">
        <f t="shared" si="7"/>
        <v>194.55</v>
      </c>
      <c r="L112" s="78">
        <f t="shared" si="8"/>
        <v>202.02</v>
      </c>
      <c r="M112" s="78">
        <f t="shared" si="9"/>
        <v>64646.479999999727</v>
      </c>
      <c r="N112" s="78">
        <v>0</v>
      </c>
      <c r="O112" s="78">
        <f t="shared" si="11"/>
        <v>396.57000000000005</v>
      </c>
    </row>
    <row r="113" spans="1:15" ht="15" customHeight="1">
      <c r="A113" s="7">
        <v>77</v>
      </c>
      <c r="B113" s="70">
        <f t="shared" si="0"/>
        <v>345.51</v>
      </c>
      <c r="C113" s="70">
        <f t="shared" si="1"/>
        <v>213.03</v>
      </c>
      <c r="D113" s="70">
        <f t="shared" si="2"/>
        <v>132.47999999999999</v>
      </c>
      <c r="E113" s="70">
        <f t="shared" si="3"/>
        <v>70876.099999999991</v>
      </c>
      <c r="F113" s="78">
        <v>0</v>
      </c>
      <c r="G113" s="78">
        <f t="shared" si="5"/>
        <v>345.51</v>
      </c>
      <c r="I113" s="80">
        <v>77</v>
      </c>
      <c r="J113" s="78">
        <f t="shared" si="6"/>
        <v>395.96000000000004</v>
      </c>
      <c r="K113" s="78">
        <f t="shared" si="7"/>
        <v>193.94</v>
      </c>
      <c r="L113" s="78">
        <f t="shared" si="8"/>
        <v>202.02</v>
      </c>
      <c r="M113" s="78">
        <f t="shared" si="9"/>
        <v>64444.45999999973</v>
      </c>
      <c r="N113" s="78">
        <v>0</v>
      </c>
      <c r="O113" s="78">
        <f t="shared" si="11"/>
        <v>395.96000000000004</v>
      </c>
    </row>
    <row r="114" spans="1:15" ht="15" customHeight="1">
      <c r="A114" s="7">
        <v>78</v>
      </c>
      <c r="B114" s="70">
        <f t="shared" si="0"/>
        <v>345.51</v>
      </c>
      <c r="C114" s="70">
        <f t="shared" si="1"/>
        <v>212.63</v>
      </c>
      <c r="D114" s="70">
        <f t="shared" si="2"/>
        <v>132.88</v>
      </c>
      <c r="E114" s="70">
        <f t="shared" si="3"/>
        <v>70743.219999999987</v>
      </c>
      <c r="F114" s="78">
        <v>0</v>
      </c>
      <c r="G114" s="78">
        <f t="shared" si="5"/>
        <v>345.51</v>
      </c>
      <c r="I114" s="80">
        <v>78</v>
      </c>
      <c r="J114" s="78">
        <f t="shared" si="6"/>
        <v>395.35</v>
      </c>
      <c r="K114" s="78">
        <f t="shared" si="7"/>
        <v>193.33</v>
      </c>
      <c r="L114" s="78">
        <f t="shared" si="8"/>
        <v>202.02</v>
      </c>
      <c r="M114" s="78">
        <f t="shared" si="9"/>
        <v>64242.439999999733</v>
      </c>
      <c r="N114" s="78">
        <v>0</v>
      </c>
      <c r="O114" s="78">
        <f t="shared" si="11"/>
        <v>395.35</v>
      </c>
    </row>
    <row r="115" spans="1:15" ht="15" customHeight="1">
      <c r="A115" s="7">
        <v>79</v>
      </c>
      <c r="B115" s="70">
        <f t="shared" si="0"/>
        <v>345.51</v>
      </c>
      <c r="C115" s="70">
        <f t="shared" si="1"/>
        <v>212.23</v>
      </c>
      <c r="D115" s="70">
        <f t="shared" si="2"/>
        <v>133.28</v>
      </c>
      <c r="E115" s="70">
        <f t="shared" si="3"/>
        <v>70609.939999999988</v>
      </c>
      <c r="F115" s="78">
        <v>0</v>
      </c>
      <c r="G115" s="78">
        <f t="shared" si="5"/>
        <v>345.51</v>
      </c>
      <c r="I115" s="80">
        <v>79</v>
      </c>
      <c r="J115" s="78">
        <f t="shared" si="6"/>
        <v>394.75</v>
      </c>
      <c r="K115" s="78">
        <f t="shared" si="7"/>
        <v>192.73</v>
      </c>
      <c r="L115" s="78">
        <f t="shared" si="8"/>
        <v>202.02</v>
      </c>
      <c r="M115" s="78">
        <f t="shared" si="9"/>
        <v>64040.419999999736</v>
      </c>
      <c r="N115" s="78">
        <v>0</v>
      </c>
      <c r="O115" s="78">
        <f t="shared" si="11"/>
        <v>394.75</v>
      </c>
    </row>
    <row r="116" spans="1:15" ht="15" customHeight="1">
      <c r="A116" s="7">
        <v>80</v>
      </c>
      <c r="B116" s="70">
        <f t="shared" si="0"/>
        <v>345.51</v>
      </c>
      <c r="C116" s="70">
        <f t="shared" si="1"/>
        <v>211.83</v>
      </c>
      <c r="D116" s="70">
        <f t="shared" si="2"/>
        <v>133.67999999999998</v>
      </c>
      <c r="E116" s="70">
        <f t="shared" si="3"/>
        <v>70476.259999999995</v>
      </c>
      <c r="F116" s="78">
        <v>0</v>
      </c>
      <c r="G116" s="78">
        <f t="shared" si="5"/>
        <v>345.51</v>
      </c>
      <c r="I116" s="80">
        <v>80</v>
      </c>
      <c r="J116" s="78">
        <f t="shared" si="6"/>
        <v>394.14</v>
      </c>
      <c r="K116" s="78">
        <f t="shared" si="7"/>
        <v>192.12</v>
      </c>
      <c r="L116" s="78">
        <f t="shared" si="8"/>
        <v>202.02</v>
      </c>
      <c r="M116" s="78">
        <f t="shared" si="9"/>
        <v>63838.39999999974</v>
      </c>
      <c r="N116" s="78">
        <v>0</v>
      </c>
      <c r="O116" s="78">
        <f t="shared" si="11"/>
        <v>394.14</v>
      </c>
    </row>
    <row r="117" spans="1:15" ht="15" customHeight="1">
      <c r="A117" s="7">
        <v>81</v>
      </c>
      <c r="B117" s="70">
        <f t="shared" si="0"/>
        <v>345.51</v>
      </c>
      <c r="C117" s="70">
        <f t="shared" si="1"/>
        <v>211.43</v>
      </c>
      <c r="D117" s="70">
        <f t="shared" si="2"/>
        <v>134.07999999999998</v>
      </c>
      <c r="E117" s="70">
        <f t="shared" si="3"/>
        <v>70342.179999999993</v>
      </c>
      <c r="F117" s="78">
        <v>0</v>
      </c>
      <c r="G117" s="78">
        <f t="shared" si="5"/>
        <v>345.51</v>
      </c>
      <c r="I117" s="80">
        <v>81</v>
      </c>
      <c r="J117" s="78">
        <f t="shared" si="6"/>
        <v>393.54</v>
      </c>
      <c r="K117" s="78">
        <f t="shared" si="7"/>
        <v>191.52</v>
      </c>
      <c r="L117" s="78">
        <f t="shared" si="8"/>
        <v>202.02</v>
      </c>
      <c r="M117" s="78">
        <f t="shared" si="9"/>
        <v>63636.379999999743</v>
      </c>
      <c r="N117" s="78">
        <v>0</v>
      </c>
      <c r="O117" s="78">
        <f t="shared" si="11"/>
        <v>393.54</v>
      </c>
    </row>
    <row r="118" spans="1:15" ht="15" customHeight="1">
      <c r="A118" s="7">
        <v>82</v>
      </c>
      <c r="B118" s="70">
        <f t="shared" si="0"/>
        <v>345.51</v>
      </c>
      <c r="C118" s="70">
        <f t="shared" si="1"/>
        <v>211.03</v>
      </c>
      <c r="D118" s="70">
        <f t="shared" si="2"/>
        <v>134.47999999999999</v>
      </c>
      <c r="E118" s="70">
        <f t="shared" si="3"/>
        <v>70207.7</v>
      </c>
      <c r="F118" s="78">
        <v>0</v>
      </c>
      <c r="G118" s="78">
        <f t="shared" si="5"/>
        <v>345.51</v>
      </c>
      <c r="I118" s="80">
        <v>82</v>
      </c>
      <c r="J118" s="78">
        <f t="shared" si="6"/>
        <v>392.93</v>
      </c>
      <c r="K118" s="78">
        <f t="shared" si="7"/>
        <v>190.91</v>
      </c>
      <c r="L118" s="78">
        <f t="shared" si="8"/>
        <v>202.02</v>
      </c>
      <c r="M118" s="78">
        <f t="shared" si="9"/>
        <v>63434.359999999746</v>
      </c>
      <c r="N118" s="78">
        <v>0</v>
      </c>
      <c r="O118" s="78">
        <f t="shared" si="11"/>
        <v>392.93</v>
      </c>
    </row>
    <row r="119" spans="1:15" ht="15" customHeight="1">
      <c r="A119" s="7">
        <v>83</v>
      </c>
      <c r="B119" s="70">
        <f t="shared" si="0"/>
        <v>345.51</v>
      </c>
      <c r="C119" s="70">
        <f t="shared" si="1"/>
        <v>210.62</v>
      </c>
      <c r="D119" s="70">
        <f t="shared" si="2"/>
        <v>134.88999999999999</v>
      </c>
      <c r="E119" s="70">
        <f t="shared" si="3"/>
        <v>70072.81</v>
      </c>
      <c r="F119" s="78">
        <v>0</v>
      </c>
      <c r="G119" s="78">
        <f t="shared" si="5"/>
        <v>345.51</v>
      </c>
      <c r="I119" s="80">
        <v>83</v>
      </c>
      <c r="J119" s="78">
        <f t="shared" si="6"/>
        <v>392.32000000000005</v>
      </c>
      <c r="K119" s="78">
        <f t="shared" si="7"/>
        <v>190.3</v>
      </c>
      <c r="L119" s="78">
        <f t="shared" si="8"/>
        <v>202.02</v>
      </c>
      <c r="M119" s="78">
        <f t="shared" si="9"/>
        <v>63232.339999999749</v>
      </c>
      <c r="N119" s="78">
        <v>0</v>
      </c>
      <c r="O119" s="78">
        <f t="shared" si="11"/>
        <v>392.32000000000005</v>
      </c>
    </row>
    <row r="120" spans="1:15" ht="15" customHeight="1">
      <c r="A120" s="7">
        <v>84</v>
      </c>
      <c r="B120" s="70">
        <f t="shared" si="0"/>
        <v>345.51</v>
      </c>
      <c r="C120" s="70">
        <f t="shared" si="1"/>
        <v>210.22</v>
      </c>
      <c r="D120" s="70">
        <f t="shared" si="2"/>
        <v>135.29</v>
      </c>
      <c r="E120" s="70">
        <f t="shared" si="3"/>
        <v>69937.52</v>
      </c>
      <c r="F120" s="78">
        <v>0</v>
      </c>
      <c r="G120" s="78">
        <f t="shared" si="5"/>
        <v>345.51</v>
      </c>
      <c r="I120" s="80">
        <v>84</v>
      </c>
      <c r="J120" s="78">
        <f t="shared" si="6"/>
        <v>391.72</v>
      </c>
      <c r="K120" s="78">
        <f t="shared" si="7"/>
        <v>189.7</v>
      </c>
      <c r="L120" s="78">
        <f t="shared" si="8"/>
        <v>202.02</v>
      </c>
      <c r="M120" s="78">
        <f t="shared" si="9"/>
        <v>63030.319999999752</v>
      </c>
      <c r="N120" s="78">
        <v>0</v>
      </c>
      <c r="O120" s="78">
        <f t="shared" si="11"/>
        <v>391.72</v>
      </c>
    </row>
    <row r="121" spans="1:15" ht="15" customHeight="1">
      <c r="A121" s="7">
        <v>85</v>
      </c>
      <c r="B121" s="70">
        <f t="shared" si="0"/>
        <v>345.51</v>
      </c>
      <c r="C121" s="70">
        <f t="shared" si="1"/>
        <v>209.81</v>
      </c>
      <c r="D121" s="70">
        <f t="shared" si="2"/>
        <v>135.69999999999999</v>
      </c>
      <c r="E121" s="70">
        <f t="shared" si="3"/>
        <v>69801.820000000007</v>
      </c>
      <c r="F121" s="78">
        <v>0</v>
      </c>
      <c r="G121" s="78">
        <f t="shared" si="5"/>
        <v>345.51</v>
      </c>
      <c r="I121" s="80">
        <v>85</v>
      </c>
      <c r="J121" s="78">
        <f t="shared" si="6"/>
        <v>391.11</v>
      </c>
      <c r="K121" s="78">
        <f t="shared" si="7"/>
        <v>189.09</v>
      </c>
      <c r="L121" s="78">
        <f t="shared" si="8"/>
        <v>202.02</v>
      </c>
      <c r="M121" s="78">
        <f t="shared" si="9"/>
        <v>62828.299999999756</v>
      </c>
      <c r="N121" s="78">
        <v>0</v>
      </c>
      <c r="O121" s="78">
        <f t="shared" si="11"/>
        <v>391.11</v>
      </c>
    </row>
    <row r="122" spans="1:15" ht="15" customHeight="1">
      <c r="A122" s="7">
        <v>86</v>
      </c>
      <c r="B122" s="70">
        <f t="shared" si="0"/>
        <v>345.51</v>
      </c>
      <c r="C122" s="70">
        <f t="shared" si="1"/>
        <v>209.41</v>
      </c>
      <c r="D122" s="70">
        <f t="shared" si="2"/>
        <v>136.1</v>
      </c>
      <c r="E122" s="70">
        <f t="shared" si="3"/>
        <v>69665.72</v>
      </c>
      <c r="F122" s="78">
        <v>0</v>
      </c>
      <c r="G122" s="78">
        <f t="shared" si="5"/>
        <v>345.51</v>
      </c>
      <c r="I122" s="80">
        <v>86</v>
      </c>
      <c r="J122" s="78">
        <f t="shared" si="6"/>
        <v>390.5</v>
      </c>
      <c r="K122" s="78">
        <f t="shared" si="7"/>
        <v>188.48</v>
      </c>
      <c r="L122" s="78">
        <f t="shared" si="8"/>
        <v>202.02</v>
      </c>
      <c r="M122" s="78">
        <f t="shared" si="9"/>
        <v>62626.279999999759</v>
      </c>
      <c r="N122" s="78">
        <v>0</v>
      </c>
      <c r="O122" s="78">
        <f t="shared" si="11"/>
        <v>390.5</v>
      </c>
    </row>
    <row r="123" spans="1:15" ht="15" customHeight="1">
      <c r="A123" s="7">
        <v>87</v>
      </c>
      <c r="B123" s="70">
        <f t="shared" si="0"/>
        <v>345.51</v>
      </c>
      <c r="C123" s="70">
        <f t="shared" si="1"/>
        <v>209</v>
      </c>
      <c r="D123" s="70">
        <f t="shared" si="2"/>
        <v>136.51</v>
      </c>
      <c r="E123" s="70">
        <f t="shared" si="3"/>
        <v>69529.210000000006</v>
      </c>
      <c r="F123" s="78">
        <v>0</v>
      </c>
      <c r="G123" s="78">
        <f t="shared" si="5"/>
        <v>345.51</v>
      </c>
      <c r="I123" s="80">
        <v>87</v>
      </c>
      <c r="J123" s="78">
        <f t="shared" si="6"/>
        <v>389.9</v>
      </c>
      <c r="K123" s="78">
        <f t="shared" si="7"/>
        <v>187.88</v>
      </c>
      <c r="L123" s="78">
        <f t="shared" si="8"/>
        <v>202.02</v>
      </c>
      <c r="M123" s="78">
        <f t="shared" si="9"/>
        <v>62424.259999999762</v>
      </c>
      <c r="N123" s="78">
        <v>0</v>
      </c>
      <c r="O123" s="78">
        <f t="shared" si="11"/>
        <v>389.9</v>
      </c>
    </row>
    <row r="124" spans="1:15" ht="15" customHeight="1">
      <c r="A124" s="7">
        <v>88</v>
      </c>
      <c r="B124" s="70">
        <f t="shared" si="0"/>
        <v>345.51</v>
      </c>
      <c r="C124" s="70">
        <f t="shared" si="1"/>
        <v>208.59</v>
      </c>
      <c r="D124" s="70">
        <f t="shared" si="2"/>
        <v>136.91999999999999</v>
      </c>
      <c r="E124" s="70">
        <f t="shared" si="3"/>
        <v>69392.290000000008</v>
      </c>
      <c r="F124" s="78">
        <v>0</v>
      </c>
      <c r="G124" s="78">
        <f t="shared" si="5"/>
        <v>345.51</v>
      </c>
      <c r="I124" s="80">
        <v>88</v>
      </c>
      <c r="J124" s="78">
        <f t="shared" si="6"/>
        <v>389.29</v>
      </c>
      <c r="K124" s="78">
        <f t="shared" si="7"/>
        <v>187.27</v>
      </c>
      <c r="L124" s="78">
        <f t="shared" si="8"/>
        <v>202.02</v>
      </c>
      <c r="M124" s="78">
        <f t="shared" si="9"/>
        <v>62222.239999999765</v>
      </c>
      <c r="N124" s="78">
        <v>0</v>
      </c>
      <c r="O124" s="78">
        <f t="shared" si="11"/>
        <v>389.29</v>
      </c>
    </row>
    <row r="125" spans="1:15" ht="15" customHeight="1">
      <c r="A125" s="7">
        <v>89</v>
      </c>
      <c r="B125" s="70">
        <f t="shared" si="0"/>
        <v>345.51</v>
      </c>
      <c r="C125" s="70">
        <f t="shared" si="1"/>
        <v>208.18</v>
      </c>
      <c r="D125" s="70">
        <f t="shared" si="2"/>
        <v>137.32999999999998</v>
      </c>
      <c r="E125" s="70">
        <f t="shared" si="3"/>
        <v>69254.960000000006</v>
      </c>
      <c r="F125" s="78">
        <v>0</v>
      </c>
      <c r="G125" s="78">
        <f t="shared" si="5"/>
        <v>345.51</v>
      </c>
      <c r="I125" s="80">
        <v>89</v>
      </c>
      <c r="J125" s="78">
        <f t="shared" si="6"/>
        <v>388.69</v>
      </c>
      <c r="K125" s="78">
        <f t="shared" si="7"/>
        <v>186.67</v>
      </c>
      <c r="L125" s="78">
        <f t="shared" si="8"/>
        <v>202.02</v>
      </c>
      <c r="M125" s="78">
        <f t="shared" si="9"/>
        <v>62020.219999999768</v>
      </c>
      <c r="N125" s="78">
        <v>0</v>
      </c>
      <c r="O125" s="78">
        <f t="shared" si="11"/>
        <v>388.69</v>
      </c>
    </row>
    <row r="126" spans="1:15" ht="15" customHeight="1">
      <c r="A126" s="7">
        <v>90</v>
      </c>
      <c r="B126" s="70">
        <f t="shared" si="0"/>
        <v>345.51</v>
      </c>
      <c r="C126" s="70">
        <f t="shared" si="1"/>
        <v>207.76</v>
      </c>
      <c r="D126" s="70">
        <f t="shared" si="2"/>
        <v>137.75</v>
      </c>
      <c r="E126" s="70">
        <f t="shared" si="3"/>
        <v>69117.210000000006</v>
      </c>
      <c r="F126" s="78">
        <v>0</v>
      </c>
      <c r="G126" s="78">
        <f t="shared" si="5"/>
        <v>345.51</v>
      </c>
      <c r="I126" s="80">
        <v>90</v>
      </c>
      <c r="J126" s="78">
        <f t="shared" si="6"/>
        <v>388.08000000000004</v>
      </c>
      <c r="K126" s="78">
        <f t="shared" si="7"/>
        <v>186.06</v>
      </c>
      <c r="L126" s="78">
        <f t="shared" si="8"/>
        <v>202.02</v>
      </c>
      <c r="M126" s="78">
        <f t="shared" si="9"/>
        <v>61818.199999999772</v>
      </c>
      <c r="N126" s="78">
        <v>0</v>
      </c>
      <c r="O126" s="78">
        <f t="shared" si="11"/>
        <v>388.08000000000004</v>
      </c>
    </row>
    <row r="127" spans="1:15" ht="15" customHeight="1">
      <c r="A127" s="7">
        <v>91</v>
      </c>
      <c r="B127" s="70">
        <f t="shared" si="0"/>
        <v>345.51</v>
      </c>
      <c r="C127" s="70">
        <f t="shared" si="1"/>
        <v>207.35</v>
      </c>
      <c r="D127" s="70">
        <f t="shared" si="2"/>
        <v>138.16</v>
      </c>
      <c r="E127" s="70">
        <f t="shared" si="3"/>
        <v>68979.05</v>
      </c>
      <c r="F127" s="78">
        <v>0</v>
      </c>
      <c r="G127" s="78">
        <f t="shared" si="5"/>
        <v>345.51</v>
      </c>
      <c r="I127" s="80">
        <v>91</v>
      </c>
      <c r="J127" s="78">
        <f t="shared" si="6"/>
        <v>387.47</v>
      </c>
      <c r="K127" s="78">
        <f t="shared" si="7"/>
        <v>185.45</v>
      </c>
      <c r="L127" s="78">
        <f t="shared" si="8"/>
        <v>202.02</v>
      </c>
      <c r="M127" s="78">
        <f t="shared" si="9"/>
        <v>61616.179999999775</v>
      </c>
      <c r="N127" s="78">
        <v>0</v>
      </c>
      <c r="O127" s="78">
        <f t="shared" si="11"/>
        <v>387.47</v>
      </c>
    </row>
    <row r="128" spans="1:15" ht="15" customHeight="1">
      <c r="A128" s="7">
        <v>92</v>
      </c>
      <c r="B128" s="70">
        <f t="shared" si="0"/>
        <v>345.51</v>
      </c>
      <c r="C128" s="70">
        <f t="shared" si="1"/>
        <v>206.94</v>
      </c>
      <c r="D128" s="70">
        <f t="shared" si="2"/>
        <v>138.57</v>
      </c>
      <c r="E128" s="70">
        <f t="shared" si="3"/>
        <v>68840.479999999996</v>
      </c>
      <c r="F128" s="78">
        <v>0</v>
      </c>
      <c r="G128" s="78">
        <f t="shared" si="5"/>
        <v>345.51</v>
      </c>
      <c r="I128" s="80">
        <v>92</v>
      </c>
      <c r="J128" s="78">
        <f t="shared" si="6"/>
        <v>386.87</v>
      </c>
      <c r="K128" s="78">
        <f t="shared" si="7"/>
        <v>184.85</v>
      </c>
      <c r="L128" s="78">
        <f t="shared" si="8"/>
        <v>202.02</v>
      </c>
      <c r="M128" s="78">
        <f t="shared" si="9"/>
        <v>61414.159999999778</v>
      </c>
      <c r="N128" s="78">
        <v>0</v>
      </c>
      <c r="O128" s="78">
        <f t="shared" si="11"/>
        <v>386.87</v>
      </c>
    </row>
    <row r="129" spans="1:15" ht="15" customHeight="1">
      <c r="A129" s="7">
        <v>93</v>
      </c>
      <c r="B129" s="70">
        <f t="shared" si="0"/>
        <v>345.51</v>
      </c>
      <c r="C129" s="70">
        <f t="shared" si="1"/>
        <v>206.52</v>
      </c>
      <c r="D129" s="70">
        <f t="shared" si="2"/>
        <v>138.98999999999998</v>
      </c>
      <c r="E129" s="70">
        <f t="shared" si="3"/>
        <v>68701.489999999991</v>
      </c>
      <c r="F129" s="78">
        <v>0</v>
      </c>
      <c r="G129" s="78">
        <f t="shared" si="5"/>
        <v>345.51</v>
      </c>
      <c r="I129" s="80">
        <v>93</v>
      </c>
      <c r="J129" s="78">
        <f t="shared" si="6"/>
        <v>386.26</v>
      </c>
      <c r="K129" s="78">
        <f t="shared" si="7"/>
        <v>184.24</v>
      </c>
      <c r="L129" s="78">
        <f t="shared" si="8"/>
        <v>202.02</v>
      </c>
      <c r="M129" s="78">
        <f t="shared" si="9"/>
        <v>61212.139999999781</v>
      </c>
      <c r="N129" s="78">
        <v>0</v>
      </c>
      <c r="O129" s="78">
        <f t="shared" si="11"/>
        <v>386.26</v>
      </c>
    </row>
    <row r="130" spans="1:15" ht="15" customHeight="1">
      <c r="A130" s="7">
        <v>94</v>
      </c>
      <c r="B130" s="70">
        <f t="shared" si="0"/>
        <v>345.51</v>
      </c>
      <c r="C130" s="70">
        <f t="shared" si="1"/>
        <v>206.1</v>
      </c>
      <c r="D130" s="70">
        <f t="shared" si="2"/>
        <v>139.41</v>
      </c>
      <c r="E130" s="70">
        <f t="shared" si="3"/>
        <v>68562.079999999987</v>
      </c>
      <c r="F130" s="78">
        <v>0</v>
      </c>
      <c r="G130" s="78">
        <f t="shared" si="5"/>
        <v>345.51</v>
      </c>
      <c r="I130" s="80">
        <v>94</v>
      </c>
      <c r="J130" s="78">
        <f t="shared" si="6"/>
        <v>385.65999999999997</v>
      </c>
      <c r="K130" s="78">
        <f t="shared" si="7"/>
        <v>183.64</v>
      </c>
      <c r="L130" s="78">
        <f t="shared" si="8"/>
        <v>202.02</v>
      </c>
      <c r="M130" s="78">
        <f t="shared" si="9"/>
        <v>61010.119999999784</v>
      </c>
      <c r="N130" s="78">
        <v>0</v>
      </c>
      <c r="O130" s="78">
        <f t="shared" si="11"/>
        <v>385.65999999999997</v>
      </c>
    </row>
    <row r="131" spans="1:15" ht="15" customHeight="1">
      <c r="A131" s="7">
        <v>95</v>
      </c>
      <c r="B131" s="70">
        <f t="shared" si="0"/>
        <v>345.51</v>
      </c>
      <c r="C131" s="70">
        <f t="shared" si="1"/>
        <v>205.69</v>
      </c>
      <c r="D131" s="70">
        <f t="shared" si="2"/>
        <v>139.82</v>
      </c>
      <c r="E131" s="70">
        <f t="shared" si="3"/>
        <v>68422.25999999998</v>
      </c>
      <c r="F131" s="78">
        <v>0</v>
      </c>
      <c r="G131" s="78">
        <f t="shared" si="5"/>
        <v>345.51</v>
      </c>
      <c r="I131" s="80">
        <v>95</v>
      </c>
      <c r="J131" s="78">
        <f t="shared" si="6"/>
        <v>385.05</v>
      </c>
      <c r="K131" s="78">
        <f t="shared" si="7"/>
        <v>183.03</v>
      </c>
      <c r="L131" s="78">
        <f t="shared" si="8"/>
        <v>202.02</v>
      </c>
      <c r="M131" s="78">
        <f t="shared" si="9"/>
        <v>60808.099999999788</v>
      </c>
      <c r="N131" s="78">
        <v>0</v>
      </c>
      <c r="O131" s="78">
        <f t="shared" si="11"/>
        <v>385.05</v>
      </c>
    </row>
    <row r="132" spans="1:15" ht="15" customHeight="1">
      <c r="A132" s="7">
        <v>96</v>
      </c>
      <c r="B132" s="70">
        <f t="shared" si="0"/>
        <v>345.51</v>
      </c>
      <c r="C132" s="70">
        <f t="shared" si="1"/>
        <v>205.27</v>
      </c>
      <c r="D132" s="70">
        <f t="shared" si="2"/>
        <v>140.23999999999998</v>
      </c>
      <c r="E132" s="70">
        <f t="shared" si="3"/>
        <v>68282.019999999975</v>
      </c>
      <c r="F132" s="78">
        <v>0</v>
      </c>
      <c r="G132" s="78">
        <f t="shared" si="5"/>
        <v>345.51</v>
      </c>
      <c r="I132" s="80">
        <v>96</v>
      </c>
      <c r="J132" s="78">
        <f t="shared" si="6"/>
        <v>384.44</v>
      </c>
      <c r="K132" s="78">
        <f t="shared" si="7"/>
        <v>182.42</v>
      </c>
      <c r="L132" s="78">
        <f t="shared" si="8"/>
        <v>202.02</v>
      </c>
      <c r="M132" s="78">
        <f t="shared" si="9"/>
        <v>60606.079999999791</v>
      </c>
      <c r="N132" s="78">
        <v>0</v>
      </c>
      <c r="O132" s="78">
        <f t="shared" si="11"/>
        <v>384.44</v>
      </c>
    </row>
    <row r="133" spans="1:15" ht="15" customHeight="1">
      <c r="A133" s="7">
        <v>97</v>
      </c>
      <c r="B133" s="70">
        <f t="shared" si="0"/>
        <v>345.51</v>
      </c>
      <c r="C133" s="70">
        <f t="shared" si="1"/>
        <v>204.85</v>
      </c>
      <c r="D133" s="70">
        <f t="shared" si="2"/>
        <v>140.66</v>
      </c>
      <c r="E133" s="70">
        <f t="shared" si="3"/>
        <v>68141.359999999971</v>
      </c>
      <c r="F133" s="78">
        <v>0</v>
      </c>
      <c r="G133" s="78">
        <f t="shared" si="5"/>
        <v>345.51</v>
      </c>
      <c r="I133" s="80">
        <v>97</v>
      </c>
      <c r="J133" s="78">
        <f t="shared" si="6"/>
        <v>383.84000000000003</v>
      </c>
      <c r="K133" s="78">
        <f t="shared" si="7"/>
        <v>181.82</v>
      </c>
      <c r="L133" s="78">
        <f t="shared" si="8"/>
        <v>202.02</v>
      </c>
      <c r="M133" s="78">
        <f t="shared" si="9"/>
        <v>60404.059999999794</v>
      </c>
      <c r="N133" s="78">
        <v>0</v>
      </c>
      <c r="O133" s="78">
        <f t="shared" si="11"/>
        <v>383.84000000000003</v>
      </c>
    </row>
    <row r="134" spans="1:15" ht="15" customHeight="1">
      <c r="A134" s="7">
        <v>98</v>
      </c>
      <c r="B134" s="70">
        <f t="shared" si="0"/>
        <v>345.51</v>
      </c>
      <c r="C134" s="70">
        <f t="shared" si="1"/>
        <v>204.42</v>
      </c>
      <c r="D134" s="70">
        <f t="shared" si="2"/>
        <v>141.09</v>
      </c>
      <c r="E134" s="70">
        <f t="shared" si="3"/>
        <v>68000.269999999975</v>
      </c>
      <c r="F134" s="78">
        <v>0</v>
      </c>
      <c r="G134" s="78">
        <f t="shared" si="5"/>
        <v>345.51</v>
      </c>
      <c r="I134" s="80">
        <v>98</v>
      </c>
      <c r="J134" s="78">
        <f t="shared" si="6"/>
        <v>383.23</v>
      </c>
      <c r="K134" s="78">
        <f t="shared" si="7"/>
        <v>181.21</v>
      </c>
      <c r="L134" s="78">
        <f t="shared" si="8"/>
        <v>202.02</v>
      </c>
      <c r="M134" s="78">
        <f t="shared" si="9"/>
        <v>60202.039999999797</v>
      </c>
      <c r="N134" s="78">
        <v>0</v>
      </c>
      <c r="O134" s="78">
        <f t="shared" si="11"/>
        <v>383.23</v>
      </c>
    </row>
    <row r="135" spans="1:15" ht="15" customHeight="1">
      <c r="A135" s="7">
        <v>99</v>
      </c>
      <c r="B135" s="70">
        <f t="shared" si="0"/>
        <v>345.51</v>
      </c>
      <c r="C135" s="70">
        <f t="shared" si="1"/>
        <v>204</v>
      </c>
      <c r="D135" s="70">
        <f t="shared" si="2"/>
        <v>141.51</v>
      </c>
      <c r="E135" s="70">
        <f t="shared" si="3"/>
        <v>67858.75999999998</v>
      </c>
      <c r="F135" s="78">
        <v>0</v>
      </c>
      <c r="G135" s="78">
        <f t="shared" si="5"/>
        <v>345.51</v>
      </c>
      <c r="I135" s="80">
        <v>99</v>
      </c>
      <c r="J135" s="78">
        <f t="shared" si="6"/>
        <v>382.63</v>
      </c>
      <c r="K135" s="78">
        <f t="shared" si="7"/>
        <v>180.61</v>
      </c>
      <c r="L135" s="78">
        <f t="shared" si="8"/>
        <v>202.02</v>
      </c>
      <c r="M135" s="78">
        <f t="shared" si="9"/>
        <v>60000.0199999998</v>
      </c>
      <c r="N135" s="78">
        <v>0</v>
      </c>
      <c r="O135" s="78">
        <f t="shared" si="11"/>
        <v>382.63</v>
      </c>
    </row>
    <row r="136" spans="1:15" ht="15" customHeight="1">
      <c r="A136" s="7">
        <v>100</v>
      </c>
      <c r="B136" s="70">
        <f t="shared" si="0"/>
        <v>345.51</v>
      </c>
      <c r="C136" s="70">
        <f t="shared" si="1"/>
        <v>203.58</v>
      </c>
      <c r="D136" s="70">
        <f t="shared" si="2"/>
        <v>141.92999999999998</v>
      </c>
      <c r="E136" s="70">
        <f t="shared" si="3"/>
        <v>67716.829999999987</v>
      </c>
      <c r="F136" s="78">
        <v>0</v>
      </c>
      <c r="G136" s="78">
        <f t="shared" si="5"/>
        <v>345.51</v>
      </c>
      <c r="I136" s="80">
        <v>100</v>
      </c>
      <c r="J136" s="78">
        <f t="shared" si="6"/>
        <v>382.02</v>
      </c>
      <c r="K136" s="78">
        <f t="shared" si="7"/>
        <v>180</v>
      </c>
      <c r="L136" s="78">
        <f t="shared" si="8"/>
        <v>202.02</v>
      </c>
      <c r="M136" s="78">
        <f t="shared" si="9"/>
        <v>59797.999999999804</v>
      </c>
      <c r="N136" s="78">
        <v>0</v>
      </c>
      <c r="O136" s="78">
        <f t="shared" si="11"/>
        <v>382.02</v>
      </c>
    </row>
    <row r="137" spans="1:15" ht="15" customHeight="1">
      <c r="A137" s="7">
        <v>101</v>
      </c>
      <c r="B137" s="70">
        <f t="shared" si="0"/>
        <v>345.51</v>
      </c>
      <c r="C137" s="70">
        <f t="shared" si="1"/>
        <v>203.15</v>
      </c>
      <c r="D137" s="70">
        <f t="shared" si="2"/>
        <v>142.35999999999999</v>
      </c>
      <c r="E137" s="70">
        <f t="shared" si="3"/>
        <v>67574.469999999987</v>
      </c>
      <c r="F137" s="78">
        <v>0</v>
      </c>
      <c r="G137" s="78">
        <f t="shared" si="5"/>
        <v>345.51</v>
      </c>
      <c r="I137" s="80">
        <v>101</v>
      </c>
      <c r="J137" s="78">
        <f t="shared" si="6"/>
        <v>381.40999999999997</v>
      </c>
      <c r="K137" s="78">
        <f t="shared" si="7"/>
        <v>179.39</v>
      </c>
      <c r="L137" s="78">
        <f t="shared" si="8"/>
        <v>202.02</v>
      </c>
      <c r="M137" s="78">
        <f t="shared" si="9"/>
        <v>59595.979999999807</v>
      </c>
      <c r="N137" s="78">
        <v>0</v>
      </c>
      <c r="O137" s="78">
        <f t="shared" si="11"/>
        <v>381.40999999999997</v>
      </c>
    </row>
    <row r="138" spans="1:15" ht="15" customHeight="1">
      <c r="A138" s="7">
        <v>102</v>
      </c>
      <c r="B138" s="70">
        <f t="shared" si="0"/>
        <v>345.51</v>
      </c>
      <c r="C138" s="70">
        <f t="shared" si="1"/>
        <v>202.72</v>
      </c>
      <c r="D138" s="70">
        <f t="shared" si="2"/>
        <v>142.79</v>
      </c>
      <c r="E138" s="70">
        <f t="shared" si="3"/>
        <v>67431.679999999993</v>
      </c>
      <c r="F138" s="78">
        <v>0</v>
      </c>
      <c r="G138" s="78">
        <f t="shared" si="5"/>
        <v>345.51</v>
      </c>
      <c r="I138" s="80">
        <v>102</v>
      </c>
      <c r="J138" s="78">
        <f t="shared" si="6"/>
        <v>380.81</v>
      </c>
      <c r="K138" s="78">
        <f t="shared" si="7"/>
        <v>178.79</v>
      </c>
      <c r="L138" s="78">
        <f t="shared" si="8"/>
        <v>202.02</v>
      </c>
      <c r="M138" s="78">
        <f t="shared" si="9"/>
        <v>59393.95999999981</v>
      </c>
      <c r="N138" s="78">
        <v>0</v>
      </c>
      <c r="O138" s="78">
        <f t="shared" si="11"/>
        <v>380.81</v>
      </c>
    </row>
    <row r="139" spans="1:15" ht="15" customHeight="1">
      <c r="A139" s="7">
        <v>103</v>
      </c>
      <c r="B139" s="70">
        <f t="shared" si="0"/>
        <v>345.51</v>
      </c>
      <c r="C139" s="70">
        <f t="shared" si="1"/>
        <v>202.3</v>
      </c>
      <c r="D139" s="70">
        <f t="shared" si="2"/>
        <v>143.20999999999998</v>
      </c>
      <c r="E139" s="70">
        <f t="shared" si="3"/>
        <v>67288.469999999987</v>
      </c>
      <c r="F139" s="78">
        <v>0</v>
      </c>
      <c r="G139" s="78">
        <f t="shared" si="5"/>
        <v>345.51</v>
      </c>
      <c r="I139" s="80">
        <v>103</v>
      </c>
      <c r="J139" s="78">
        <f t="shared" si="6"/>
        <v>380.20000000000005</v>
      </c>
      <c r="K139" s="78">
        <f t="shared" si="7"/>
        <v>178.18</v>
      </c>
      <c r="L139" s="78">
        <f t="shared" si="8"/>
        <v>202.02</v>
      </c>
      <c r="M139" s="78">
        <f t="shared" si="9"/>
        <v>59191.939999999813</v>
      </c>
      <c r="N139" s="78">
        <v>0</v>
      </c>
      <c r="O139" s="78">
        <f t="shared" si="11"/>
        <v>380.20000000000005</v>
      </c>
    </row>
    <row r="140" spans="1:15" ht="15" customHeight="1">
      <c r="A140" s="7">
        <v>104</v>
      </c>
      <c r="B140" s="70">
        <f t="shared" si="0"/>
        <v>345.51</v>
      </c>
      <c r="C140" s="70">
        <f t="shared" si="1"/>
        <v>201.87</v>
      </c>
      <c r="D140" s="70">
        <f t="shared" si="2"/>
        <v>143.63999999999999</v>
      </c>
      <c r="E140" s="70">
        <f t="shared" si="3"/>
        <v>67144.829999999987</v>
      </c>
      <c r="F140" s="78">
        <v>0</v>
      </c>
      <c r="G140" s="78">
        <f t="shared" si="5"/>
        <v>345.51</v>
      </c>
      <c r="I140" s="80">
        <v>104</v>
      </c>
      <c r="J140" s="78">
        <f t="shared" si="6"/>
        <v>379.6</v>
      </c>
      <c r="K140" s="78">
        <f t="shared" si="7"/>
        <v>177.58</v>
      </c>
      <c r="L140" s="78">
        <f t="shared" si="8"/>
        <v>202.02</v>
      </c>
      <c r="M140" s="78">
        <f t="shared" si="9"/>
        <v>58989.919999999816</v>
      </c>
      <c r="N140" s="78">
        <v>0</v>
      </c>
      <c r="O140" s="78">
        <f t="shared" si="11"/>
        <v>379.6</v>
      </c>
    </row>
    <row r="141" spans="1:15" ht="15" customHeight="1">
      <c r="A141" s="7">
        <v>105</v>
      </c>
      <c r="B141" s="70">
        <f t="shared" si="0"/>
        <v>345.51</v>
      </c>
      <c r="C141" s="70">
        <f t="shared" si="1"/>
        <v>201.43</v>
      </c>
      <c r="D141" s="70">
        <f t="shared" si="2"/>
        <v>144.07999999999998</v>
      </c>
      <c r="E141" s="70">
        <f t="shared" si="3"/>
        <v>67000.749999999985</v>
      </c>
      <c r="F141" s="78">
        <v>0</v>
      </c>
      <c r="G141" s="78">
        <f t="shared" si="5"/>
        <v>345.51</v>
      </c>
      <c r="I141" s="80">
        <v>105</v>
      </c>
      <c r="J141" s="78">
        <f t="shared" si="6"/>
        <v>378.99</v>
      </c>
      <c r="K141" s="78">
        <f t="shared" si="7"/>
        <v>176.97</v>
      </c>
      <c r="L141" s="78">
        <f t="shared" si="8"/>
        <v>202.02</v>
      </c>
      <c r="M141" s="78">
        <f t="shared" si="9"/>
        <v>58787.89999999982</v>
      </c>
      <c r="N141" s="78">
        <v>0</v>
      </c>
      <c r="O141" s="78">
        <f t="shared" si="11"/>
        <v>378.99</v>
      </c>
    </row>
    <row r="142" spans="1:15" ht="15" customHeight="1">
      <c r="A142" s="7">
        <v>106</v>
      </c>
      <c r="B142" s="70">
        <f t="shared" si="0"/>
        <v>345.51</v>
      </c>
      <c r="C142" s="70">
        <f t="shared" si="1"/>
        <v>201</v>
      </c>
      <c r="D142" s="70">
        <f t="shared" si="2"/>
        <v>144.51</v>
      </c>
      <c r="E142" s="70">
        <f t="shared" si="3"/>
        <v>66856.239999999991</v>
      </c>
      <c r="F142" s="78">
        <v>0</v>
      </c>
      <c r="G142" s="78">
        <f t="shared" si="5"/>
        <v>345.51</v>
      </c>
      <c r="I142" s="80">
        <v>106</v>
      </c>
      <c r="J142" s="78">
        <f t="shared" si="6"/>
        <v>378.38</v>
      </c>
      <c r="K142" s="78">
        <f t="shared" si="7"/>
        <v>176.36</v>
      </c>
      <c r="L142" s="78">
        <f t="shared" si="8"/>
        <v>202.02</v>
      </c>
      <c r="M142" s="78">
        <f t="shared" si="9"/>
        <v>58585.879999999823</v>
      </c>
      <c r="N142" s="78">
        <v>0</v>
      </c>
      <c r="O142" s="78">
        <f t="shared" si="11"/>
        <v>378.38</v>
      </c>
    </row>
    <row r="143" spans="1:15" ht="15" customHeight="1">
      <c r="A143" s="7">
        <v>107</v>
      </c>
      <c r="B143" s="70">
        <f t="shared" si="0"/>
        <v>345.51</v>
      </c>
      <c r="C143" s="70">
        <f t="shared" si="1"/>
        <v>200.57</v>
      </c>
      <c r="D143" s="70">
        <f t="shared" si="2"/>
        <v>144.94</v>
      </c>
      <c r="E143" s="70">
        <f t="shared" si="3"/>
        <v>66711.299999999988</v>
      </c>
      <c r="F143" s="78">
        <v>0</v>
      </c>
      <c r="G143" s="78">
        <f t="shared" si="5"/>
        <v>345.51</v>
      </c>
      <c r="I143" s="80">
        <v>107</v>
      </c>
      <c r="J143" s="78">
        <f t="shared" si="6"/>
        <v>377.78</v>
      </c>
      <c r="K143" s="78">
        <f t="shared" si="7"/>
        <v>175.76</v>
      </c>
      <c r="L143" s="78">
        <f t="shared" si="8"/>
        <v>202.02</v>
      </c>
      <c r="M143" s="78">
        <f t="shared" si="9"/>
        <v>58383.859999999826</v>
      </c>
      <c r="N143" s="78">
        <v>0</v>
      </c>
      <c r="O143" s="78">
        <f t="shared" si="11"/>
        <v>377.78</v>
      </c>
    </row>
    <row r="144" spans="1:15" ht="15" customHeight="1">
      <c r="A144" s="7">
        <v>108</v>
      </c>
      <c r="B144" s="70">
        <f t="shared" si="0"/>
        <v>345.51</v>
      </c>
      <c r="C144" s="70">
        <f t="shared" si="1"/>
        <v>200.13</v>
      </c>
      <c r="D144" s="70">
        <f t="shared" si="2"/>
        <v>145.38</v>
      </c>
      <c r="E144" s="70">
        <f t="shared" si="3"/>
        <v>66565.919999999984</v>
      </c>
      <c r="F144" s="78">
        <v>0</v>
      </c>
      <c r="G144" s="78">
        <f t="shared" si="5"/>
        <v>345.51</v>
      </c>
      <c r="I144" s="80">
        <v>108</v>
      </c>
      <c r="J144" s="78">
        <f t="shared" si="6"/>
        <v>377.17</v>
      </c>
      <c r="K144" s="78">
        <f t="shared" si="7"/>
        <v>175.15</v>
      </c>
      <c r="L144" s="78">
        <f t="shared" si="8"/>
        <v>202.02</v>
      </c>
      <c r="M144" s="78">
        <f t="shared" si="9"/>
        <v>58181.839999999829</v>
      </c>
      <c r="N144" s="78">
        <v>0</v>
      </c>
      <c r="O144" s="78">
        <f t="shared" si="11"/>
        <v>377.17</v>
      </c>
    </row>
    <row r="145" spans="1:15" ht="15" customHeight="1">
      <c r="A145" s="7">
        <v>109</v>
      </c>
      <c r="B145" s="70">
        <f t="shared" si="0"/>
        <v>345.51</v>
      </c>
      <c r="C145" s="70">
        <f t="shared" si="1"/>
        <v>199.7</v>
      </c>
      <c r="D145" s="70">
        <f t="shared" si="2"/>
        <v>145.81</v>
      </c>
      <c r="E145" s="70">
        <f t="shared" si="3"/>
        <v>66420.109999999986</v>
      </c>
      <c r="F145" s="78">
        <v>0</v>
      </c>
      <c r="G145" s="78">
        <f t="shared" si="5"/>
        <v>345.51</v>
      </c>
      <c r="I145" s="80">
        <v>109</v>
      </c>
      <c r="J145" s="78">
        <f t="shared" si="6"/>
        <v>376.57000000000005</v>
      </c>
      <c r="K145" s="78">
        <f t="shared" si="7"/>
        <v>174.55</v>
      </c>
      <c r="L145" s="78">
        <f t="shared" si="8"/>
        <v>202.02</v>
      </c>
      <c r="M145" s="78">
        <f t="shared" si="9"/>
        <v>57979.819999999832</v>
      </c>
      <c r="N145" s="78">
        <v>0</v>
      </c>
      <c r="O145" s="78">
        <f t="shared" si="11"/>
        <v>376.57000000000005</v>
      </c>
    </row>
    <row r="146" spans="1:15" ht="15" customHeight="1">
      <c r="A146" s="7">
        <v>110</v>
      </c>
      <c r="B146" s="70">
        <f t="shared" si="0"/>
        <v>345.51</v>
      </c>
      <c r="C146" s="70">
        <f t="shared" si="1"/>
        <v>199.26</v>
      </c>
      <c r="D146" s="70">
        <f t="shared" si="2"/>
        <v>146.25</v>
      </c>
      <c r="E146" s="70">
        <f t="shared" si="3"/>
        <v>66273.859999999986</v>
      </c>
      <c r="F146" s="78">
        <v>0</v>
      </c>
      <c r="G146" s="78">
        <f t="shared" si="5"/>
        <v>345.51</v>
      </c>
      <c r="I146" s="80">
        <v>110</v>
      </c>
      <c r="J146" s="78">
        <f t="shared" si="6"/>
        <v>375.96000000000004</v>
      </c>
      <c r="K146" s="78">
        <f t="shared" si="7"/>
        <v>173.94</v>
      </c>
      <c r="L146" s="78">
        <f t="shared" si="8"/>
        <v>202.02</v>
      </c>
      <c r="M146" s="78">
        <f t="shared" si="9"/>
        <v>57777.799999999836</v>
      </c>
      <c r="N146" s="78">
        <v>0</v>
      </c>
      <c r="O146" s="78">
        <f t="shared" si="11"/>
        <v>375.96000000000004</v>
      </c>
    </row>
    <row r="147" spans="1:15" ht="15" customHeight="1">
      <c r="A147" s="7">
        <v>111</v>
      </c>
      <c r="B147" s="70">
        <f t="shared" si="0"/>
        <v>345.51</v>
      </c>
      <c r="C147" s="70">
        <f t="shared" si="1"/>
        <v>198.82</v>
      </c>
      <c r="D147" s="70">
        <f t="shared" si="2"/>
        <v>146.69</v>
      </c>
      <c r="E147" s="70">
        <f t="shared" si="3"/>
        <v>66127.169999999984</v>
      </c>
      <c r="F147" s="78">
        <v>0</v>
      </c>
      <c r="G147" s="78">
        <f t="shared" si="5"/>
        <v>345.51</v>
      </c>
      <c r="I147" s="80">
        <v>111</v>
      </c>
      <c r="J147" s="78">
        <f t="shared" si="6"/>
        <v>375.35</v>
      </c>
      <c r="K147" s="78">
        <f t="shared" si="7"/>
        <v>173.33</v>
      </c>
      <c r="L147" s="78">
        <f t="shared" si="8"/>
        <v>202.02</v>
      </c>
      <c r="M147" s="78">
        <f t="shared" si="9"/>
        <v>57575.779999999839</v>
      </c>
      <c r="N147" s="78">
        <v>0</v>
      </c>
      <c r="O147" s="78">
        <f t="shared" si="11"/>
        <v>375.35</v>
      </c>
    </row>
    <row r="148" spans="1:15" ht="15" customHeight="1">
      <c r="A148" s="7">
        <v>112</v>
      </c>
      <c r="B148" s="70">
        <f t="shared" si="0"/>
        <v>345.51</v>
      </c>
      <c r="C148" s="70">
        <f t="shared" si="1"/>
        <v>198.38</v>
      </c>
      <c r="D148" s="70">
        <f t="shared" si="2"/>
        <v>147.13</v>
      </c>
      <c r="E148" s="70">
        <f t="shared" si="3"/>
        <v>65980.039999999979</v>
      </c>
      <c r="F148" s="78">
        <v>0</v>
      </c>
      <c r="G148" s="78">
        <f t="shared" si="5"/>
        <v>345.51</v>
      </c>
      <c r="I148" s="80">
        <v>112</v>
      </c>
      <c r="J148" s="78">
        <f t="shared" si="6"/>
        <v>374.75</v>
      </c>
      <c r="K148" s="78">
        <f t="shared" si="7"/>
        <v>172.73</v>
      </c>
      <c r="L148" s="78">
        <f t="shared" si="8"/>
        <v>202.02</v>
      </c>
      <c r="M148" s="78">
        <f t="shared" si="9"/>
        <v>57373.759999999842</v>
      </c>
      <c r="N148" s="78">
        <v>0</v>
      </c>
      <c r="O148" s="78">
        <f t="shared" si="11"/>
        <v>374.75</v>
      </c>
    </row>
    <row r="149" spans="1:15" ht="15" customHeight="1">
      <c r="A149" s="7">
        <v>113</v>
      </c>
      <c r="B149" s="70">
        <f t="shared" si="0"/>
        <v>345.51</v>
      </c>
      <c r="C149" s="70">
        <f t="shared" si="1"/>
        <v>197.94</v>
      </c>
      <c r="D149" s="70">
        <f t="shared" si="2"/>
        <v>147.57</v>
      </c>
      <c r="E149" s="70">
        <f t="shared" si="3"/>
        <v>65832.469999999972</v>
      </c>
      <c r="F149" s="78">
        <v>0</v>
      </c>
      <c r="G149" s="78">
        <f t="shared" si="5"/>
        <v>345.51</v>
      </c>
      <c r="I149" s="80">
        <v>113</v>
      </c>
      <c r="J149" s="78">
        <f t="shared" si="6"/>
        <v>374.14</v>
      </c>
      <c r="K149" s="78">
        <f t="shared" si="7"/>
        <v>172.12</v>
      </c>
      <c r="L149" s="78">
        <f t="shared" si="8"/>
        <v>202.02</v>
      </c>
      <c r="M149" s="78">
        <f t="shared" si="9"/>
        <v>57171.739999999845</v>
      </c>
      <c r="N149" s="78">
        <v>0</v>
      </c>
      <c r="O149" s="78">
        <f t="shared" si="11"/>
        <v>374.14</v>
      </c>
    </row>
    <row r="150" spans="1:15" ht="15" customHeight="1">
      <c r="A150" s="7">
        <v>114</v>
      </c>
      <c r="B150" s="70">
        <f t="shared" si="0"/>
        <v>345.51</v>
      </c>
      <c r="C150" s="70">
        <f t="shared" si="1"/>
        <v>197.5</v>
      </c>
      <c r="D150" s="70">
        <f t="shared" si="2"/>
        <v>148.01</v>
      </c>
      <c r="E150" s="70">
        <f t="shared" si="3"/>
        <v>65684.459999999977</v>
      </c>
      <c r="F150" s="78">
        <v>0</v>
      </c>
      <c r="G150" s="78">
        <f t="shared" si="5"/>
        <v>345.51</v>
      </c>
      <c r="I150" s="80">
        <v>114</v>
      </c>
      <c r="J150" s="78">
        <f t="shared" si="6"/>
        <v>373.54</v>
      </c>
      <c r="K150" s="78">
        <f t="shared" si="7"/>
        <v>171.52</v>
      </c>
      <c r="L150" s="78">
        <f t="shared" si="8"/>
        <v>202.02</v>
      </c>
      <c r="M150" s="78">
        <f t="shared" si="9"/>
        <v>56969.719999999848</v>
      </c>
      <c r="N150" s="78">
        <v>0</v>
      </c>
      <c r="O150" s="78">
        <f t="shared" si="11"/>
        <v>373.54</v>
      </c>
    </row>
    <row r="151" spans="1:15" ht="15" customHeight="1">
      <c r="A151" s="7">
        <v>115</v>
      </c>
      <c r="B151" s="70">
        <f t="shared" si="0"/>
        <v>345.51</v>
      </c>
      <c r="C151" s="70">
        <f t="shared" si="1"/>
        <v>197.05</v>
      </c>
      <c r="D151" s="70">
        <f t="shared" si="2"/>
        <v>148.45999999999998</v>
      </c>
      <c r="E151" s="70">
        <f t="shared" si="3"/>
        <v>65535.999999999978</v>
      </c>
      <c r="F151" s="78">
        <v>0</v>
      </c>
      <c r="G151" s="78">
        <f t="shared" si="5"/>
        <v>345.51</v>
      </c>
      <c r="I151" s="80">
        <v>115</v>
      </c>
      <c r="J151" s="78">
        <f t="shared" si="6"/>
        <v>372.93</v>
      </c>
      <c r="K151" s="78">
        <f t="shared" si="7"/>
        <v>170.91</v>
      </c>
      <c r="L151" s="78">
        <f t="shared" si="8"/>
        <v>202.02</v>
      </c>
      <c r="M151" s="78">
        <f t="shared" si="9"/>
        <v>56767.699999999852</v>
      </c>
      <c r="N151" s="78">
        <v>0</v>
      </c>
      <c r="O151" s="78">
        <f t="shared" si="11"/>
        <v>372.93</v>
      </c>
    </row>
    <row r="152" spans="1:15" ht="15" customHeight="1">
      <c r="A152" s="7">
        <v>116</v>
      </c>
      <c r="B152" s="70">
        <f t="shared" si="0"/>
        <v>345.51</v>
      </c>
      <c r="C152" s="70">
        <f t="shared" si="1"/>
        <v>196.61</v>
      </c>
      <c r="D152" s="70">
        <f t="shared" si="2"/>
        <v>148.89999999999998</v>
      </c>
      <c r="E152" s="70">
        <f t="shared" si="3"/>
        <v>65387.099999999977</v>
      </c>
      <c r="F152" s="78">
        <v>0</v>
      </c>
      <c r="G152" s="78">
        <f t="shared" si="5"/>
        <v>345.51</v>
      </c>
      <c r="I152" s="80">
        <v>116</v>
      </c>
      <c r="J152" s="78">
        <f t="shared" si="6"/>
        <v>372.32000000000005</v>
      </c>
      <c r="K152" s="78">
        <f t="shared" si="7"/>
        <v>170.3</v>
      </c>
      <c r="L152" s="78">
        <f t="shared" si="8"/>
        <v>202.02</v>
      </c>
      <c r="M152" s="78">
        <f t="shared" si="9"/>
        <v>56565.679999999855</v>
      </c>
      <c r="N152" s="78">
        <v>0</v>
      </c>
      <c r="O152" s="78">
        <f t="shared" si="11"/>
        <v>372.32000000000005</v>
      </c>
    </row>
    <row r="153" spans="1:15" ht="15" customHeight="1">
      <c r="A153" s="7">
        <v>117</v>
      </c>
      <c r="B153" s="70">
        <f t="shared" si="0"/>
        <v>345.51</v>
      </c>
      <c r="C153" s="70">
        <f t="shared" si="1"/>
        <v>196.16</v>
      </c>
      <c r="D153" s="70">
        <f t="shared" si="2"/>
        <v>149.35</v>
      </c>
      <c r="E153" s="70">
        <f t="shared" si="3"/>
        <v>65237.749999999978</v>
      </c>
      <c r="F153" s="78">
        <v>0</v>
      </c>
      <c r="G153" s="78">
        <f t="shared" si="5"/>
        <v>345.51</v>
      </c>
      <c r="I153" s="80">
        <v>117</v>
      </c>
      <c r="J153" s="78">
        <f t="shared" si="6"/>
        <v>371.72</v>
      </c>
      <c r="K153" s="78">
        <f t="shared" si="7"/>
        <v>169.7</v>
      </c>
      <c r="L153" s="78">
        <f t="shared" si="8"/>
        <v>202.02</v>
      </c>
      <c r="M153" s="78">
        <f t="shared" si="9"/>
        <v>56363.659999999858</v>
      </c>
      <c r="N153" s="78">
        <v>0</v>
      </c>
      <c r="O153" s="78">
        <f t="shared" si="11"/>
        <v>371.72</v>
      </c>
    </row>
    <row r="154" spans="1:15" ht="15" customHeight="1">
      <c r="A154" s="7">
        <v>118</v>
      </c>
      <c r="B154" s="70">
        <f t="shared" si="0"/>
        <v>345.51</v>
      </c>
      <c r="C154" s="70">
        <f t="shared" si="1"/>
        <v>195.71</v>
      </c>
      <c r="D154" s="70">
        <f t="shared" si="2"/>
        <v>149.79999999999998</v>
      </c>
      <c r="E154" s="70">
        <f t="shared" si="3"/>
        <v>65087.949999999975</v>
      </c>
      <c r="F154" s="78">
        <v>0</v>
      </c>
      <c r="G154" s="78">
        <f t="shared" si="5"/>
        <v>345.51</v>
      </c>
      <c r="I154" s="80">
        <v>118</v>
      </c>
      <c r="J154" s="78">
        <f t="shared" si="6"/>
        <v>371.11</v>
      </c>
      <c r="K154" s="78">
        <f t="shared" si="7"/>
        <v>169.09</v>
      </c>
      <c r="L154" s="78">
        <f t="shared" si="8"/>
        <v>202.02</v>
      </c>
      <c r="M154" s="78">
        <f t="shared" si="9"/>
        <v>56161.639999999861</v>
      </c>
      <c r="N154" s="78">
        <v>0</v>
      </c>
      <c r="O154" s="78">
        <f t="shared" si="11"/>
        <v>371.11</v>
      </c>
    </row>
    <row r="155" spans="1:15" ht="15" customHeight="1">
      <c r="A155" s="7">
        <v>119</v>
      </c>
      <c r="B155" s="70">
        <f t="shared" si="0"/>
        <v>345.51</v>
      </c>
      <c r="C155" s="70">
        <f t="shared" si="1"/>
        <v>195.26</v>
      </c>
      <c r="D155" s="70">
        <f t="shared" si="2"/>
        <v>150.25</v>
      </c>
      <c r="E155" s="70">
        <f t="shared" si="3"/>
        <v>64937.699999999975</v>
      </c>
      <c r="F155" s="78">
        <v>0</v>
      </c>
      <c r="G155" s="78">
        <f t="shared" si="5"/>
        <v>345.51</v>
      </c>
      <c r="I155" s="80">
        <v>119</v>
      </c>
      <c r="J155" s="78">
        <f t="shared" si="6"/>
        <v>370.5</v>
      </c>
      <c r="K155" s="78">
        <f t="shared" si="7"/>
        <v>168.48</v>
      </c>
      <c r="L155" s="78">
        <f t="shared" si="8"/>
        <v>202.02</v>
      </c>
      <c r="M155" s="78">
        <f t="shared" si="9"/>
        <v>55959.619999999864</v>
      </c>
      <c r="N155" s="78">
        <v>0</v>
      </c>
      <c r="O155" s="78">
        <f t="shared" si="11"/>
        <v>370.5</v>
      </c>
    </row>
    <row r="156" spans="1:15" ht="15" customHeight="1">
      <c r="A156" s="7">
        <v>120</v>
      </c>
      <c r="B156" s="70">
        <f t="shared" si="0"/>
        <v>345.51</v>
      </c>
      <c r="C156" s="70">
        <f t="shared" si="1"/>
        <v>194.81</v>
      </c>
      <c r="D156" s="70">
        <f t="shared" si="2"/>
        <v>150.69999999999999</v>
      </c>
      <c r="E156" s="70">
        <f t="shared" si="3"/>
        <v>64786.999999999978</v>
      </c>
      <c r="F156" s="78">
        <v>0</v>
      </c>
      <c r="G156" s="78">
        <f t="shared" si="5"/>
        <v>345.51</v>
      </c>
      <c r="I156" s="80">
        <v>120</v>
      </c>
      <c r="J156" s="78">
        <f t="shared" si="6"/>
        <v>369.9</v>
      </c>
      <c r="K156" s="78">
        <f t="shared" si="7"/>
        <v>167.88</v>
      </c>
      <c r="L156" s="78">
        <f t="shared" si="8"/>
        <v>202.02</v>
      </c>
      <c r="M156" s="78">
        <f t="shared" si="9"/>
        <v>55757.599999999868</v>
      </c>
      <c r="N156" s="78">
        <v>0</v>
      </c>
      <c r="O156" s="78">
        <f t="shared" si="11"/>
        <v>369.9</v>
      </c>
    </row>
    <row r="157" spans="1:15" ht="15" customHeight="1">
      <c r="A157" s="7">
        <v>121</v>
      </c>
      <c r="B157" s="70">
        <f t="shared" si="0"/>
        <v>345.51</v>
      </c>
      <c r="C157" s="70">
        <f t="shared" si="1"/>
        <v>194.36</v>
      </c>
      <c r="D157" s="70">
        <f t="shared" si="2"/>
        <v>151.14999999999998</v>
      </c>
      <c r="E157" s="70">
        <f t="shared" si="3"/>
        <v>64635.849999999977</v>
      </c>
      <c r="F157" s="78">
        <v>0</v>
      </c>
      <c r="G157" s="78">
        <f t="shared" si="5"/>
        <v>345.51</v>
      </c>
      <c r="I157" s="80">
        <v>121</v>
      </c>
      <c r="J157" s="78">
        <f t="shared" si="6"/>
        <v>369.29</v>
      </c>
      <c r="K157" s="78">
        <f t="shared" si="7"/>
        <v>167.27</v>
      </c>
      <c r="L157" s="78">
        <f t="shared" si="8"/>
        <v>202.02</v>
      </c>
      <c r="M157" s="78">
        <f t="shared" si="9"/>
        <v>55555.579999999871</v>
      </c>
      <c r="N157" s="78">
        <v>0</v>
      </c>
      <c r="O157" s="78">
        <f t="shared" si="11"/>
        <v>369.29</v>
      </c>
    </row>
    <row r="158" spans="1:15" ht="15" customHeight="1">
      <c r="A158" s="7">
        <v>122</v>
      </c>
      <c r="B158" s="70">
        <f t="shared" si="0"/>
        <v>345.51</v>
      </c>
      <c r="C158" s="70">
        <f t="shared" si="1"/>
        <v>193.91</v>
      </c>
      <c r="D158" s="70">
        <f t="shared" si="2"/>
        <v>151.6</v>
      </c>
      <c r="E158" s="70">
        <f t="shared" si="3"/>
        <v>64484.249999999978</v>
      </c>
      <c r="F158" s="78">
        <v>0</v>
      </c>
      <c r="G158" s="78">
        <f t="shared" si="5"/>
        <v>345.51</v>
      </c>
      <c r="I158" s="80">
        <v>122</v>
      </c>
      <c r="J158" s="78">
        <f t="shared" si="6"/>
        <v>368.69</v>
      </c>
      <c r="K158" s="78">
        <f t="shared" si="7"/>
        <v>166.67</v>
      </c>
      <c r="L158" s="78">
        <f t="shared" si="8"/>
        <v>202.02</v>
      </c>
      <c r="M158" s="78">
        <f t="shared" si="9"/>
        <v>55353.559999999874</v>
      </c>
      <c r="N158" s="78">
        <v>0</v>
      </c>
      <c r="O158" s="78">
        <f t="shared" si="11"/>
        <v>368.69</v>
      </c>
    </row>
    <row r="159" spans="1:15" ht="15" customHeight="1">
      <c r="A159" s="7">
        <v>123</v>
      </c>
      <c r="B159" s="70">
        <f t="shared" si="0"/>
        <v>345.51</v>
      </c>
      <c r="C159" s="70">
        <f t="shared" si="1"/>
        <v>193.45</v>
      </c>
      <c r="D159" s="70">
        <f t="shared" si="2"/>
        <v>152.06</v>
      </c>
      <c r="E159" s="70">
        <f t="shared" si="3"/>
        <v>64332.189999999981</v>
      </c>
      <c r="F159" s="78">
        <v>0</v>
      </c>
      <c r="G159" s="78">
        <f t="shared" si="5"/>
        <v>345.51</v>
      </c>
      <c r="I159" s="80">
        <v>123</v>
      </c>
      <c r="J159" s="78">
        <f t="shared" si="6"/>
        <v>368.08000000000004</v>
      </c>
      <c r="K159" s="78">
        <f t="shared" si="7"/>
        <v>166.06</v>
      </c>
      <c r="L159" s="78">
        <f t="shared" si="8"/>
        <v>202.02</v>
      </c>
      <c r="M159" s="78">
        <f t="shared" si="9"/>
        <v>55151.539999999877</v>
      </c>
      <c r="N159" s="78">
        <v>0</v>
      </c>
      <c r="O159" s="78">
        <f t="shared" si="11"/>
        <v>368.08000000000004</v>
      </c>
    </row>
    <row r="160" spans="1:15" ht="15" customHeight="1">
      <c r="A160" s="7">
        <v>124</v>
      </c>
      <c r="B160" s="70">
        <f t="shared" si="0"/>
        <v>345.51</v>
      </c>
      <c r="C160" s="70">
        <f t="shared" si="1"/>
        <v>193</v>
      </c>
      <c r="D160" s="70">
        <f t="shared" si="2"/>
        <v>152.51</v>
      </c>
      <c r="E160" s="70">
        <f t="shared" si="3"/>
        <v>64179.679999999978</v>
      </c>
      <c r="F160" s="78">
        <v>0</v>
      </c>
      <c r="G160" s="78">
        <f t="shared" si="5"/>
        <v>345.51</v>
      </c>
      <c r="I160" s="80">
        <v>124</v>
      </c>
      <c r="J160" s="78">
        <f t="shared" si="6"/>
        <v>367.47</v>
      </c>
      <c r="K160" s="78">
        <f t="shared" si="7"/>
        <v>165.45</v>
      </c>
      <c r="L160" s="78">
        <f t="shared" si="8"/>
        <v>202.02</v>
      </c>
      <c r="M160" s="78">
        <f t="shared" si="9"/>
        <v>54949.51999999988</v>
      </c>
      <c r="N160" s="78">
        <v>0</v>
      </c>
      <c r="O160" s="78">
        <f t="shared" si="11"/>
        <v>367.47</v>
      </c>
    </row>
    <row r="161" spans="1:15" ht="15" customHeight="1">
      <c r="A161" s="7">
        <v>125</v>
      </c>
      <c r="B161" s="70">
        <f t="shared" si="0"/>
        <v>345.51</v>
      </c>
      <c r="C161" s="70">
        <f t="shared" si="1"/>
        <v>192.54</v>
      </c>
      <c r="D161" s="70">
        <f t="shared" si="2"/>
        <v>152.97</v>
      </c>
      <c r="E161" s="70">
        <f t="shared" si="3"/>
        <v>64026.709999999977</v>
      </c>
      <c r="F161" s="78">
        <v>0</v>
      </c>
      <c r="G161" s="78">
        <f t="shared" si="5"/>
        <v>345.51</v>
      </c>
      <c r="I161" s="80">
        <v>125</v>
      </c>
      <c r="J161" s="78">
        <f t="shared" si="6"/>
        <v>366.87</v>
      </c>
      <c r="K161" s="78">
        <f t="shared" si="7"/>
        <v>164.85</v>
      </c>
      <c r="L161" s="78">
        <f t="shared" si="8"/>
        <v>202.02</v>
      </c>
      <c r="M161" s="78">
        <f t="shared" si="9"/>
        <v>54747.499999999884</v>
      </c>
      <c r="N161" s="78">
        <v>0</v>
      </c>
      <c r="O161" s="78">
        <f t="shared" si="11"/>
        <v>366.87</v>
      </c>
    </row>
    <row r="162" spans="1:15" ht="15" customHeight="1">
      <c r="A162" s="7">
        <v>126</v>
      </c>
      <c r="B162" s="70">
        <f t="shared" si="0"/>
        <v>345.51</v>
      </c>
      <c r="C162" s="70">
        <f t="shared" si="1"/>
        <v>192.08</v>
      </c>
      <c r="D162" s="70">
        <f t="shared" si="2"/>
        <v>153.42999999999998</v>
      </c>
      <c r="E162" s="70">
        <f t="shared" si="3"/>
        <v>63873.279999999977</v>
      </c>
      <c r="F162" s="78">
        <v>0</v>
      </c>
      <c r="G162" s="78">
        <f t="shared" si="5"/>
        <v>345.51</v>
      </c>
      <c r="I162" s="80">
        <v>126</v>
      </c>
      <c r="J162" s="78">
        <f t="shared" si="6"/>
        <v>366.26</v>
      </c>
      <c r="K162" s="78">
        <f t="shared" si="7"/>
        <v>164.24</v>
      </c>
      <c r="L162" s="78">
        <f t="shared" si="8"/>
        <v>202.02</v>
      </c>
      <c r="M162" s="78">
        <f t="shared" si="9"/>
        <v>54545.479999999887</v>
      </c>
      <c r="N162" s="78">
        <v>0</v>
      </c>
      <c r="O162" s="78">
        <f t="shared" si="11"/>
        <v>366.26</v>
      </c>
    </row>
    <row r="163" spans="1:15" ht="15" customHeight="1">
      <c r="A163" s="7">
        <v>127</v>
      </c>
      <c r="B163" s="70">
        <f t="shared" si="0"/>
        <v>345.51</v>
      </c>
      <c r="C163" s="70">
        <f t="shared" si="1"/>
        <v>191.62</v>
      </c>
      <c r="D163" s="70">
        <f t="shared" si="2"/>
        <v>153.88999999999999</v>
      </c>
      <c r="E163" s="70">
        <f t="shared" si="3"/>
        <v>63719.389999999978</v>
      </c>
      <c r="F163" s="78">
        <v>0</v>
      </c>
      <c r="G163" s="78">
        <f t="shared" si="5"/>
        <v>345.51</v>
      </c>
      <c r="I163" s="80">
        <v>127</v>
      </c>
      <c r="J163" s="78">
        <f t="shared" si="6"/>
        <v>365.65999999999997</v>
      </c>
      <c r="K163" s="78">
        <f t="shared" si="7"/>
        <v>163.63999999999999</v>
      </c>
      <c r="L163" s="78">
        <f t="shared" si="8"/>
        <v>202.02</v>
      </c>
      <c r="M163" s="78">
        <f t="shared" si="9"/>
        <v>54343.45999999989</v>
      </c>
      <c r="N163" s="78">
        <v>0</v>
      </c>
      <c r="O163" s="78">
        <f t="shared" si="11"/>
        <v>365.65999999999997</v>
      </c>
    </row>
    <row r="164" spans="1:15" ht="15" customHeight="1">
      <c r="A164" s="7">
        <v>128</v>
      </c>
      <c r="B164" s="70">
        <f t="shared" si="0"/>
        <v>345.51</v>
      </c>
      <c r="C164" s="70">
        <f t="shared" si="1"/>
        <v>191.16</v>
      </c>
      <c r="D164" s="70">
        <f t="shared" si="2"/>
        <v>154.35</v>
      </c>
      <c r="E164" s="70">
        <f t="shared" si="3"/>
        <v>63565.039999999979</v>
      </c>
      <c r="F164" s="78">
        <v>0</v>
      </c>
      <c r="G164" s="78">
        <f t="shared" si="5"/>
        <v>345.51</v>
      </c>
      <c r="I164" s="80">
        <v>128</v>
      </c>
      <c r="J164" s="78">
        <f t="shared" si="6"/>
        <v>365.05</v>
      </c>
      <c r="K164" s="78">
        <f t="shared" si="7"/>
        <v>163.03</v>
      </c>
      <c r="L164" s="78">
        <f t="shared" si="8"/>
        <v>202.02</v>
      </c>
      <c r="M164" s="78">
        <f t="shared" si="9"/>
        <v>54141.439999999893</v>
      </c>
      <c r="N164" s="78">
        <v>0</v>
      </c>
      <c r="O164" s="78">
        <f t="shared" si="11"/>
        <v>365.05</v>
      </c>
    </row>
    <row r="165" spans="1:15" ht="15" customHeight="1">
      <c r="A165" s="7">
        <v>129</v>
      </c>
      <c r="B165" s="70">
        <f t="shared" si="0"/>
        <v>345.51</v>
      </c>
      <c r="C165" s="70">
        <f t="shared" si="1"/>
        <v>190.7</v>
      </c>
      <c r="D165" s="70">
        <f t="shared" si="2"/>
        <v>154.81</v>
      </c>
      <c r="E165" s="70">
        <f t="shared" si="3"/>
        <v>63410.229999999981</v>
      </c>
      <c r="F165" s="78">
        <v>0</v>
      </c>
      <c r="G165" s="78">
        <f t="shared" si="5"/>
        <v>345.51</v>
      </c>
      <c r="I165" s="80">
        <v>129</v>
      </c>
      <c r="J165" s="78">
        <f t="shared" si="6"/>
        <v>364.44</v>
      </c>
      <c r="K165" s="78">
        <f t="shared" si="7"/>
        <v>162.41999999999999</v>
      </c>
      <c r="L165" s="78">
        <f t="shared" si="8"/>
        <v>202.02</v>
      </c>
      <c r="M165" s="78">
        <f t="shared" si="9"/>
        <v>53939.419999999896</v>
      </c>
      <c r="N165" s="78">
        <v>0</v>
      </c>
      <c r="O165" s="78">
        <f t="shared" si="11"/>
        <v>364.44</v>
      </c>
    </row>
    <row r="166" spans="1:15" ht="15" customHeight="1">
      <c r="A166" s="7">
        <v>130</v>
      </c>
      <c r="B166" s="70">
        <f t="shared" si="0"/>
        <v>345.51</v>
      </c>
      <c r="C166" s="70">
        <f t="shared" si="1"/>
        <v>190.23</v>
      </c>
      <c r="D166" s="70">
        <f t="shared" si="2"/>
        <v>155.28</v>
      </c>
      <c r="E166" s="70">
        <f t="shared" si="3"/>
        <v>63254.949999999983</v>
      </c>
      <c r="F166" s="78">
        <v>0</v>
      </c>
      <c r="G166" s="78">
        <f t="shared" si="5"/>
        <v>345.51</v>
      </c>
      <c r="I166" s="80">
        <v>130</v>
      </c>
      <c r="J166" s="78">
        <f t="shared" si="6"/>
        <v>363.84000000000003</v>
      </c>
      <c r="K166" s="78">
        <f t="shared" si="7"/>
        <v>161.82</v>
      </c>
      <c r="L166" s="78">
        <f t="shared" si="8"/>
        <v>202.02</v>
      </c>
      <c r="M166" s="78">
        <f t="shared" si="9"/>
        <v>53737.3999999999</v>
      </c>
      <c r="N166" s="78">
        <v>0</v>
      </c>
      <c r="O166" s="78">
        <f t="shared" si="11"/>
        <v>363.84000000000003</v>
      </c>
    </row>
    <row r="167" spans="1:15" ht="15" customHeight="1">
      <c r="A167" s="7">
        <v>131</v>
      </c>
      <c r="B167" s="70">
        <f t="shared" si="0"/>
        <v>345.51</v>
      </c>
      <c r="C167" s="70">
        <f t="shared" si="1"/>
        <v>189.76</v>
      </c>
      <c r="D167" s="70">
        <f t="shared" si="2"/>
        <v>155.75</v>
      </c>
      <c r="E167" s="70">
        <f t="shared" si="3"/>
        <v>63099.199999999983</v>
      </c>
      <c r="F167" s="78">
        <v>0</v>
      </c>
      <c r="G167" s="78">
        <f t="shared" si="5"/>
        <v>345.51</v>
      </c>
      <c r="I167" s="80">
        <v>131</v>
      </c>
      <c r="J167" s="78">
        <f t="shared" si="6"/>
        <v>363.23</v>
      </c>
      <c r="K167" s="78">
        <f t="shared" si="7"/>
        <v>161.21</v>
      </c>
      <c r="L167" s="78">
        <f t="shared" si="8"/>
        <v>202.02</v>
      </c>
      <c r="M167" s="78">
        <f t="shared" si="9"/>
        <v>53535.379999999903</v>
      </c>
      <c r="N167" s="78">
        <v>0</v>
      </c>
      <c r="O167" s="78">
        <f t="shared" si="11"/>
        <v>363.23</v>
      </c>
    </row>
    <row r="168" spans="1:15" ht="15" customHeight="1">
      <c r="A168" s="7">
        <v>132</v>
      </c>
      <c r="B168" s="70">
        <f t="shared" si="0"/>
        <v>345.51</v>
      </c>
      <c r="C168" s="70">
        <f t="shared" si="1"/>
        <v>189.3</v>
      </c>
      <c r="D168" s="70">
        <f t="shared" si="2"/>
        <v>156.20999999999998</v>
      </c>
      <c r="E168" s="70">
        <f t="shared" si="3"/>
        <v>62942.989999999983</v>
      </c>
      <c r="F168" s="78">
        <v>0</v>
      </c>
      <c r="G168" s="78">
        <f t="shared" si="5"/>
        <v>345.51</v>
      </c>
      <c r="I168" s="80">
        <v>132</v>
      </c>
      <c r="J168" s="78">
        <f t="shared" si="6"/>
        <v>362.63</v>
      </c>
      <c r="K168" s="78">
        <f t="shared" si="7"/>
        <v>160.61000000000001</v>
      </c>
      <c r="L168" s="78">
        <f t="shared" si="8"/>
        <v>202.02</v>
      </c>
      <c r="M168" s="78">
        <f t="shared" si="9"/>
        <v>53333.359999999906</v>
      </c>
      <c r="N168" s="78">
        <v>0</v>
      </c>
      <c r="O168" s="78">
        <f t="shared" si="11"/>
        <v>362.63</v>
      </c>
    </row>
    <row r="169" spans="1:15" ht="15" customHeight="1">
      <c r="A169" s="7">
        <v>133</v>
      </c>
      <c r="B169" s="70">
        <f t="shared" si="0"/>
        <v>345.51</v>
      </c>
      <c r="C169" s="70">
        <f t="shared" si="1"/>
        <v>188.83</v>
      </c>
      <c r="D169" s="70">
        <f t="shared" si="2"/>
        <v>156.67999999999998</v>
      </c>
      <c r="E169" s="70">
        <f t="shared" si="3"/>
        <v>62786.309999999983</v>
      </c>
      <c r="F169" s="78">
        <v>0</v>
      </c>
      <c r="G169" s="78">
        <f t="shared" si="5"/>
        <v>345.51</v>
      </c>
      <c r="I169" s="80">
        <v>133</v>
      </c>
      <c r="J169" s="78">
        <f t="shared" si="6"/>
        <v>362.02</v>
      </c>
      <c r="K169" s="78">
        <f t="shared" si="7"/>
        <v>160</v>
      </c>
      <c r="L169" s="78">
        <f t="shared" si="8"/>
        <v>202.02</v>
      </c>
      <c r="M169" s="78">
        <f t="shared" si="9"/>
        <v>53131.339999999909</v>
      </c>
      <c r="N169" s="78">
        <v>0</v>
      </c>
      <c r="O169" s="78">
        <f t="shared" si="11"/>
        <v>362.02</v>
      </c>
    </row>
    <row r="170" spans="1:15" ht="15" customHeight="1">
      <c r="A170" s="7">
        <v>134</v>
      </c>
      <c r="B170" s="70">
        <f t="shared" si="0"/>
        <v>345.51</v>
      </c>
      <c r="C170" s="70">
        <f t="shared" si="1"/>
        <v>188.36</v>
      </c>
      <c r="D170" s="70">
        <f t="shared" si="2"/>
        <v>157.14999999999998</v>
      </c>
      <c r="E170" s="70">
        <f t="shared" si="3"/>
        <v>62629.159999999982</v>
      </c>
      <c r="F170" s="78">
        <v>0</v>
      </c>
      <c r="G170" s="78">
        <f t="shared" si="5"/>
        <v>345.51</v>
      </c>
      <c r="I170" s="80">
        <v>134</v>
      </c>
      <c r="J170" s="78">
        <f t="shared" si="6"/>
        <v>361.40999999999997</v>
      </c>
      <c r="K170" s="78">
        <f t="shared" si="7"/>
        <v>159.38999999999999</v>
      </c>
      <c r="L170" s="78">
        <f t="shared" si="8"/>
        <v>202.02</v>
      </c>
      <c r="M170" s="78">
        <f t="shared" si="9"/>
        <v>52929.319999999912</v>
      </c>
      <c r="N170" s="78">
        <v>0</v>
      </c>
      <c r="O170" s="78">
        <f t="shared" si="11"/>
        <v>361.40999999999997</v>
      </c>
    </row>
    <row r="171" spans="1:15" ht="15" customHeight="1">
      <c r="A171" s="7">
        <v>135</v>
      </c>
      <c r="B171" s="70">
        <f t="shared" si="0"/>
        <v>345.51</v>
      </c>
      <c r="C171" s="70">
        <f t="shared" si="1"/>
        <v>187.89</v>
      </c>
      <c r="D171" s="70">
        <f t="shared" si="2"/>
        <v>157.62</v>
      </c>
      <c r="E171" s="70">
        <f t="shared" si="3"/>
        <v>62471.539999999979</v>
      </c>
      <c r="F171" s="78">
        <v>0</v>
      </c>
      <c r="G171" s="78">
        <f t="shared" si="5"/>
        <v>345.51</v>
      </c>
      <c r="I171" s="80">
        <v>135</v>
      </c>
      <c r="J171" s="78">
        <f t="shared" si="6"/>
        <v>360.81</v>
      </c>
      <c r="K171" s="78">
        <f t="shared" si="7"/>
        <v>158.79</v>
      </c>
      <c r="L171" s="78">
        <f t="shared" si="8"/>
        <v>202.02</v>
      </c>
      <c r="M171" s="78">
        <f t="shared" si="9"/>
        <v>52727.299999999916</v>
      </c>
      <c r="N171" s="78">
        <v>0</v>
      </c>
      <c r="O171" s="78">
        <f t="shared" si="11"/>
        <v>360.81</v>
      </c>
    </row>
    <row r="172" spans="1:15" ht="15" customHeight="1">
      <c r="A172" s="7">
        <v>136</v>
      </c>
      <c r="B172" s="70">
        <f t="shared" si="0"/>
        <v>345.51</v>
      </c>
      <c r="C172" s="70">
        <f t="shared" si="1"/>
        <v>187.41</v>
      </c>
      <c r="D172" s="70">
        <f t="shared" si="2"/>
        <v>158.1</v>
      </c>
      <c r="E172" s="70">
        <f t="shared" si="3"/>
        <v>62313.439999999981</v>
      </c>
      <c r="F172" s="78">
        <v>0</v>
      </c>
      <c r="G172" s="78">
        <f t="shared" si="5"/>
        <v>345.51</v>
      </c>
      <c r="I172" s="80">
        <v>136</v>
      </c>
      <c r="J172" s="78">
        <f t="shared" si="6"/>
        <v>360.20000000000005</v>
      </c>
      <c r="K172" s="78">
        <f t="shared" si="7"/>
        <v>158.18</v>
      </c>
      <c r="L172" s="78">
        <f t="shared" si="8"/>
        <v>202.02</v>
      </c>
      <c r="M172" s="78">
        <f t="shared" si="9"/>
        <v>52525.279999999919</v>
      </c>
      <c r="N172" s="78">
        <v>0</v>
      </c>
      <c r="O172" s="78">
        <f t="shared" si="11"/>
        <v>360.20000000000005</v>
      </c>
    </row>
    <row r="173" spans="1:15" ht="15" customHeight="1">
      <c r="A173" s="7">
        <v>137</v>
      </c>
      <c r="B173" s="70">
        <f t="shared" si="0"/>
        <v>345.51</v>
      </c>
      <c r="C173" s="70">
        <f t="shared" si="1"/>
        <v>186.94</v>
      </c>
      <c r="D173" s="70">
        <f t="shared" si="2"/>
        <v>158.57</v>
      </c>
      <c r="E173" s="70">
        <f t="shared" si="3"/>
        <v>62154.869999999981</v>
      </c>
      <c r="F173" s="78">
        <v>0</v>
      </c>
      <c r="G173" s="78">
        <f t="shared" si="5"/>
        <v>345.51</v>
      </c>
      <c r="I173" s="80">
        <v>137</v>
      </c>
      <c r="J173" s="78">
        <f t="shared" si="6"/>
        <v>359.6</v>
      </c>
      <c r="K173" s="78">
        <f t="shared" si="7"/>
        <v>157.58000000000001</v>
      </c>
      <c r="L173" s="78">
        <f t="shared" si="8"/>
        <v>202.02</v>
      </c>
      <c r="M173" s="78">
        <f t="shared" si="9"/>
        <v>52323.259999999922</v>
      </c>
      <c r="N173" s="78">
        <v>0</v>
      </c>
      <c r="O173" s="78">
        <f t="shared" si="11"/>
        <v>359.6</v>
      </c>
    </row>
    <row r="174" spans="1:15" ht="15" customHeight="1">
      <c r="A174" s="7">
        <v>138</v>
      </c>
      <c r="B174" s="70">
        <f t="shared" si="0"/>
        <v>345.51</v>
      </c>
      <c r="C174" s="70">
        <f t="shared" si="1"/>
        <v>186.46</v>
      </c>
      <c r="D174" s="70">
        <f t="shared" si="2"/>
        <v>159.04999999999998</v>
      </c>
      <c r="E174" s="70">
        <f t="shared" si="3"/>
        <v>61995.819999999978</v>
      </c>
      <c r="F174" s="78">
        <v>0</v>
      </c>
      <c r="G174" s="78">
        <f t="shared" si="5"/>
        <v>345.51</v>
      </c>
      <c r="I174" s="80">
        <v>138</v>
      </c>
      <c r="J174" s="78">
        <f t="shared" si="6"/>
        <v>358.99</v>
      </c>
      <c r="K174" s="78">
        <f t="shared" si="7"/>
        <v>156.97</v>
      </c>
      <c r="L174" s="78">
        <f t="shared" si="8"/>
        <v>202.02</v>
      </c>
      <c r="M174" s="78">
        <f t="shared" si="9"/>
        <v>52121.239999999925</v>
      </c>
      <c r="N174" s="78">
        <v>0</v>
      </c>
      <c r="O174" s="78">
        <f t="shared" si="11"/>
        <v>358.99</v>
      </c>
    </row>
    <row r="175" spans="1:15" ht="15" customHeight="1">
      <c r="A175" s="7">
        <v>139</v>
      </c>
      <c r="B175" s="70">
        <f t="shared" si="0"/>
        <v>345.51</v>
      </c>
      <c r="C175" s="70">
        <f t="shared" si="1"/>
        <v>185.99</v>
      </c>
      <c r="D175" s="70">
        <f t="shared" si="2"/>
        <v>159.51999999999998</v>
      </c>
      <c r="E175" s="70">
        <f t="shared" si="3"/>
        <v>61836.299999999981</v>
      </c>
      <c r="F175" s="78">
        <v>0</v>
      </c>
      <c r="G175" s="78">
        <f t="shared" si="5"/>
        <v>345.51</v>
      </c>
      <c r="I175" s="80">
        <v>139</v>
      </c>
      <c r="J175" s="78">
        <f t="shared" si="6"/>
        <v>358.38</v>
      </c>
      <c r="K175" s="78">
        <f t="shared" si="7"/>
        <v>156.36000000000001</v>
      </c>
      <c r="L175" s="78">
        <f t="shared" si="8"/>
        <v>202.02</v>
      </c>
      <c r="M175" s="78">
        <f t="shared" si="9"/>
        <v>51919.219999999928</v>
      </c>
      <c r="N175" s="78">
        <v>0</v>
      </c>
      <c r="O175" s="78">
        <f t="shared" si="11"/>
        <v>358.38</v>
      </c>
    </row>
    <row r="176" spans="1:15" ht="15" customHeight="1">
      <c r="A176" s="7">
        <v>140</v>
      </c>
      <c r="B176" s="70">
        <f t="shared" si="0"/>
        <v>345.51</v>
      </c>
      <c r="C176" s="70">
        <f t="shared" si="1"/>
        <v>185.51</v>
      </c>
      <c r="D176" s="70">
        <f t="shared" si="2"/>
        <v>160</v>
      </c>
      <c r="E176" s="70">
        <f t="shared" si="3"/>
        <v>61676.299999999981</v>
      </c>
      <c r="F176" s="78">
        <v>0</v>
      </c>
      <c r="G176" s="78">
        <f t="shared" si="5"/>
        <v>345.51</v>
      </c>
      <c r="I176" s="80">
        <v>140</v>
      </c>
      <c r="J176" s="78">
        <f t="shared" si="6"/>
        <v>357.78</v>
      </c>
      <c r="K176" s="78">
        <f t="shared" si="7"/>
        <v>155.76</v>
      </c>
      <c r="L176" s="78">
        <f t="shared" si="8"/>
        <v>202.02</v>
      </c>
      <c r="M176" s="78">
        <f t="shared" si="9"/>
        <v>51717.199999999932</v>
      </c>
      <c r="N176" s="78">
        <v>0</v>
      </c>
      <c r="O176" s="78">
        <f t="shared" si="11"/>
        <v>357.78</v>
      </c>
    </row>
    <row r="177" spans="1:15" ht="15" customHeight="1">
      <c r="A177" s="7">
        <v>141</v>
      </c>
      <c r="B177" s="70">
        <f t="shared" si="0"/>
        <v>345.51</v>
      </c>
      <c r="C177" s="70">
        <f t="shared" si="1"/>
        <v>185.03</v>
      </c>
      <c r="D177" s="70">
        <f t="shared" si="2"/>
        <v>160.47999999999999</v>
      </c>
      <c r="E177" s="70">
        <f t="shared" si="3"/>
        <v>61515.819999999978</v>
      </c>
      <c r="F177" s="78">
        <v>0</v>
      </c>
      <c r="G177" s="78">
        <f t="shared" si="5"/>
        <v>345.51</v>
      </c>
      <c r="I177" s="80">
        <v>141</v>
      </c>
      <c r="J177" s="78">
        <f t="shared" si="6"/>
        <v>357.17</v>
      </c>
      <c r="K177" s="78">
        <f t="shared" si="7"/>
        <v>155.15</v>
      </c>
      <c r="L177" s="78">
        <f t="shared" si="8"/>
        <v>202.02</v>
      </c>
      <c r="M177" s="78">
        <f t="shared" si="9"/>
        <v>51515.179999999935</v>
      </c>
      <c r="N177" s="78">
        <v>0</v>
      </c>
      <c r="O177" s="78">
        <f t="shared" si="11"/>
        <v>357.17</v>
      </c>
    </row>
    <row r="178" spans="1:15" ht="15" customHeight="1">
      <c r="A178" s="7">
        <v>142</v>
      </c>
      <c r="B178" s="70">
        <f t="shared" si="0"/>
        <v>345.51</v>
      </c>
      <c r="C178" s="70">
        <f t="shared" si="1"/>
        <v>184.55</v>
      </c>
      <c r="D178" s="70">
        <f t="shared" si="2"/>
        <v>160.95999999999998</v>
      </c>
      <c r="E178" s="70">
        <f t="shared" si="3"/>
        <v>61354.859999999979</v>
      </c>
      <c r="F178" s="78">
        <v>0</v>
      </c>
      <c r="G178" s="78">
        <f t="shared" si="5"/>
        <v>345.51</v>
      </c>
      <c r="I178" s="80">
        <v>142</v>
      </c>
      <c r="J178" s="78">
        <f t="shared" si="6"/>
        <v>356.57000000000005</v>
      </c>
      <c r="K178" s="78">
        <f t="shared" si="7"/>
        <v>154.55000000000001</v>
      </c>
      <c r="L178" s="78">
        <f t="shared" si="8"/>
        <v>202.02</v>
      </c>
      <c r="M178" s="78">
        <f t="shared" si="9"/>
        <v>51313.159999999938</v>
      </c>
      <c r="N178" s="78">
        <v>0</v>
      </c>
      <c r="O178" s="78">
        <f t="shared" si="11"/>
        <v>356.57000000000005</v>
      </c>
    </row>
    <row r="179" spans="1:15" ht="15" customHeight="1">
      <c r="A179" s="7">
        <v>143</v>
      </c>
      <c r="B179" s="70">
        <f t="shared" si="0"/>
        <v>345.51</v>
      </c>
      <c r="C179" s="70">
        <f t="shared" si="1"/>
        <v>184.06</v>
      </c>
      <c r="D179" s="70">
        <f t="shared" si="2"/>
        <v>161.44999999999999</v>
      </c>
      <c r="E179" s="70">
        <f t="shared" si="3"/>
        <v>61193.409999999982</v>
      </c>
      <c r="F179" s="78">
        <v>0</v>
      </c>
      <c r="G179" s="78">
        <f t="shared" si="5"/>
        <v>345.51</v>
      </c>
      <c r="I179" s="80">
        <v>143</v>
      </c>
      <c r="J179" s="78">
        <f t="shared" si="6"/>
        <v>355.96000000000004</v>
      </c>
      <c r="K179" s="78">
        <f t="shared" si="7"/>
        <v>153.94</v>
      </c>
      <c r="L179" s="78">
        <f t="shared" si="8"/>
        <v>202.02</v>
      </c>
      <c r="M179" s="78">
        <f t="shared" si="9"/>
        <v>51111.139999999941</v>
      </c>
      <c r="N179" s="78">
        <v>0</v>
      </c>
      <c r="O179" s="78">
        <f t="shared" si="11"/>
        <v>355.96000000000004</v>
      </c>
    </row>
    <row r="180" spans="1:15" ht="15" customHeight="1">
      <c r="A180" s="7">
        <v>144</v>
      </c>
      <c r="B180" s="70">
        <f t="shared" si="0"/>
        <v>345.51</v>
      </c>
      <c r="C180" s="70">
        <f t="shared" si="1"/>
        <v>183.58</v>
      </c>
      <c r="D180" s="70">
        <f t="shared" si="2"/>
        <v>161.92999999999998</v>
      </c>
      <c r="E180" s="70">
        <f t="shared" si="3"/>
        <v>61031.479999999981</v>
      </c>
      <c r="F180" s="78">
        <v>0</v>
      </c>
      <c r="G180" s="78">
        <f t="shared" si="5"/>
        <v>345.51</v>
      </c>
      <c r="I180" s="80">
        <v>144</v>
      </c>
      <c r="J180" s="78">
        <f t="shared" si="6"/>
        <v>355.35</v>
      </c>
      <c r="K180" s="78">
        <f t="shared" si="7"/>
        <v>153.33000000000001</v>
      </c>
      <c r="L180" s="78">
        <f t="shared" si="8"/>
        <v>202.02</v>
      </c>
      <c r="M180" s="78">
        <f t="shared" si="9"/>
        <v>50909.119999999944</v>
      </c>
      <c r="N180" s="78">
        <v>0</v>
      </c>
      <c r="O180" s="78">
        <f t="shared" si="11"/>
        <v>355.35</v>
      </c>
    </row>
    <row r="181" spans="1:15" ht="15" customHeight="1">
      <c r="A181" s="7">
        <v>145</v>
      </c>
      <c r="B181" s="70">
        <f t="shared" si="0"/>
        <v>345.51</v>
      </c>
      <c r="C181" s="70">
        <f t="shared" si="1"/>
        <v>183.09</v>
      </c>
      <c r="D181" s="70">
        <f t="shared" si="2"/>
        <v>162.41999999999999</v>
      </c>
      <c r="E181" s="70">
        <f t="shared" si="3"/>
        <v>60869.059999999983</v>
      </c>
      <c r="F181" s="78">
        <v>0</v>
      </c>
      <c r="G181" s="78">
        <f t="shared" si="5"/>
        <v>345.51</v>
      </c>
      <c r="I181" s="80">
        <v>145</v>
      </c>
      <c r="J181" s="78">
        <f t="shared" si="6"/>
        <v>354.75</v>
      </c>
      <c r="K181" s="78">
        <f t="shared" si="7"/>
        <v>152.72999999999999</v>
      </c>
      <c r="L181" s="78">
        <f t="shared" si="8"/>
        <v>202.02</v>
      </c>
      <c r="M181" s="78">
        <f t="shared" si="9"/>
        <v>50707.099999999948</v>
      </c>
      <c r="N181" s="78">
        <v>0</v>
      </c>
      <c r="O181" s="78">
        <f t="shared" si="11"/>
        <v>354.75</v>
      </c>
    </row>
    <row r="182" spans="1:15" ht="15" customHeight="1">
      <c r="A182" s="7">
        <v>146</v>
      </c>
      <c r="B182" s="70">
        <f t="shared" si="0"/>
        <v>345.51</v>
      </c>
      <c r="C182" s="70">
        <f t="shared" si="1"/>
        <v>182.61</v>
      </c>
      <c r="D182" s="70">
        <f t="shared" si="2"/>
        <v>162.89999999999998</v>
      </c>
      <c r="E182" s="70">
        <f t="shared" si="3"/>
        <v>60706.159999999982</v>
      </c>
      <c r="F182" s="78">
        <v>0</v>
      </c>
      <c r="G182" s="78">
        <f t="shared" si="5"/>
        <v>345.51</v>
      </c>
      <c r="I182" s="80">
        <v>146</v>
      </c>
      <c r="J182" s="78">
        <f t="shared" si="6"/>
        <v>354.14</v>
      </c>
      <c r="K182" s="78">
        <f t="shared" si="7"/>
        <v>152.12</v>
      </c>
      <c r="L182" s="78">
        <f t="shared" si="8"/>
        <v>202.02</v>
      </c>
      <c r="M182" s="78">
        <f t="shared" si="9"/>
        <v>50505.079999999951</v>
      </c>
      <c r="N182" s="78">
        <v>0</v>
      </c>
      <c r="O182" s="78">
        <f t="shared" si="11"/>
        <v>354.14</v>
      </c>
    </row>
    <row r="183" spans="1:15" ht="15" customHeight="1">
      <c r="A183" s="7">
        <v>147</v>
      </c>
      <c r="B183" s="70">
        <f t="shared" si="0"/>
        <v>345.51</v>
      </c>
      <c r="C183" s="70">
        <f t="shared" si="1"/>
        <v>182.12</v>
      </c>
      <c r="D183" s="70">
        <f t="shared" si="2"/>
        <v>163.38999999999999</v>
      </c>
      <c r="E183" s="70">
        <f t="shared" si="3"/>
        <v>60542.769999999982</v>
      </c>
      <c r="F183" s="78">
        <v>0</v>
      </c>
      <c r="G183" s="78">
        <f t="shared" si="5"/>
        <v>345.51</v>
      </c>
      <c r="I183" s="80">
        <v>147</v>
      </c>
      <c r="J183" s="78">
        <f t="shared" si="6"/>
        <v>353.54</v>
      </c>
      <c r="K183" s="78">
        <f t="shared" si="7"/>
        <v>151.52000000000001</v>
      </c>
      <c r="L183" s="78">
        <f t="shared" si="8"/>
        <v>202.02</v>
      </c>
      <c r="M183" s="78">
        <f t="shared" si="9"/>
        <v>50303.059999999954</v>
      </c>
      <c r="N183" s="78">
        <v>0</v>
      </c>
      <c r="O183" s="78">
        <f t="shared" si="11"/>
        <v>353.54</v>
      </c>
    </row>
    <row r="184" spans="1:15" ht="15" customHeight="1">
      <c r="A184" s="7">
        <v>148</v>
      </c>
      <c r="B184" s="70">
        <f t="shared" si="0"/>
        <v>345.51</v>
      </c>
      <c r="C184" s="70">
        <f t="shared" si="1"/>
        <v>181.63</v>
      </c>
      <c r="D184" s="70">
        <f t="shared" si="2"/>
        <v>163.88</v>
      </c>
      <c r="E184" s="70">
        <f t="shared" si="3"/>
        <v>60378.889999999985</v>
      </c>
      <c r="F184" s="78">
        <v>0</v>
      </c>
      <c r="G184" s="78">
        <f t="shared" si="5"/>
        <v>345.51</v>
      </c>
      <c r="I184" s="80">
        <v>148</v>
      </c>
      <c r="J184" s="78">
        <f t="shared" si="6"/>
        <v>352.93</v>
      </c>
      <c r="K184" s="78">
        <f t="shared" si="7"/>
        <v>150.91</v>
      </c>
      <c r="L184" s="78">
        <f t="shared" si="8"/>
        <v>202.02</v>
      </c>
      <c r="M184" s="78">
        <f t="shared" si="9"/>
        <v>50101.039999999957</v>
      </c>
      <c r="N184" s="78">
        <v>0</v>
      </c>
      <c r="O184" s="78">
        <f t="shared" si="11"/>
        <v>352.93</v>
      </c>
    </row>
    <row r="185" spans="1:15" ht="15" customHeight="1">
      <c r="A185" s="7">
        <v>149</v>
      </c>
      <c r="B185" s="70">
        <f t="shared" si="0"/>
        <v>345.51</v>
      </c>
      <c r="C185" s="70">
        <f t="shared" si="1"/>
        <v>181.14</v>
      </c>
      <c r="D185" s="70">
        <f t="shared" si="2"/>
        <v>164.37</v>
      </c>
      <c r="E185" s="70">
        <f t="shared" si="3"/>
        <v>60214.519999999982</v>
      </c>
      <c r="F185" s="78">
        <v>0</v>
      </c>
      <c r="G185" s="78">
        <f t="shared" si="5"/>
        <v>345.51</v>
      </c>
      <c r="I185" s="80">
        <v>149</v>
      </c>
      <c r="J185" s="78">
        <f t="shared" si="6"/>
        <v>352.32000000000005</v>
      </c>
      <c r="K185" s="78">
        <f t="shared" si="7"/>
        <v>150.30000000000001</v>
      </c>
      <c r="L185" s="78">
        <f t="shared" si="8"/>
        <v>202.02</v>
      </c>
      <c r="M185" s="78">
        <f t="shared" si="9"/>
        <v>49899.01999999996</v>
      </c>
      <c r="N185" s="78">
        <v>0</v>
      </c>
      <c r="O185" s="78">
        <f t="shared" si="11"/>
        <v>352.32000000000005</v>
      </c>
    </row>
    <row r="186" spans="1:15" ht="15" customHeight="1">
      <c r="A186" s="7">
        <v>150</v>
      </c>
      <c r="B186" s="70">
        <f t="shared" si="0"/>
        <v>345.51</v>
      </c>
      <c r="C186" s="70">
        <f t="shared" si="1"/>
        <v>180.64</v>
      </c>
      <c r="D186" s="70">
        <f t="shared" si="2"/>
        <v>164.87</v>
      </c>
      <c r="E186" s="70">
        <f t="shared" si="3"/>
        <v>60049.64999999998</v>
      </c>
      <c r="F186" s="78">
        <v>0</v>
      </c>
      <c r="G186" s="78">
        <f t="shared" si="5"/>
        <v>345.51</v>
      </c>
      <c r="I186" s="80">
        <v>150</v>
      </c>
      <c r="J186" s="78">
        <f t="shared" si="6"/>
        <v>351.72</v>
      </c>
      <c r="K186" s="78">
        <f t="shared" si="7"/>
        <v>149.69999999999999</v>
      </c>
      <c r="L186" s="78">
        <f t="shared" si="8"/>
        <v>202.02</v>
      </c>
      <c r="M186" s="78">
        <f t="shared" si="9"/>
        <v>49696.999999999964</v>
      </c>
      <c r="N186" s="78">
        <v>0</v>
      </c>
      <c r="O186" s="78">
        <f t="shared" si="11"/>
        <v>351.72</v>
      </c>
    </row>
    <row r="187" spans="1:15" ht="15" customHeight="1">
      <c r="A187" s="7">
        <v>151</v>
      </c>
      <c r="B187" s="70">
        <f t="shared" si="0"/>
        <v>345.51</v>
      </c>
      <c r="C187" s="70">
        <f t="shared" si="1"/>
        <v>180.15</v>
      </c>
      <c r="D187" s="70">
        <f t="shared" si="2"/>
        <v>165.35999999999999</v>
      </c>
      <c r="E187" s="70">
        <f t="shared" si="3"/>
        <v>59884.289999999979</v>
      </c>
      <c r="F187" s="78">
        <v>0</v>
      </c>
      <c r="G187" s="78">
        <f t="shared" si="5"/>
        <v>345.51</v>
      </c>
      <c r="I187" s="80">
        <v>151</v>
      </c>
      <c r="J187" s="78">
        <f t="shared" si="6"/>
        <v>351.11</v>
      </c>
      <c r="K187" s="78">
        <f t="shared" si="7"/>
        <v>149.09</v>
      </c>
      <c r="L187" s="78">
        <f t="shared" si="8"/>
        <v>202.02</v>
      </c>
      <c r="M187" s="78">
        <f t="shared" si="9"/>
        <v>49494.979999999967</v>
      </c>
      <c r="N187" s="78">
        <v>0</v>
      </c>
      <c r="O187" s="78">
        <f t="shared" si="11"/>
        <v>351.11</v>
      </c>
    </row>
    <row r="188" spans="1:15" ht="15" customHeight="1">
      <c r="A188" s="7">
        <v>152</v>
      </c>
      <c r="B188" s="70">
        <f t="shared" si="0"/>
        <v>345.51</v>
      </c>
      <c r="C188" s="70">
        <f t="shared" si="1"/>
        <v>179.65</v>
      </c>
      <c r="D188" s="70">
        <f t="shared" si="2"/>
        <v>165.85999999999999</v>
      </c>
      <c r="E188" s="70">
        <f t="shared" si="3"/>
        <v>59718.429999999978</v>
      </c>
      <c r="F188" s="78">
        <v>0</v>
      </c>
      <c r="G188" s="78">
        <f t="shared" si="5"/>
        <v>345.51</v>
      </c>
      <c r="I188" s="80">
        <v>152</v>
      </c>
      <c r="J188" s="78">
        <f t="shared" si="6"/>
        <v>350.5</v>
      </c>
      <c r="K188" s="78">
        <f t="shared" si="7"/>
        <v>148.47999999999999</v>
      </c>
      <c r="L188" s="78">
        <f t="shared" si="8"/>
        <v>202.02</v>
      </c>
      <c r="M188" s="78">
        <f t="shared" si="9"/>
        <v>49292.95999999997</v>
      </c>
      <c r="N188" s="78">
        <v>0</v>
      </c>
      <c r="O188" s="78">
        <f t="shared" si="11"/>
        <v>350.5</v>
      </c>
    </row>
    <row r="189" spans="1:15" ht="15" customHeight="1">
      <c r="A189" s="7">
        <v>153</v>
      </c>
      <c r="B189" s="70">
        <f t="shared" si="0"/>
        <v>345.51</v>
      </c>
      <c r="C189" s="70">
        <f t="shared" si="1"/>
        <v>179.16</v>
      </c>
      <c r="D189" s="70">
        <f t="shared" si="2"/>
        <v>166.35</v>
      </c>
      <c r="E189" s="70">
        <f t="shared" si="3"/>
        <v>59552.07999999998</v>
      </c>
      <c r="F189" s="78">
        <v>0</v>
      </c>
      <c r="G189" s="78">
        <f t="shared" si="5"/>
        <v>345.51</v>
      </c>
      <c r="I189" s="80">
        <v>153</v>
      </c>
      <c r="J189" s="78">
        <f t="shared" si="6"/>
        <v>349.9</v>
      </c>
      <c r="K189" s="78">
        <f t="shared" si="7"/>
        <v>147.88</v>
      </c>
      <c r="L189" s="78">
        <f t="shared" si="8"/>
        <v>202.02</v>
      </c>
      <c r="M189" s="78">
        <f t="shared" si="9"/>
        <v>49090.939999999973</v>
      </c>
      <c r="N189" s="78">
        <v>0</v>
      </c>
      <c r="O189" s="78">
        <f t="shared" si="11"/>
        <v>349.9</v>
      </c>
    </row>
    <row r="190" spans="1:15" ht="15" customHeight="1">
      <c r="A190" s="7">
        <v>154</v>
      </c>
      <c r="B190" s="70">
        <f t="shared" si="0"/>
        <v>345.51</v>
      </c>
      <c r="C190" s="70">
        <f t="shared" si="1"/>
        <v>178.66</v>
      </c>
      <c r="D190" s="70">
        <f t="shared" si="2"/>
        <v>166.85</v>
      </c>
      <c r="E190" s="70">
        <f t="shared" si="3"/>
        <v>59385.229999999981</v>
      </c>
      <c r="F190" s="78">
        <v>0</v>
      </c>
      <c r="G190" s="78">
        <f t="shared" si="5"/>
        <v>345.51</v>
      </c>
      <c r="I190" s="80">
        <v>154</v>
      </c>
      <c r="J190" s="78">
        <f t="shared" si="6"/>
        <v>349.29</v>
      </c>
      <c r="K190" s="78">
        <f t="shared" si="7"/>
        <v>147.27000000000001</v>
      </c>
      <c r="L190" s="78">
        <f t="shared" si="8"/>
        <v>202.02</v>
      </c>
      <c r="M190" s="78">
        <f t="shared" si="9"/>
        <v>48888.919999999976</v>
      </c>
      <c r="N190" s="78">
        <v>0</v>
      </c>
      <c r="O190" s="78">
        <f t="shared" si="11"/>
        <v>349.29</v>
      </c>
    </row>
    <row r="191" spans="1:15" ht="15" customHeight="1">
      <c r="A191" s="7">
        <v>155</v>
      </c>
      <c r="B191" s="70">
        <f t="shared" si="0"/>
        <v>345.51</v>
      </c>
      <c r="C191" s="70">
        <f t="shared" si="1"/>
        <v>178.16</v>
      </c>
      <c r="D191" s="70">
        <f t="shared" si="2"/>
        <v>167.35</v>
      </c>
      <c r="E191" s="70">
        <f t="shared" si="3"/>
        <v>59217.879999999983</v>
      </c>
      <c r="F191" s="78">
        <v>0</v>
      </c>
      <c r="G191" s="78">
        <f t="shared" si="5"/>
        <v>345.51</v>
      </c>
      <c r="I191" s="80">
        <v>155</v>
      </c>
      <c r="J191" s="78">
        <f t="shared" si="6"/>
        <v>348.69</v>
      </c>
      <c r="K191" s="78">
        <f t="shared" si="7"/>
        <v>146.66999999999999</v>
      </c>
      <c r="L191" s="78">
        <f t="shared" si="8"/>
        <v>202.02</v>
      </c>
      <c r="M191" s="78">
        <f t="shared" si="9"/>
        <v>48686.89999999998</v>
      </c>
      <c r="N191" s="78">
        <v>0</v>
      </c>
      <c r="O191" s="78">
        <f t="shared" si="11"/>
        <v>348.69</v>
      </c>
    </row>
    <row r="192" spans="1:15" ht="15" customHeight="1">
      <c r="A192" s="7">
        <v>156</v>
      </c>
      <c r="B192" s="70">
        <f t="shared" si="0"/>
        <v>345.51</v>
      </c>
      <c r="C192" s="70">
        <f t="shared" si="1"/>
        <v>177.65</v>
      </c>
      <c r="D192" s="70">
        <f t="shared" si="2"/>
        <v>167.85999999999999</v>
      </c>
      <c r="E192" s="70">
        <f t="shared" si="3"/>
        <v>59050.019999999982</v>
      </c>
      <c r="F192" s="78">
        <v>0</v>
      </c>
      <c r="G192" s="78">
        <f t="shared" si="5"/>
        <v>345.51</v>
      </c>
      <c r="I192" s="80">
        <v>156</v>
      </c>
      <c r="J192" s="78">
        <f t="shared" si="6"/>
        <v>348.08000000000004</v>
      </c>
      <c r="K192" s="78">
        <f t="shared" si="7"/>
        <v>146.06</v>
      </c>
      <c r="L192" s="78">
        <f t="shared" si="8"/>
        <v>202.02</v>
      </c>
      <c r="M192" s="78">
        <f t="shared" si="9"/>
        <v>48484.879999999983</v>
      </c>
      <c r="N192" s="78">
        <v>0</v>
      </c>
      <c r="O192" s="78">
        <f t="shared" si="11"/>
        <v>348.08000000000004</v>
      </c>
    </row>
    <row r="193" spans="1:15" ht="15" customHeight="1">
      <c r="A193" s="7">
        <v>157</v>
      </c>
      <c r="B193" s="70">
        <f t="shared" si="0"/>
        <v>345.51</v>
      </c>
      <c r="C193" s="70">
        <f t="shared" si="1"/>
        <v>177.15</v>
      </c>
      <c r="D193" s="70">
        <f t="shared" si="2"/>
        <v>168.35999999999999</v>
      </c>
      <c r="E193" s="70">
        <f t="shared" si="3"/>
        <v>58881.659999999982</v>
      </c>
      <c r="F193" s="78">
        <v>0</v>
      </c>
      <c r="G193" s="78">
        <f t="shared" si="5"/>
        <v>345.51</v>
      </c>
      <c r="I193" s="80">
        <v>157</v>
      </c>
      <c r="J193" s="78">
        <f t="shared" si="6"/>
        <v>347.47</v>
      </c>
      <c r="K193" s="78">
        <f t="shared" si="7"/>
        <v>145.44999999999999</v>
      </c>
      <c r="L193" s="78">
        <f t="shared" si="8"/>
        <v>202.02</v>
      </c>
      <c r="M193" s="78">
        <f t="shared" si="9"/>
        <v>48282.859999999986</v>
      </c>
      <c r="N193" s="78">
        <v>0</v>
      </c>
      <c r="O193" s="78">
        <f t="shared" si="11"/>
        <v>347.47</v>
      </c>
    </row>
    <row r="194" spans="1:15" ht="15" customHeight="1">
      <c r="A194" s="7">
        <v>158</v>
      </c>
      <c r="B194" s="70">
        <f t="shared" si="0"/>
        <v>345.51</v>
      </c>
      <c r="C194" s="70">
        <f t="shared" si="1"/>
        <v>176.64</v>
      </c>
      <c r="D194" s="70">
        <f t="shared" si="2"/>
        <v>168.87</v>
      </c>
      <c r="E194" s="70">
        <f t="shared" si="3"/>
        <v>58712.789999999979</v>
      </c>
      <c r="F194" s="78">
        <v>0</v>
      </c>
      <c r="G194" s="78">
        <f t="shared" si="5"/>
        <v>345.51</v>
      </c>
      <c r="I194" s="80">
        <v>158</v>
      </c>
      <c r="J194" s="78">
        <f t="shared" si="6"/>
        <v>346.87</v>
      </c>
      <c r="K194" s="78">
        <f t="shared" si="7"/>
        <v>144.85</v>
      </c>
      <c r="L194" s="78">
        <f t="shared" si="8"/>
        <v>202.02</v>
      </c>
      <c r="M194" s="78">
        <f t="shared" si="9"/>
        <v>48080.839999999989</v>
      </c>
      <c r="N194" s="78">
        <v>0</v>
      </c>
      <c r="O194" s="78">
        <f t="shared" si="11"/>
        <v>346.87</v>
      </c>
    </row>
    <row r="195" spans="1:15" ht="15" customHeight="1">
      <c r="A195" s="7">
        <v>159</v>
      </c>
      <c r="B195" s="70">
        <f t="shared" si="0"/>
        <v>345.51</v>
      </c>
      <c r="C195" s="70">
        <f t="shared" si="1"/>
        <v>176.14</v>
      </c>
      <c r="D195" s="70">
        <f t="shared" si="2"/>
        <v>169.37</v>
      </c>
      <c r="E195" s="70">
        <f t="shared" si="3"/>
        <v>58543.419999999976</v>
      </c>
      <c r="F195" s="78">
        <v>0</v>
      </c>
      <c r="G195" s="78">
        <f t="shared" si="5"/>
        <v>345.51</v>
      </c>
      <c r="I195" s="80">
        <v>159</v>
      </c>
      <c r="J195" s="78">
        <f t="shared" si="6"/>
        <v>346.26</v>
      </c>
      <c r="K195" s="78">
        <f t="shared" si="7"/>
        <v>144.24</v>
      </c>
      <c r="L195" s="78">
        <f t="shared" si="8"/>
        <v>202.02</v>
      </c>
      <c r="M195" s="78">
        <f t="shared" si="9"/>
        <v>47878.819999999992</v>
      </c>
      <c r="N195" s="78">
        <v>0</v>
      </c>
      <c r="O195" s="78">
        <f t="shared" si="11"/>
        <v>346.26</v>
      </c>
    </row>
    <row r="196" spans="1:15" ht="15" customHeight="1">
      <c r="A196" s="7">
        <v>160</v>
      </c>
      <c r="B196" s="70">
        <f t="shared" si="0"/>
        <v>345.51</v>
      </c>
      <c r="C196" s="70">
        <f t="shared" si="1"/>
        <v>175.63</v>
      </c>
      <c r="D196" s="70">
        <f t="shared" si="2"/>
        <v>169.88</v>
      </c>
      <c r="E196" s="70">
        <f t="shared" si="3"/>
        <v>58373.539999999979</v>
      </c>
      <c r="F196" s="78">
        <v>0</v>
      </c>
      <c r="G196" s="78">
        <f t="shared" si="5"/>
        <v>345.51</v>
      </c>
      <c r="I196" s="80">
        <v>160</v>
      </c>
      <c r="J196" s="78">
        <f t="shared" si="6"/>
        <v>345.65999999999997</v>
      </c>
      <c r="K196" s="78">
        <f t="shared" si="7"/>
        <v>143.63999999999999</v>
      </c>
      <c r="L196" s="78">
        <f t="shared" si="8"/>
        <v>202.02</v>
      </c>
      <c r="M196" s="78">
        <f t="shared" si="9"/>
        <v>47676.799999999996</v>
      </c>
      <c r="N196" s="78">
        <v>0</v>
      </c>
      <c r="O196" s="78">
        <f t="shared" si="11"/>
        <v>345.65999999999997</v>
      </c>
    </row>
    <row r="197" spans="1:15" ht="15" customHeight="1">
      <c r="A197" s="7">
        <v>161</v>
      </c>
      <c r="B197" s="70">
        <f t="shared" si="0"/>
        <v>345.51</v>
      </c>
      <c r="C197" s="70">
        <f t="shared" si="1"/>
        <v>175.12</v>
      </c>
      <c r="D197" s="70">
        <f t="shared" si="2"/>
        <v>170.39</v>
      </c>
      <c r="E197" s="70">
        <f t="shared" si="3"/>
        <v>58203.14999999998</v>
      </c>
      <c r="F197" s="78">
        <v>0</v>
      </c>
      <c r="G197" s="78">
        <f t="shared" si="5"/>
        <v>345.51</v>
      </c>
      <c r="I197" s="80">
        <v>161</v>
      </c>
      <c r="J197" s="78">
        <f t="shared" si="6"/>
        <v>345.05</v>
      </c>
      <c r="K197" s="78">
        <f t="shared" si="7"/>
        <v>143.03</v>
      </c>
      <c r="L197" s="78">
        <f t="shared" si="8"/>
        <v>202.02</v>
      </c>
      <c r="M197" s="78">
        <f t="shared" si="9"/>
        <v>47474.78</v>
      </c>
      <c r="N197" s="78">
        <v>0</v>
      </c>
      <c r="O197" s="78">
        <f t="shared" si="11"/>
        <v>345.05</v>
      </c>
    </row>
    <row r="198" spans="1:15" ht="15" customHeight="1">
      <c r="A198" s="7">
        <v>162</v>
      </c>
      <c r="B198" s="70">
        <f t="shared" si="0"/>
        <v>345.51</v>
      </c>
      <c r="C198" s="70">
        <f t="shared" si="1"/>
        <v>174.61</v>
      </c>
      <c r="D198" s="70">
        <f t="shared" si="2"/>
        <v>170.89999999999998</v>
      </c>
      <c r="E198" s="70">
        <f t="shared" si="3"/>
        <v>58032.249999999978</v>
      </c>
      <c r="F198" s="78">
        <v>0</v>
      </c>
      <c r="G198" s="78">
        <f t="shared" si="5"/>
        <v>345.51</v>
      </c>
      <c r="I198" s="80">
        <v>162</v>
      </c>
      <c r="J198" s="78">
        <f t="shared" si="6"/>
        <v>344.44</v>
      </c>
      <c r="K198" s="78">
        <f t="shared" si="7"/>
        <v>142.41999999999999</v>
      </c>
      <c r="L198" s="78">
        <f t="shared" si="8"/>
        <v>202.02</v>
      </c>
      <c r="M198" s="78">
        <f t="shared" si="9"/>
        <v>47272.76</v>
      </c>
      <c r="N198" s="78">
        <v>0</v>
      </c>
      <c r="O198" s="78">
        <f t="shared" si="11"/>
        <v>344.44</v>
      </c>
    </row>
    <row r="199" spans="1:15" ht="15" customHeight="1">
      <c r="A199" s="7">
        <v>163</v>
      </c>
      <c r="B199" s="70">
        <f t="shared" si="0"/>
        <v>345.51</v>
      </c>
      <c r="C199" s="70">
        <f t="shared" si="1"/>
        <v>174.1</v>
      </c>
      <c r="D199" s="70">
        <f t="shared" si="2"/>
        <v>171.41</v>
      </c>
      <c r="E199" s="70">
        <f t="shared" si="3"/>
        <v>57860.839999999975</v>
      </c>
      <c r="F199" s="78">
        <v>0</v>
      </c>
      <c r="G199" s="78">
        <f t="shared" si="5"/>
        <v>345.51</v>
      </c>
      <c r="I199" s="80">
        <v>163</v>
      </c>
      <c r="J199" s="78">
        <f t="shared" si="6"/>
        <v>343.84000000000003</v>
      </c>
      <c r="K199" s="78">
        <f t="shared" si="7"/>
        <v>141.82</v>
      </c>
      <c r="L199" s="78">
        <f t="shared" si="8"/>
        <v>202.02</v>
      </c>
      <c r="M199" s="78">
        <f t="shared" si="9"/>
        <v>47070.740000000005</v>
      </c>
      <c r="N199" s="78">
        <v>0</v>
      </c>
      <c r="O199" s="78">
        <f t="shared" si="11"/>
        <v>343.84000000000003</v>
      </c>
    </row>
    <row r="200" spans="1:15" ht="15" customHeight="1">
      <c r="A200" s="7">
        <v>164</v>
      </c>
      <c r="B200" s="70">
        <f t="shared" si="0"/>
        <v>345.51</v>
      </c>
      <c r="C200" s="70">
        <f t="shared" si="1"/>
        <v>173.58</v>
      </c>
      <c r="D200" s="70">
        <f t="shared" si="2"/>
        <v>171.92999999999998</v>
      </c>
      <c r="E200" s="70">
        <f t="shared" si="3"/>
        <v>57688.909999999974</v>
      </c>
      <c r="F200" s="78">
        <v>0</v>
      </c>
      <c r="G200" s="78">
        <f t="shared" si="5"/>
        <v>345.51</v>
      </c>
      <c r="I200" s="80">
        <v>164</v>
      </c>
      <c r="J200" s="78">
        <f t="shared" si="6"/>
        <v>343.23</v>
      </c>
      <c r="K200" s="78">
        <f t="shared" si="7"/>
        <v>141.21</v>
      </c>
      <c r="L200" s="78">
        <f t="shared" si="8"/>
        <v>202.02</v>
      </c>
      <c r="M200" s="78">
        <f t="shared" si="9"/>
        <v>46868.720000000008</v>
      </c>
      <c r="N200" s="78">
        <v>0</v>
      </c>
      <c r="O200" s="78">
        <f t="shared" si="11"/>
        <v>343.23</v>
      </c>
    </row>
    <row r="201" spans="1:15" ht="15" customHeight="1">
      <c r="A201" s="7">
        <v>165</v>
      </c>
      <c r="B201" s="70">
        <f t="shared" si="0"/>
        <v>345.51</v>
      </c>
      <c r="C201" s="70">
        <f t="shared" si="1"/>
        <v>173.07</v>
      </c>
      <c r="D201" s="70">
        <f t="shared" si="2"/>
        <v>172.44</v>
      </c>
      <c r="E201" s="70">
        <f t="shared" si="3"/>
        <v>57516.469999999972</v>
      </c>
      <c r="F201" s="78">
        <v>0</v>
      </c>
      <c r="G201" s="78">
        <f t="shared" si="5"/>
        <v>345.51</v>
      </c>
      <c r="I201" s="80">
        <v>165</v>
      </c>
      <c r="J201" s="78">
        <f t="shared" si="6"/>
        <v>342.63</v>
      </c>
      <c r="K201" s="78">
        <f t="shared" si="7"/>
        <v>140.61000000000001</v>
      </c>
      <c r="L201" s="78">
        <f t="shared" si="8"/>
        <v>202.02</v>
      </c>
      <c r="M201" s="78">
        <f t="shared" si="9"/>
        <v>46666.700000000012</v>
      </c>
      <c r="N201" s="78">
        <v>0</v>
      </c>
      <c r="O201" s="78">
        <f t="shared" si="11"/>
        <v>342.63</v>
      </c>
    </row>
    <row r="202" spans="1:15" ht="15" customHeight="1">
      <c r="A202" s="7">
        <v>166</v>
      </c>
      <c r="B202" s="70">
        <f t="shared" si="0"/>
        <v>345.51</v>
      </c>
      <c r="C202" s="70">
        <f t="shared" si="1"/>
        <v>172.55</v>
      </c>
      <c r="D202" s="70">
        <f t="shared" si="2"/>
        <v>172.95999999999998</v>
      </c>
      <c r="E202" s="70">
        <f t="shared" si="3"/>
        <v>57343.509999999973</v>
      </c>
      <c r="F202" s="78">
        <v>0</v>
      </c>
      <c r="G202" s="78">
        <f t="shared" si="5"/>
        <v>345.51</v>
      </c>
      <c r="I202" s="80">
        <v>166</v>
      </c>
      <c r="J202" s="78">
        <f t="shared" si="6"/>
        <v>342.02</v>
      </c>
      <c r="K202" s="78">
        <f t="shared" si="7"/>
        <v>140</v>
      </c>
      <c r="L202" s="78">
        <f t="shared" si="8"/>
        <v>202.02</v>
      </c>
      <c r="M202" s="78">
        <f t="shared" si="9"/>
        <v>46464.680000000015</v>
      </c>
      <c r="N202" s="78">
        <v>0</v>
      </c>
      <c r="O202" s="78">
        <f t="shared" si="11"/>
        <v>342.02</v>
      </c>
    </row>
    <row r="203" spans="1:15" ht="15" customHeight="1">
      <c r="A203" s="7">
        <v>167</v>
      </c>
      <c r="B203" s="70">
        <f t="shared" si="0"/>
        <v>345.51</v>
      </c>
      <c r="C203" s="70">
        <f t="shared" si="1"/>
        <v>172.03</v>
      </c>
      <c r="D203" s="70">
        <f t="shared" si="2"/>
        <v>173.48</v>
      </c>
      <c r="E203" s="70">
        <f t="shared" si="3"/>
        <v>57170.02999999997</v>
      </c>
      <c r="F203" s="78">
        <v>0</v>
      </c>
      <c r="G203" s="78">
        <f t="shared" si="5"/>
        <v>345.51</v>
      </c>
      <c r="I203" s="80">
        <v>167</v>
      </c>
      <c r="J203" s="78">
        <f t="shared" si="6"/>
        <v>341.40999999999997</v>
      </c>
      <c r="K203" s="78">
        <f t="shared" si="7"/>
        <v>139.38999999999999</v>
      </c>
      <c r="L203" s="78">
        <f t="shared" si="8"/>
        <v>202.02</v>
      </c>
      <c r="M203" s="78">
        <f t="shared" si="9"/>
        <v>46262.660000000018</v>
      </c>
      <c r="N203" s="78">
        <v>0</v>
      </c>
      <c r="O203" s="78">
        <f t="shared" si="11"/>
        <v>341.40999999999997</v>
      </c>
    </row>
    <row r="204" spans="1:15" ht="15" customHeight="1">
      <c r="A204" s="7">
        <v>168</v>
      </c>
      <c r="B204" s="70">
        <f t="shared" si="0"/>
        <v>345.51</v>
      </c>
      <c r="C204" s="70">
        <f t="shared" si="1"/>
        <v>171.51</v>
      </c>
      <c r="D204" s="70">
        <f t="shared" si="2"/>
        <v>174</v>
      </c>
      <c r="E204" s="70">
        <f t="shared" si="3"/>
        <v>56996.02999999997</v>
      </c>
      <c r="F204" s="78">
        <v>0</v>
      </c>
      <c r="G204" s="78">
        <f t="shared" si="5"/>
        <v>345.51</v>
      </c>
      <c r="I204" s="80">
        <v>168</v>
      </c>
      <c r="J204" s="78">
        <f t="shared" si="6"/>
        <v>340.81</v>
      </c>
      <c r="K204" s="78">
        <f t="shared" si="7"/>
        <v>138.79</v>
      </c>
      <c r="L204" s="78">
        <f t="shared" si="8"/>
        <v>202.02</v>
      </c>
      <c r="M204" s="78">
        <f t="shared" si="9"/>
        <v>46060.640000000021</v>
      </c>
      <c r="N204" s="78">
        <v>0</v>
      </c>
      <c r="O204" s="78">
        <f t="shared" si="11"/>
        <v>340.81</v>
      </c>
    </row>
    <row r="205" spans="1:15" ht="15" customHeight="1">
      <c r="A205" s="7">
        <v>169</v>
      </c>
      <c r="B205" s="70">
        <f t="shared" si="0"/>
        <v>345.51</v>
      </c>
      <c r="C205" s="70">
        <f t="shared" si="1"/>
        <v>170.99</v>
      </c>
      <c r="D205" s="70">
        <f t="shared" si="2"/>
        <v>174.51999999999998</v>
      </c>
      <c r="E205" s="70">
        <f t="shared" si="3"/>
        <v>56821.509999999973</v>
      </c>
      <c r="F205" s="78">
        <v>0</v>
      </c>
      <c r="G205" s="78">
        <f t="shared" si="5"/>
        <v>345.51</v>
      </c>
      <c r="I205" s="80">
        <v>169</v>
      </c>
      <c r="J205" s="78">
        <f t="shared" si="6"/>
        <v>340.20000000000005</v>
      </c>
      <c r="K205" s="78">
        <f t="shared" si="7"/>
        <v>138.18</v>
      </c>
      <c r="L205" s="78">
        <f t="shared" si="8"/>
        <v>202.02</v>
      </c>
      <c r="M205" s="78">
        <f t="shared" si="9"/>
        <v>45858.620000000024</v>
      </c>
      <c r="N205" s="78">
        <v>0</v>
      </c>
      <c r="O205" s="78">
        <f t="shared" si="11"/>
        <v>340.20000000000005</v>
      </c>
    </row>
    <row r="206" spans="1:15" ht="15" customHeight="1">
      <c r="A206" s="7">
        <v>170</v>
      </c>
      <c r="B206" s="70">
        <f t="shared" si="0"/>
        <v>345.51</v>
      </c>
      <c r="C206" s="70">
        <f t="shared" si="1"/>
        <v>170.46</v>
      </c>
      <c r="D206" s="70">
        <f t="shared" si="2"/>
        <v>175.04999999999998</v>
      </c>
      <c r="E206" s="70">
        <f t="shared" si="3"/>
        <v>56646.45999999997</v>
      </c>
      <c r="F206" s="78">
        <v>0</v>
      </c>
      <c r="G206" s="78">
        <f t="shared" si="5"/>
        <v>345.51</v>
      </c>
      <c r="I206" s="80">
        <v>170</v>
      </c>
      <c r="J206" s="78">
        <f t="shared" si="6"/>
        <v>339.6</v>
      </c>
      <c r="K206" s="78">
        <f t="shared" si="7"/>
        <v>137.58000000000001</v>
      </c>
      <c r="L206" s="78">
        <f t="shared" si="8"/>
        <v>202.02</v>
      </c>
      <c r="M206" s="78">
        <f t="shared" si="9"/>
        <v>45656.600000000028</v>
      </c>
      <c r="N206" s="78">
        <v>0</v>
      </c>
      <c r="O206" s="78">
        <f t="shared" si="11"/>
        <v>339.6</v>
      </c>
    </row>
    <row r="207" spans="1:15" ht="15" customHeight="1">
      <c r="A207" s="7">
        <v>171</v>
      </c>
      <c r="B207" s="70">
        <f t="shared" si="0"/>
        <v>345.51</v>
      </c>
      <c r="C207" s="70">
        <f t="shared" si="1"/>
        <v>169.94</v>
      </c>
      <c r="D207" s="70">
        <f t="shared" si="2"/>
        <v>175.57</v>
      </c>
      <c r="E207" s="70">
        <f t="shared" si="3"/>
        <v>56470.88999999997</v>
      </c>
      <c r="F207" s="78">
        <v>0</v>
      </c>
      <c r="G207" s="78">
        <f t="shared" si="5"/>
        <v>345.51</v>
      </c>
      <c r="I207" s="80">
        <v>171</v>
      </c>
      <c r="J207" s="78">
        <f t="shared" si="6"/>
        <v>338.99</v>
      </c>
      <c r="K207" s="78">
        <f t="shared" si="7"/>
        <v>136.97</v>
      </c>
      <c r="L207" s="78">
        <f t="shared" si="8"/>
        <v>202.02</v>
      </c>
      <c r="M207" s="78">
        <f t="shared" si="9"/>
        <v>45454.580000000031</v>
      </c>
      <c r="N207" s="78">
        <v>0</v>
      </c>
      <c r="O207" s="78">
        <f t="shared" si="11"/>
        <v>338.99</v>
      </c>
    </row>
    <row r="208" spans="1:15" ht="15" customHeight="1">
      <c r="A208" s="7">
        <v>172</v>
      </c>
      <c r="B208" s="70">
        <f t="shared" si="0"/>
        <v>345.51</v>
      </c>
      <c r="C208" s="70">
        <f t="shared" si="1"/>
        <v>169.41</v>
      </c>
      <c r="D208" s="70">
        <f t="shared" si="2"/>
        <v>176.1</v>
      </c>
      <c r="E208" s="70">
        <f t="shared" si="3"/>
        <v>56294.789999999972</v>
      </c>
      <c r="F208" s="78">
        <v>0</v>
      </c>
      <c r="G208" s="78">
        <f t="shared" si="5"/>
        <v>345.51</v>
      </c>
      <c r="I208" s="80">
        <v>172</v>
      </c>
      <c r="J208" s="78">
        <f t="shared" si="6"/>
        <v>338.38</v>
      </c>
      <c r="K208" s="78">
        <f t="shared" si="7"/>
        <v>136.36000000000001</v>
      </c>
      <c r="L208" s="78">
        <f t="shared" si="8"/>
        <v>202.02</v>
      </c>
      <c r="M208" s="78">
        <f t="shared" si="9"/>
        <v>45252.560000000034</v>
      </c>
      <c r="N208" s="78">
        <v>0</v>
      </c>
      <c r="O208" s="78">
        <f t="shared" si="11"/>
        <v>338.38</v>
      </c>
    </row>
    <row r="209" spans="1:15" ht="15" customHeight="1">
      <c r="A209" s="7">
        <v>173</v>
      </c>
      <c r="B209" s="70">
        <f t="shared" si="0"/>
        <v>345.51</v>
      </c>
      <c r="C209" s="70">
        <f t="shared" si="1"/>
        <v>168.88</v>
      </c>
      <c r="D209" s="70">
        <f t="shared" si="2"/>
        <v>176.63</v>
      </c>
      <c r="E209" s="70">
        <f t="shared" si="3"/>
        <v>56118.159999999974</v>
      </c>
      <c r="F209" s="78">
        <v>0</v>
      </c>
      <c r="G209" s="78">
        <f t="shared" si="5"/>
        <v>345.51</v>
      </c>
      <c r="I209" s="80">
        <v>173</v>
      </c>
      <c r="J209" s="78">
        <f t="shared" si="6"/>
        <v>337.78</v>
      </c>
      <c r="K209" s="78">
        <f t="shared" si="7"/>
        <v>135.76</v>
      </c>
      <c r="L209" s="78">
        <f t="shared" si="8"/>
        <v>202.02</v>
      </c>
      <c r="M209" s="78">
        <f t="shared" si="9"/>
        <v>45050.540000000037</v>
      </c>
      <c r="N209" s="78">
        <v>0</v>
      </c>
      <c r="O209" s="78">
        <f t="shared" si="11"/>
        <v>337.78</v>
      </c>
    </row>
    <row r="210" spans="1:15" ht="15" customHeight="1">
      <c r="A210" s="7">
        <v>174</v>
      </c>
      <c r="B210" s="70">
        <f t="shared" si="0"/>
        <v>345.51</v>
      </c>
      <c r="C210" s="70">
        <f t="shared" si="1"/>
        <v>168.35</v>
      </c>
      <c r="D210" s="70">
        <f t="shared" si="2"/>
        <v>177.16</v>
      </c>
      <c r="E210" s="70">
        <f t="shared" si="3"/>
        <v>55940.999999999971</v>
      </c>
      <c r="F210" s="78">
        <v>0</v>
      </c>
      <c r="G210" s="78">
        <f t="shared" si="5"/>
        <v>345.51</v>
      </c>
      <c r="I210" s="80">
        <v>174</v>
      </c>
      <c r="J210" s="78">
        <f t="shared" si="6"/>
        <v>337.17</v>
      </c>
      <c r="K210" s="78">
        <f t="shared" si="7"/>
        <v>135.15</v>
      </c>
      <c r="L210" s="78">
        <f t="shared" si="8"/>
        <v>202.02</v>
      </c>
      <c r="M210" s="78">
        <f t="shared" si="9"/>
        <v>44848.52000000004</v>
      </c>
      <c r="N210" s="78">
        <v>0</v>
      </c>
      <c r="O210" s="78">
        <f t="shared" si="11"/>
        <v>337.17</v>
      </c>
    </row>
    <row r="211" spans="1:15" ht="15" customHeight="1">
      <c r="A211" s="7">
        <v>175</v>
      </c>
      <c r="B211" s="70">
        <f t="shared" si="0"/>
        <v>345.51</v>
      </c>
      <c r="C211" s="70">
        <f t="shared" si="1"/>
        <v>167.82</v>
      </c>
      <c r="D211" s="70">
        <f t="shared" si="2"/>
        <v>177.69</v>
      </c>
      <c r="E211" s="70">
        <f t="shared" si="3"/>
        <v>55763.309999999969</v>
      </c>
      <c r="F211" s="78">
        <v>0</v>
      </c>
      <c r="G211" s="78">
        <f t="shared" si="5"/>
        <v>345.51</v>
      </c>
      <c r="I211" s="80">
        <v>175</v>
      </c>
      <c r="J211" s="78">
        <f t="shared" si="6"/>
        <v>336.57000000000005</v>
      </c>
      <c r="K211" s="78">
        <f t="shared" si="7"/>
        <v>134.55000000000001</v>
      </c>
      <c r="L211" s="78">
        <f t="shared" si="8"/>
        <v>202.02</v>
      </c>
      <c r="M211" s="78">
        <f t="shared" si="9"/>
        <v>44646.500000000044</v>
      </c>
      <c r="N211" s="78">
        <v>0</v>
      </c>
      <c r="O211" s="78">
        <f t="shared" si="11"/>
        <v>336.57000000000005</v>
      </c>
    </row>
    <row r="212" spans="1:15" ht="15" customHeight="1">
      <c r="A212" s="7">
        <v>176</v>
      </c>
      <c r="B212" s="70">
        <f t="shared" si="0"/>
        <v>345.51</v>
      </c>
      <c r="C212" s="70">
        <f t="shared" si="1"/>
        <v>167.29</v>
      </c>
      <c r="D212" s="70">
        <f t="shared" si="2"/>
        <v>178.22</v>
      </c>
      <c r="E212" s="70">
        <f t="shared" si="3"/>
        <v>55585.089999999967</v>
      </c>
      <c r="F212" s="78">
        <v>0</v>
      </c>
      <c r="G212" s="78">
        <f t="shared" si="5"/>
        <v>345.51</v>
      </c>
      <c r="I212" s="80">
        <v>176</v>
      </c>
      <c r="J212" s="78">
        <f t="shared" si="6"/>
        <v>335.96000000000004</v>
      </c>
      <c r="K212" s="78">
        <f t="shared" si="7"/>
        <v>133.94</v>
      </c>
      <c r="L212" s="78">
        <f t="shared" si="8"/>
        <v>202.02</v>
      </c>
      <c r="M212" s="78">
        <f t="shared" si="9"/>
        <v>44444.480000000047</v>
      </c>
      <c r="N212" s="78">
        <v>0</v>
      </c>
      <c r="O212" s="78">
        <f t="shared" si="11"/>
        <v>335.96000000000004</v>
      </c>
    </row>
    <row r="213" spans="1:15" ht="15" customHeight="1">
      <c r="A213" s="7">
        <v>177</v>
      </c>
      <c r="B213" s="70">
        <f t="shared" si="0"/>
        <v>345.51</v>
      </c>
      <c r="C213" s="70">
        <f t="shared" si="1"/>
        <v>166.76</v>
      </c>
      <c r="D213" s="70">
        <f t="shared" si="2"/>
        <v>178.75</v>
      </c>
      <c r="E213" s="70">
        <f t="shared" si="3"/>
        <v>55406.339999999967</v>
      </c>
      <c r="F213" s="78">
        <v>0</v>
      </c>
      <c r="G213" s="78">
        <f t="shared" si="5"/>
        <v>345.51</v>
      </c>
      <c r="I213" s="80">
        <v>177</v>
      </c>
      <c r="J213" s="78">
        <f t="shared" si="6"/>
        <v>335.35</v>
      </c>
      <c r="K213" s="78">
        <f t="shared" si="7"/>
        <v>133.33000000000001</v>
      </c>
      <c r="L213" s="78">
        <f t="shared" si="8"/>
        <v>202.02</v>
      </c>
      <c r="M213" s="78">
        <f t="shared" si="9"/>
        <v>44242.46000000005</v>
      </c>
      <c r="N213" s="78">
        <v>0</v>
      </c>
      <c r="O213" s="78">
        <f t="shared" si="11"/>
        <v>335.35</v>
      </c>
    </row>
    <row r="214" spans="1:15" ht="15" customHeight="1">
      <c r="A214" s="7">
        <v>178</v>
      </c>
      <c r="B214" s="70">
        <f t="shared" si="0"/>
        <v>345.51</v>
      </c>
      <c r="C214" s="70">
        <f t="shared" si="1"/>
        <v>166.22</v>
      </c>
      <c r="D214" s="70">
        <f t="shared" si="2"/>
        <v>179.29</v>
      </c>
      <c r="E214" s="70">
        <f t="shared" si="3"/>
        <v>55227.049999999967</v>
      </c>
      <c r="F214" s="78">
        <v>0</v>
      </c>
      <c r="G214" s="78">
        <f t="shared" si="5"/>
        <v>345.51</v>
      </c>
      <c r="I214" s="80">
        <v>178</v>
      </c>
      <c r="J214" s="78">
        <f t="shared" si="6"/>
        <v>334.75</v>
      </c>
      <c r="K214" s="78">
        <f t="shared" si="7"/>
        <v>132.72999999999999</v>
      </c>
      <c r="L214" s="78">
        <f t="shared" si="8"/>
        <v>202.02</v>
      </c>
      <c r="M214" s="78">
        <f t="shared" si="9"/>
        <v>44040.440000000053</v>
      </c>
      <c r="N214" s="78">
        <v>0</v>
      </c>
      <c r="O214" s="78">
        <f t="shared" si="11"/>
        <v>334.75</v>
      </c>
    </row>
    <row r="215" spans="1:15" ht="15" customHeight="1">
      <c r="A215" s="7">
        <v>179</v>
      </c>
      <c r="B215" s="70">
        <f t="shared" si="0"/>
        <v>345.51</v>
      </c>
      <c r="C215" s="70">
        <f t="shared" si="1"/>
        <v>165.68</v>
      </c>
      <c r="D215" s="70">
        <f t="shared" si="2"/>
        <v>179.82999999999998</v>
      </c>
      <c r="E215" s="70">
        <f t="shared" si="3"/>
        <v>55047.219999999965</v>
      </c>
      <c r="F215" s="78">
        <v>0</v>
      </c>
      <c r="G215" s="78">
        <f t="shared" si="5"/>
        <v>345.51</v>
      </c>
      <c r="I215" s="80">
        <v>179</v>
      </c>
      <c r="J215" s="78">
        <f t="shared" si="6"/>
        <v>334.14</v>
      </c>
      <c r="K215" s="78">
        <f t="shared" si="7"/>
        <v>132.12</v>
      </c>
      <c r="L215" s="78">
        <f t="shared" si="8"/>
        <v>202.02</v>
      </c>
      <c r="M215" s="78">
        <f t="shared" si="9"/>
        <v>43838.420000000056</v>
      </c>
      <c r="N215" s="78">
        <v>0</v>
      </c>
      <c r="O215" s="78">
        <f t="shared" si="11"/>
        <v>334.14</v>
      </c>
    </row>
    <row r="216" spans="1:15" ht="15" customHeight="1">
      <c r="A216" s="7">
        <v>180</v>
      </c>
      <c r="B216" s="70">
        <f t="shared" si="0"/>
        <v>345.51</v>
      </c>
      <c r="C216" s="70">
        <f t="shared" si="1"/>
        <v>165.14</v>
      </c>
      <c r="D216" s="70">
        <f t="shared" si="2"/>
        <v>180.37</v>
      </c>
      <c r="E216" s="70">
        <f t="shared" si="3"/>
        <v>54866.849999999962</v>
      </c>
      <c r="F216" s="78">
        <v>0</v>
      </c>
      <c r="G216" s="78">
        <f t="shared" si="5"/>
        <v>345.51</v>
      </c>
      <c r="I216" s="80">
        <v>180</v>
      </c>
      <c r="J216" s="78">
        <f t="shared" si="6"/>
        <v>333.54</v>
      </c>
      <c r="K216" s="78">
        <f t="shared" si="7"/>
        <v>131.52000000000001</v>
      </c>
      <c r="L216" s="78">
        <f t="shared" si="8"/>
        <v>202.02</v>
      </c>
      <c r="M216" s="78">
        <f t="shared" si="9"/>
        <v>43636.40000000006</v>
      </c>
      <c r="N216" s="78">
        <v>0</v>
      </c>
      <c r="O216" s="78">
        <f t="shared" si="11"/>
        <v>333.54</v>
      </c>
    </row>
    <row r="217" spans="1:15" ht="15" customHeight="1">
      <c r="A217" s="7">
        <v>181</v>
      </c>
      <c r="B217" s="70">
        <f t="shared" si="0"/>
        <v>345.51</v>
      </c>
      <c r="C217" s="70">
        <f t="shared" si="1"/>
        <v>164.6</v>
      </c>
      <c r="D217" s="70">
        <f t="shared" si="2"/>
        <v>180.91</v>
      </c>
      <c r="E217" s="70">
        <f t="shared" si="3"/>
        <v>54685.939999999959</v>
      </c>
      <c r="F217" s="78">
        <v>0</v>
      </c>
      <c r="G217" s="78">
        <f t="shared" si="5"/>
        <v>345.51</v>
      </c>
      <c r="I217" s="80">
        <v>181</v>
      </c>
      <c r="J217" s="78">
        <f t="shared" si="6"/>
        <v>332.93</v>
      </c>
      <c r="K217" s="78">
        <f t="shared" si="7"/>
        <v>130.91</v>
      </c>
      <c r="L217" s="78">
        <f t="shared" si="8"/>
        <v>202.02</v>
      </c>
      <c r="M217" s="78">
        <f t="shared" si="9"/>
        <v>43434.380000000063</v>
      </c>
      <c r="N217" s="78">
        <v>0</v>
      </c>
      <c r="O217" s="78">
        <f t="shared" si="11"/>
        <v>332.93</v>
      </c>
    </row>
    <row r="218" spans="1:15" ht="15" customHeight="1">
      <c r="A218" s="7">
        <v>182</v>
      </c>
      <c r="B218" s="70">
        <f t="shared" si="0"/>
        <v>345.51</v>
      </c>
      <c r="C218" s="70">
        <f t="shared" si="1"/>
        <v>164.06</v>
      </c>
      <c r="D218" s="70">
        <f t="shared" si="2"/>
        <v>181.45</v>
      </c>
      <c r="E218" s="70">
        <f t="shared" si="3"/>
        <v>54504.489999999962</v>
      </c>
      <c r="F218" s="78">
        <v>0</v>
      </c>
      <c r="G218" s="78">
        <f t="shared" si="5"/>
        <v>345.51</v>
      </c>
      <c r="I218" s="80">
        <v>182</v>
      </c>
      <c r="J218" s="78">
        <f t="shared" si="6"/>
        <v>332.32000000000005</v>
      </c>
      <c r="K218" s="78">
        <f t="shared" si="7"/>
        <v>130.30000000000001</v>
      </c>
      <c r="L218" s="78">
        <f t="shared" si="8"/>
        <v>202.02</v>
      </c>
      <c r="M218" s="78">
        <f t="shared" si="9"/>
        <v>43232.360000000066</v>
      </c>
      <c r="N218" s="78">
        <v>0</v>
      </c>
      <c r="O218" s="78">
        <f t="shared" si="11"/>
        <v>332.32000000000005</v>
      </c>
    </row>
    <row r="219" spans="1:15" ht="15" customHeight="1">
      <c r="A219" s="7">
        <v>183</v>
      </c>
      <c r="B219" s="70">
        <f t="shared" si="0"/>
        <v>345.51</v>
      </c>
      <c r="C219" s="70">
        <f t="shared" si="1"/>
        <v>163.51</v>
      </c>
      <c r="D219" s="70">
        <f t="shared" si="2"/>
        <v>182</v>
      </c>
      <c r="E219" s="70">
        <f t="shared" si="3"/>
        <v>54322.489999999962</v>
      </c>
      <c r="F219" s="78">
        <v>0</v>
      </c>
      <c r="G219" s="78">
        <f t="shared" si="5"/>
        <v>345.51</v>
      </c>
      <c r="I219" s="80">
        <v>183</v>
      </c>
      <c r="J219" s="78">
        <f t="shared" si="6"/>
        <v>331.72</v>
      </c>
      <c r="K219" s="78">
        <f t="shared" si="7"/>
        <v>129.69999999999999</v>
      </c>
      <c r="L219" s="78">
        <f t="shared" si="8"/>
        <v>202.02</v>
      </c>
      <c r="M219" s="78">
        <f t="shared" si="9"/>
        <v>43030.340000000069</v>
      </c>
      <c r="N219" s="78">
        <v>0</v>
      </c>
      <c r="O219" s="78">
        <f t="shared" si="11"/>
        <v>331.72</v>
      </c>
    </row>
    <row r="220" spans="1:15" ht="15" customHeight="1">
      <c r="A220" s="7">
        <v>184</v>
      </c>
      <c r="B220" s="70">
        <f t="shared" si="0"/>
        <v>345.51</v>
      </c>
      <c r="C220" s="70">
        <f t="shared" si="1"/>
        <v>162.97</v>
      </c>
      <c r="D220" s="70">
        <f t="shared" si="2"/>
        <v>182.54</v>
      </c>
      <c r="E220" s="70">
        <f t="shared" si="3"/>
        <v>54139.949999999961</v>
      </c>
      <c r="F220" s="78">
        <v>0</v>
      </c>
      <c r="G220" s="78">
        <f t="shared" si="5"/>
        <v>345.51</v>
      </c>
      <c r="I220" s="80">
        <v>184</v>
      </c>
      <c r="J220" s="78">
        <f t="shared" si="6"/>
        <v>331.11</v>
      </c>
      <c r="K220" s="78">
        <f t="shared" si="7"/>
        <v>129.09</v>
      </c>
      <c r="L220" s="78">
        <f t="shared" si="8"/>
        <v>202.02</v>
      </c>
      <c r="M220" s="78">
        <f t="shared" si="9"/>
        <v>42828.320000000072</v>
      </c>
      <c r="N220" s="78">
        <v>0</v>
      </c>
      <c r="O220" s="78">
        <f t="shared" si="11"/>
        <v>331.11</v>
      </c>
    </row>
    <row r="221" spans="1:15" ht="15" customHeight="1">
      <c r="A221" s="7">
        <v>185</v>
      </c>
      <c r="B221" s="70">
        <f t="shared" si="0"/>
        <v>345.51</v>
      </c>
      <c r="C221" s="70">
        <f t="shared" si="1"/>
        <v>162.41999999999999</v>
      </c>
      <c r="D221" s="70">
        <f t="shared" si="2"/>
        <v>183.09</v>
      </c>
      <c r="E221" s="70">
        <f t="shared" si="3"/>
        <v>53956.859999999964</v>
      </c>
      <c r="F221" s="78">
        <v>0</v>
      </c>
      <c r="G221" s="78">
        <f t="shared" si="5"/>
        <v>345.51</v>
      </c>
      <c r="I221" s="80">
        <v>185</v>
      </c>
      <c r="J221" s="78">
        <f t="shared" si="6"/>
        <v>330.5</v>
      </c>
      <c r="K221" s="78">
        <f t="shared" si="7"/>
        <v>128.47999999999999</v>
      </c>
      <c r="L221" s="78">
        <f t="shared" si="8"/>
        <v>202.02</v>
      </c>
      <c r="M221" s="78">
        <f t="shared" si="9"/>
        <v>42626.300000000076</v>
      </c>
      <c r="N221" s="78">
        <v>0</v>
      </c>
      <c r="O221" s="78">
        <f t="shared" si="11"/>
        <v>330.5</v>
      </c>
    </row>
    <row r="222" spans="1:15" ht="15" customHeight="1">
      <c r="A222" s="7">
        <v>186</v>
      </c>
      <c r="B222" s="70">
        <f t="shared" si="0"/>
        <v>345.51</v>
      </c>
      <c r="C222" s="70">
        <f t="shared" si="1"/>
        <v>161.87</v>
      </c>
      <c r="D222" s="70">
        <f t="shared" si="2"/>
        <v>183.64</v>
      </c>
      <c r="E222" s="70">
        <f t="shared" si="3"/>
        <v>53773.219999999965</v>
      </c>
      <c r="F222" s="78">
        <v>0</v>
      </c>
      <c r="G222" s="78">
        <f t="shared" si="5"/>
        <v>345.51</v>
      </c>
      <c r="I222" s="80">
        <v>186</v>
      </c>
      <c r="J222" s="78">
        <f t="shared" si="6"/>
        <v>329.9</v>
      </c>
      <c r="K222" s="78">
        <f t="shared" si="7"/>
        <v>127.88</v>
      </c>
      <c r="L222" s="78">
        <f t="shared" si="8"/>
        <v>202.02</v>
      </c>
      <c r="M222" s="78">
        <f t="shared" si="9"/>
        <v>42424.280000000079</v>
      </c>
      <c r="N222" s="78">
        <v>0</v>
      </c>
      <c r="O222" s="78">
        <f t="shared" si="11"/>
        <v>329.9</v>
      </c>
    </row>
    <row r="223" spans="1:15" ht="15" customHeight="1">
      <c r="A223" s="7">
        <v>187</v>
      </c>
      <c r="B223" s="70">
        <f t="shared" si="0"/>
        <v>345.51</v>
      </c>
      <c r="C223" s="70">
        <f t="shared" si="1"/>
        <v>161.32</v>
      </c>
      <c r="D223" s="70">
        <f t="shared" si="2"/>
        <v>184.19</v>
      </c>
      <c r="E223" s="70">
        <f t="shared" si="3"/>
        <v>53589.029999999962</v>
      </c>
      <c r="F223" s="78">
        <v>0</v>
      </c>
      <c r="G223" s="78">
        <f t="shared" si="5"/>
        <v>345.51</v>
      </c>
      <c r="I223" s="80">
        <v>187</v>
      </c>
      <c r="J223" s="78">
        <f t="shared" si="6"/>
        <v>329.29</v>
      </c>
      <c r="K223" s="78">
        <f t="shared" si="7"/>
        <v>127.27</v>
      </c>
      <c r="L223" s="78">
        <f t="shared" si="8"/>
        <v>202.02</v>
      </c>
      <c r="M223" s="78">
        <f t="shared" si="9"/>
        <v>42222.260000000082</v>
      </c>
      <c r="N223" s="78">
        <v>0</v>
      </c>
      <c r="O223" s="78">
        <f t="shared" si="11"/>
        <v>329.29</v>
      </c>
    </row>
    <row r="224" spans="1:15" ht="15" customHeight="1">
      <c r="A224" s="7">
        <v>188</v>
      </c>
      <c r="B224" s="70">
        <f t="shared" si="0"/>
        <v>345.51</v>
      </c>
      <c r="C224" s="70">
        <f t="shared" si="1"/>
        <v>160.77000000000001</v>
      </c>
      <c r="D224" s="70">
        <f t="shared" si="2"/>
        <v>184.73999999999998</v>
      </c>
      <c r="E224" s="70">
        <f t="shared" si="3"/>
        <v>53404.289999999964</v>
      </c>
      <c r="F224" s="78">
        <v>0</v>
      </c>
      <c r="G224" s="78">
        <f t="shared" si="5"/>
        <v>345.51</v>
      </c>
      <c r="I224" s="80">
        <v>188</v>
      </c>
      <c r="J224" s="78">
        <f t="shared" si="6"/>
        <v>328.69</v>
      </c>
      <c r="K224" s="78">
        <f t="shared" si="7"/>
        <v>126.67</v>
      </c>
      <c r="L224" s="78">
        <f t="shared" si="8"/>
        <v>202.02</v>
      </c>
      <c r="M224" s="78">
        <f t="shared" si="9"/>
        <v>42020.240000000085</v>
      </c>
      <c r="N224" s="78">
        <v>0</v>
      </c>
      <c r="O224" s="78">
        <f t="shared" si="11"/>
        <v>328.69</v>
      </c>
    </row>
    <row r="225" spans="1:15" ht="15" customHeight="1">
      <c r="A225" s="7">
        <v>189</v>
      </c>
      <c r="B225" s="70">
        <f t="shared" si="0"/>
        <v>345.51</v>
      </c>
      <c r="C225" s="70">
        <f t="shared" si="1"/>
        <v>160.21</v>
      </c>
      <c r="D225" s="70">
        <f t="shared" si="2"/>
        <v>185.29999999999998</v>
      </c>
      <c r="E225" s="70">
        <f t="shared" si="3"/>
        <v>53218.989999999962</v>
      </c>
      <c r="F225" s="78">
        <v>0</v>
      </c>
      <c r="G225" s="78">
        <f t="shared" si="5"/>
        <v>345.51</v>
      </c>
      <c r="I225" s="80">
        <v>189</v>
      </c>
      <c r="J225" s="78">
        <f t="shared" si="6"/>
        <v>328.08000000000004</v>
      </c>
      <c r="K225" s="78">
        <f t="shared" si="7"/>
        <v>126.06</v>
      </c>
      <c r="L225" s="78">
        <f t="shared" si="8"/>
        <v>202.02</v>
      </c>
      <c r="M225" s="78">
        <f t="shared" si="9"/>
        <v>41818.220000000088</v>
      </c>
      <c r="N225" s="78">
        <v>0</v>
      </c>
      <c r="O225" s="78">
        <f t="shared" si="11"/>
        <v>328.08000000000004</v>
      </c>
    </row>
    <row r="226" spans="1:15" ht="15" customHeight="1">
      <c r="A226" s="7">
        <v>190</v>
      </c>
      <c r="B226" s="70">
        <f t="shared" si="0"/>
        <v>345.51</v>
      </c>
      <c r="C226" s="70">
        <f t="shared" si="1"/>
        <v>159.66</v>
      </c>
      <c r="D226" s="70">
        <f t="shared" si="2"/>
        <v>185.85</v>
      </c>
      <c r="E226" s="70">
        <f t="shared" si="3"/>
        <v>53033.139999999963</v>
      </c>
      <c r="F226" s="78">
        <v>0</v>
      </c>
      <c r="G226" s="78">
        <f t="shared" si="5"/>
        <v>345.51</v>
      </c>
      <c r="I226" s="80">
        <v>190</v>
      </c>
      <c r="J226" s="78">
        <f t="shared" si="6"/>
        <v>327.47000000000003</v>
      </c>
      <c r="K226" s="78">
        <f t="shared" si="7"/>
        <v>125.45</v>
      </c>
      <c r="L226" s="78">
        <f t="shared" si="8"/>
        <v>202.02</v>
      </c>
      <c r="M226" s="78">
        <f t="shared" si="9"/>
        <v>41616.200000000092</v>
      </c>
      <c r="N226" s="78">
        <v>0</v>
      </c>
      <c r="O226" s="78">
        <f t="shared" si="11"/>
        <v>327.47000000000003</v>
      </c>
    </row>
    <row r="227" spans="1:15" ht="15" customHeight="1">
      <c r="A227" s="7">
        <v>191</v>
      </c>
      <c r="B227" s="70">
        <f t="shared" si="0"/>
        <v>345.51</v>
      </c>
      <c r="C227" s="70">
        <f t="shared" si="1"/>
        <v>159.1</v>
      </c>
      <c r="D227" s="70">
        <f t="shared" si="2"/>
        <v>186.41</v>
      </c>
      <c r="E227" s="70">
        <f t="shared" si="3"/>
        <v>52846.72999999996</v>
      </c>
      <c r="F227" s="78">
        <v>0</v>
      </c>
      <c r="G227" s="78">
        <f t="shared" si="5"/>
        <v>345.51</v>
      </c>
      <c r="I227" s="80">
        <v>191</v>
      </c>
      <c r="J227" s="78">
        <f t="shared" si="6"/>
        <v>326.87</v>
      </c>
      <c r="K227" s="78">
        <f t="shared" si="7"/>
        <v>124.85</v>
      </c>
      <c r="L227" s="78">
        <f t="shared" si="8"/>
        <v>202.02</v>
      </c>
      <c r="M227" s="78">
        <f t="shared" si="9"/>
        <v>41414.180000000095</v>
      </c>
      <c r="N227" s="78">
        <v>0</v>
      </c>
      <c r="O227" s="78">
        <f t="shared" si="11"/>
        <v>326.87</v>
      </c>
    </row>
    <row r="228" spans="1:15" ht="15" customHeight="1">
      <c r="A228" s="7">
        <v>192</v>
      </c>
      <c r="B228" s="70">
        <f t="shared" si="0"/>
        <v>345.51</v>
      </c>
      <c r="C228" s="70">
        <f t="shared" si="1"/>
        <v>158.54</v>
      </c>
      <c r="D228" s="70">
        <f t="shared" si="2"/>
        <v>186.97</v>
      </c>
      <c r="E228" s="70">
        <f t="shared" si="3"/>
        <v>52659.759999999958</v>
      </c>
      <c r="F228" s="78">
        <v>0</v>
      </c>
      <c r="G228" s="78">
        <f t="shared" si="5"/>
        <v>345.51</v>
      </c>
      <c r="I228" s="80">
        <v>192</v>
      </c>
      <c r="J228" s="78">
        <f t="shared" si="6"/>
        <v>326.26</v>
      </c>
      <c r="K228" s="78">
        <f t="shared" si="7"/>
        <v>124.24</v>
      </c>
      <c r="L228" s="78">
        <f t="shared" si="8"/>
        <v>202.02</v>
      </c>
      <c r="M228" s="78">
        <f t="shared" si="9"/>
        <v>41212.160000000098</v>
      </c>
      <c r="N228" s="78">
        <v>0</v>
      </c>
      <c r="O228" s="78">
        <f t="shared" si="11"/>
        <v>326.26</v>
      </c>
    </row>
    <row r="229" spans="1:15" ht="15" customHeight="1">
      <c r="A229" s="7">
        <v>193</v>
      </c>
      <c r="B229" s="70">
        <f t="shared" si="0"/>
        <v>345.51</v>
      </c>
      <c r="C229" s="70">
        <f t="shared" si="1"/>
        <v>157.97999999999999</v>
      </c>
      <c r="D229" s="70">
        <f t="shared" si="2"/>
        <v>187.53</v>
      </c>
      <c r="E229" s="70">
        <f t="shared" si="3"/>
        <v>52472.22999999996</v>
      </c>
      <c r="F229" s="78">
        <v>0</v>
      </c>
      <c r="G229" s="78">
        <f t="shared" si="5"/>
        <v>345.51</v>
      </c>
      <c r="I229" s="80">
        <v>193</v>
      </c>
      <c r="J229" s="78">
        <f t="shared" si="6"/>
        <v>325.66000000000003</v>
      </c>
      <c r="K229" s="78">
        <f t="shared" si="7"/>
        <v>123.64</v>
      </c>
      <c r="L229" s="78">
        <f t="shared" si="8"/>
        <v>202.02</v>
      </c>
      <c r="M229" s="78">
        <f t="shared" si="9"/>
        <v>41010.140000000101</v>
      </c>
      <c r="N229" s="78">
        <v>0</v>
      </c>
      <c r="O229" s="78">
        <f t="shared" si="11"/>
        <v>325.66000000000003</v>
      </c>
    </row>
    <row r="230" spans="1:15" ht="15" customHeight="1">
      <c r="A230" s="7">
        <v>194</v>
      </c>
      <c r="B230" s="70">
        <f t="shared" si="0"/>
        <v>345.51</v>
      </c>
      <c r="C230" s="70">
        <f t="shared" si="1"/>
        <v>157.41999999999999</v>
      </c>
      <c r="D230" s="70">
        <f t="shared" si="2"/>
        <v>188.09</v>
      </c>
      <c r="E230" s="70">
        <f t="shared" si="3"/>
        <v>52284.139999999963</v>
      </c>
      <c r="F230" s="78">
        <v>0</v>
      </c>
      <c r="G230" s="78">
        <f t="shared" si="5"/>
        <v>345.51</v>
      </c>
      <c r="I230" s="80">
        <v>194</v>
      </c>
      <c r="J230" s="78">
        <f t="shared" si="6"/>
        <v>325.05</v>
      </c>
      <c r="K230" s="78">
        <f t="shared" si="7"/>
        <v>123.03</v>
      </c>
      <c r="L230" s="78">
        <f t="shared" si="8"/>
        <v>202.02</v>
      </c>
      <c r="M230" s="78">
        <f t="shared" si="9"/>
        <v>40808.120000000104</v>
      </c>
      <c r="N230" s="78">
        <v>0</v>
      </c>
      <c r="O230" s="78">
        <f t="shared" si="11"/>
        <v>325.05</v>
      </c>
    </row>
    <row r="231" spans="1:15" ht="15" customHeight="1">
      <c r="A231" s="7">
        <v>195</v>
      </c>
      <c r="B231" s="70">
        <f t="shared" si="0"/>
        <v>345.51</v>
      </c>
      <c r="C231" s="70">
        <f t="shared" si="1"/>
        <v>156.85</v>
      </c>
      <c r="D231" s="70">
        <f t="shared" si="2"/>
        <v>188.66</v>
      </c>
      <c r="E231" s="70">
        <f t="shared" si="3"/>
        <v>52095.47999999996</v>
      </c>
      <c r="F231" s="78">
        <v>0</v>
      </c>
      <c r="G231" s="78">
        <f t="shared" si="5"/>
        <v>345.51</v>
      </c>
      <c r="I231" s="80">
        <v>195</v>
      </c>
      <c r="J231" s="78">
        <f t="shared" si="6"/>
        <v>324.44</v>
      </c>
      <c r="K231" s="78">
        <f t="shared" si="7"/>
        <v>122.42</v>
      </c>
      <c r="L231" s="78">
        <f t="shared" si="8"/>
        <v>202.02</v>
      </c>
      <c r="M231" s="78">
        <f t="shared" si="9"/>
        <v>40606.100000000108</v>
      </c>
      <c r="N231" s="78">
        <v>0</v>
      </c>
      <c r="O231" s="78">
        <f t="shared" si="11"/>
        <v>324.44</v>
      </c>
    </row>
    <row r="232" spans="1:15" ht="15" customHeight="1">
      <c r="A232" s="7">
        <v>196</v>
      </c>
      <c r="B232" s="70">
        <f t="shared" si="0"/>
        <v>345.51</v>
      </c>
      <c r="C232" s="70">
        <f t="shared" si="1"/>
        <v>156.29</v>
      </c>
      <c r="D232" s="70">
        <f t="shared" si="2"/>
        <v>189.22</v>
      </c>
      <c r="E232" s="70">
        <f t="shared" si="3"/>
        <v>51906.259999999958</v>
      </c>
      <c r="F232" s="78">
        <v>0</v>
      </c>
      <c r="G232" s="78">
        <f t="shared" si="5"/>
        <v>345.51</v>
      </c>
      <c r="I232" s="80">
        <v>196</v>
      </c>
      <c r="J232" s="78">
        <f t="shared" si="6"/>
        <v>323.84000000000003</v>
      </c>
      <c r="K232" s="78">
        <f t="shared" si="7"/>
        <v>121.82</v>
      </c>
      <c r="L232" s="78">
        <f t="shared" si="8"/>
        <v>202.02</v>
      </c>
      <c r="M232" s="78">
        <f t="shared" si="9"/>
        <v>40404.080000000111</v>
      </c>
      <c r="N232" s="78">
        <v>0</v>
      </c>
      <c r="O232" s="78">
        <f t="shared" si="11"/>
        <v>323.84000000000003</v>
      </c>
    </row>
    <row r="233" spans="1:15" ht="15" customHeight="1">
      <c r="A233" s="7">
        <v>197</v>
      </c>
      <c r="B233" s="70">
        <f t="shared" si="0"/>
        <v>345.51</v>
      </c>
      <c r="C233" s="70">
        <f t="shared" si="1"/>
        <v>155.72</v>
      </c>
      <c r="D233" s="70">
        <f t="shared" si="2"/>
        <v>189.79</v>
      </c>
      <c r="E233" s="70">
        <f t="shared" si="3"/>
        <v>51716.469999999958</v>
      </c>
      <c r="F233" s="78">
        <v>0</v>
      </c>
      <c r="G233" s="78">
        <f t="shared" si="5"/>
        <v>345.51</v>
      </c>
      <c r="I233" s="80">
        <v>197</v>
      </c>
      <c r="J233" s="78">
        <f t="shared" si="6"/>
        <v>323.23</v>
      </c>
      <c r="K233" s="78">
        <f t="shared" si="7"/>
        <v>121.21</v>
      </c>
      <c r="L233" s="78">
        <f t="shared" si="8"/>
        <v>202.02</v>
      </c>
      <c r="M233" s="78">
        <f t="shared" si="9"/>
        <v>40202.060000000114</v>
      </c>
      <c r="N233" s="78">
        <v>0</v>
      </c>
      <c r="O233" s="78">
        <f t="shared" si="11"/>
        <v>323.23</v>
      </c>
    </row>
    <row r="234" spans="1:15" ht="15" customHeight="1">
      <c r="A234" s="7">
        <v>198</v>
      </c>
      <c r="B234" s="70">
        <f t="shared" si="0"/>
        <v>345.51</v>
      </c>
      <c r="C234" s="70">
        <f t="shared" si="1"/>
        <v>155.15</v>
      </c>
      <c r="D234" s="70">
        <f t="shared" si="2"/>
        <v>190.35999999999999</v>
      </c>
      <c r="E234" s="70">
        <f t="shared" si="3"/>
        <v>51526.109999999957</v>
      </c>
      <c r="F234" s="78">
        <v>0</v>
      </c>
      <c r="G234" s="78">
        <f t="shared" si="5"/>
        <v>345.51</v>
      </c>
      <c r="I234" s="80">
        <v>198</v>
      </c>
      <c r="J234" s="78">
        <f t="shared" si="6"/>
        <v>322.63</v>
      </c>
      <c r="K234" s="78">
        <f t="shared" si="7"/>
        <v>120.61</v>
      </c>
      <c r="L234" s="78">
        <f t="shared" si="8"/>
        <v>202.02</v>
      </c>
      <c r="M234" s="78">
        <f t="shared" si="9"/>
        <v>40000.040000000117</v>
      </c>
      <c r="N234" s="78">
        <v>0</v>
      </c>
      <c r="O234" s="78">
        <f t="shared" si="11"/>
        <v>322.63</v>
      </c>
    </row>
    <row r="235" spans="1:15" ht="15" customHeight="1">
      <c r="A235" s="7">
        <v>199</v>
      </c>
      <c r="B235" s="70">
        <f t="shared" si="0"/>
        <v>345.51</v>
      </c>
      <c r="C235" s="70">
        <f t="shared" si="1"/>
        <v>154.58000000000001</v>
      </c>
      <c r="D235" s="70">
        <f t="shared" si="2"/>
        <v>190.92999999999998</v>
      </c>
      <c r="E235" s="70">
        <f t="shared" si="3"/>
        <v>51335.179999999957</v>
      </c>
      <c r="F235" s="78">
        <v>0</v>
      </c>
      <c r="G235" s="78">
        <f t="shared" si="5"/>
        <v>345.51</v>
      </c>
      <c r="I235" s="80">
        <v>199</v>
      </c>
      <c r="J235" s="78">
        <f t="shared" si="6"/>
        <v>322.02</v>
      </c>
      <c r="K235" s="78">
        <f t="shared" si="7"/>
        <v>120</v>
      </c>
      <c r="L235" s="78">
        <f t="shared" si="8"/>
        <v>202.02</v>
      </c>
      <c r="M235" s="78">
        <f t="shared" si="9"/>
        <v>39798.02000000012</v>
      </c>
      <c r="N235" s="78">
        <v>0</v>
      </c>
      <c r="O235" s="78">
        <f t="shared" si="11"/>
        <v>322.02</v>
      </c>
    </row>
    <row r="236" spans="1:15" ht="15" customHeight="1">
      <c r="A236" s="7">
        <v>200</v>
      </c>
      <c r="B236" s="70">
        <f t="shared" si="0"/>
        <v>345.51</v>
      </c>
      <c r="C236" s="70">
        <f t="shared" si="1"/>
        <v>154.01</v>
      </c>
      <c r="D236" s="70">
        <f t="shared" si="2"/>
        <v>191.5</v>
      </c>
      <c r="E236" s="70">
        <f t="shared" si="3"/>
        <v>51143.679999999957</v>
      </c>
      <c r="F236" s="78">
        <v>0</v>
      </c>
      <c r="G236" s="78">
        <f t="shared" si="5"/>
        <v>345.51</v>
      </c>
      <c r="I236" s="80">
        <v>200</v>
      </c>
      <c r="J236" s="78">
        <f t="shared" si="6"/>
        <v>321.41000000000003</v>
      </c>
      <c r="K236" s="78">
        <f t="shared" si="7"/>
        <v>119.39</v>
      </c>
      <c r="L236" s="78">
        <f t="shared" si="8"/>
        <v>202.02</v>
      </c>
      <c r="M236" s="78">
        <f t="shared" si="9"/>
        <v>39596.000000000124</v>
      </c>
      <c r="N236" s="78">
        <v>0</v>
      </c>
      <c r="O236" s="78">
        <f t="shared" si="11"/>
        <v>321.41000000000003</v>
      </c>
    </row>
    <row r="237" spans="1:15" ht="15" customHeight="1">
      <c r="A237" s="7">
        <v>201</v>
      </c>
      <c r="B237" s="70">
        <f t="shared" si="0"/>
        <v>345.51</v>
      </c>
      <c r="C237" s="70">
        <f t="shared" si="1"/>
        <v>153.43</v>
      </c>
      <c r="D237" s="70">
        <f t="shared" si="2"/>
        <v>192.07999999999998</v>
      </c>
      <c r="E237" s="70">
        <f t="shared" si="3"/>
        <v>50951.599999999955</v>
      </c>
      <c r="F237" s="78">
        <v>0</v>
      </c>
      <c r="G237" s="78">
        <f t="shared" si="5"/>
        <v>345.51</v>
      </c>
      <c r="I237" s="80">
        <v>201</v>
      </c>
      <c r="J237" s="78">
        <f t="shared" si="6"/>
        <v>320.81</v>
      </c>
      <c r="K237" s="78">
        <f t="shared" si="7"/>
        <v>118.79</v>
      </c>
      <c r="L237" s="78">
        <f t="shared" si="8"/>
        <v>202.02</v>
      </c>
      <c r="M237" s="78">
        <f t="shared" si="9"/>
        <v>39393.980000000127</v>
      </c>
      <c r="N237" s="78">
        <v>0</v>
      </c>
      <c r="O237" s="78">
        <f t="shared" si="11"/>
        <v>320.81</v>
      </c>
    </row>
    <row r="238" spans="1:15" ht="15" customHeight="1">
      <c r="A238" s="7">
        <v>202</v>
      </c>
      <c r="B238" s="70">
        <f t="shared" si="0"/>
        <v>345.51</v>
      </c>
      <c r="C238" s="70">
        <f t="shared" si="1"/>
        <v>152.85</v>
      </c>
      <c r="D238" s="70">
        <f t="shared" si="2"/>
        <v>192.66</v>
      </c>
      <c r="E238" s="70">
        <f t="shared" si="3"/>
        <v>50758.939999999951</v>
      </c>
      <c r="F238" s="78">
        <v>0</v>
      </c>
      <c r="G238" s="78">
        <f t="shared" si="5"/>
        <v>345.51</v>
      </c>
      <c r="I238" s="80">
        <v>202</v>
      </c>
      <c r="J238" s="78">
        <f t="shared" si="6"/>
        <v>320.20000000000005</v>
      </c>
      <c r="K238" s="78">
        <f t="shared" si="7"/>
        <v>118.18</v>
      </c>
      <c r="L238" s="78">
        <f t="shared" si="8"/>
        <v>202.02</v>
      </c>
      <c r="M238" s="78">
        <f t="shared" si="9"/>
        <v>39191.96000000013</v>
      </c>
      <c r="N238" s="78">
        <v>0</v>
      </c>
      <c r="O238" s="78">
        <f t="shared" si="11"/>
        <v>320.20000000000005</v>
      </c>
    </row>
    <row r="239" spans="1:15" ht="15" customHeight="1">
      <c r="A239" s="7">
        <v>203</v>
      </c>
      <c r="B239" s="70">
        <f t="shared" si="0"/>
        <v>345.51</v>
      </c>
      <c r="C239" s="70">
        <f t="shared" si="1"/>
        <v>152.28</v>
      </c>
      <c r="D239" s="70">
        <f t="shared" si="2"/>
        <v>193.23</v>
      </c>
      <c r="E239" s="70">
        <f t="shared" si="3"/>
        <v>50565.709999999948</v>
      </c>
      <c r="F239" s="78">
        <v>0</v>
      </c>
      <c r="G239" s="78">
        <f t="shared" si="5"/>
        <v>345.51</v>
      </c>
      <c r="I239" s="80">
        <v>203</v>
      </c>
      <c r="J239" s="78">
        <f t="shared" si="6"/>
        <v>319.60000000000002</v>
      </c>
      <c r="K239" s="78">
        <f t="shared" si="7"/>
        <v>117.58</v>
      </c>
      <c r="L239" s="78">
        <f t="shared" si="8"/>
        <v>202.02</v>
      </c>
      <c r="M239" s="78">
        <f t="shared" si="9"/>
        <v>38989.940000000133</v>
      </c>
      <c r="N239" s="78">
        <v>0</v>
      </c>
      <c r="O239" s="78">
        <f t="shared" si="11"/>
        <v>319.60000000000002</v>
      </c>
    </row>
    <row r="240" spans="1:15" ht="15" customHeight="1">
      <c r="A240" s="7">
        <v>204</v>
      </c>
      <c r="B240" s="70">
        <f t="shared" si="0"/>
        <v>345.51</v>
      </c>
      <c r="C240" s="70">
        <f t="shared" si="1"/>
        <v>151.69999999999999</v>
      </c>
      <c r="D240" s="70">
        <f t="shared" si="2"/>
        <v>193.81</v>
      </c>
      <c r="E240" s="70">
        <f t="shared" si="3"/>
        <v>50371.899999999951</v>
      </c>
      <c r="F240" s="78">
        <v>0</v>
      </c>
      <c r="G240" s="78">
        <f t="shared" si="5"/>
        <v>345.51</v>
      </c>
      <c r="I240" s="80">
        <v>204</v>
      </c>
      <c r="J240" s="78">
        <f t="shared" si="6"/>
        <v>318.99</v>
      </c>
      <c r="K240" s="78">
        <f t="shared" si="7"/>
        <v>116.97</v>
      </c>
      <c r="L240" s="78">
        <f t="shared" si="8"/>
        <v>202.02</v>
      </c>
      <c r="M240" s="78">
        <f t="shared" si="9"/>
        <v>38787.920000000136</v>
      </c>
      <c r="N240" s="78">
        <v>0</v>
      </c>
      <c r="O240" s="78">
        <f t="shared" si="11"/>
        <v>318.99</v>
      </c>
    </row>
    <row r="241" spans="1:15" ht="15" customHeight="1">
      <c r="A241" s="7">
        <v>205</v>
      </c>
      <c r="B241" s="70">
        <f t="shared" si="0"/>
        <v>345.51</v>
      </c>
      <c r="C241" s="70">
        <f t="shared" si="1"/>
        <v>151.12</v>
      </c>
      <c r="D241" s="70">
        <f t="shared" si="2"/>
        <v>194.39</v>
      </c>
      <c r="E241" s="70">
        <f t="shared" si="3"/>
        <v>50177.509999999951</v>
      </c>
      <c r="F241" s="78">
        <v>0</v>
      </c>
      <c r="G241" s="78">
        <f t="shared" si="5"/>
        <v>345.51</v>
      </c>
      <c r="I241" s="80">
        <v>205</v>
      </c>
      <c r="J241" s="78">
        <f t="shared" si="6"/>
        <v>318.38</v>
      </c>
      <c r="K241" s="78">
        <f t="shared" si="7"/>
        <v>116.36</v>
      </c>
      <c r="L241" s="78">
        <f t="shared" si="8"/>
        <v>202.02</v>
      </c>
      <c r="M241" s="78">
        <f t="shared" si="9"/>
        <v>38585.90000000014</v>
      </c>
      <c r="N241" s="78">
        <v>0</v>
      </c>
      <c r="O241" s="78">
        <f t="shared" si="11"/>
        <v>318.38</v>
      </c>
    </row>
    <row r="242" spans="1:15" ht="15" customHeight="1">
      <c r="A242" s="7">
        <v>206</v>
      </c>
      <c r="B242" s="70">
        <f t="shared" si="0"/>
        <v>345.51</v>
      </c>
      <c r="C242" s="70">
        <f t="shared" si="1"/>
        <v>150.53</v>
      </c>
      <c r="D242" s="70">
        <f t="shared" si="2"/>
        <v>194.98</v>
      </c>
      <c r="E242" s="70">
        <f t="shared" si="3"/>
        <v>49982.529999999948</v>
      </c>
      <c r="F242" s="78">
        <v>0</v>
      </c>
      <c r="G242" s="78">
        <f t="shared" si="5"/>
        <v>345.51</v>
      </c>
      <c r="I242" s="80">
        <v>206</v>
      </c>
      <c r="J242" s="78">
        <f t="shared" si="6"/>
        <v>317.78000000000003</v>
      </c>
      <c r="K242" s="78">
        <f t="shared" si="7"/>
        <v>115.76</v>
      </c>
      <c r="L242" s="78">
        <f t="shared" si="8"/>
        <v>202.02</v>
      </c>
      <c r="M242" s="78">
        <f t="shared" si="9"/>
        <v>38383.880000000143</v>
      </c>
      <c r="N242" s="78">
        <v>0</v>
      </c>
      <c r="O242" s="78">
        <f t="shared" si="11"/>
        <v>317.78000000000003</v>
      </c>
    </row>
    <row r="243" spans="1:15" ht="15" customHeight="1">
      <c r="A243" s="7">
        <v>207</v>
      </c>
      <c r="B243" s="70">
        <f t="shared" si="0"/>
        <v>345.51</v>
      </c>
      <c r="C243" s="70">
        <f t="shared" si="1"/>
        <v>149.94999999999999</v>
      </c>
      <c r="D243" s="70">
        <f t="shared" si="2"/>
        <v>195.56</v>
      </c>
      <c r="E243" s="70">
        <f t="shared" si="3"/>
        <v>49786.96999999995</v>
      </c>
      <c r="F243" s="78">
        <v>0</v>
      </c>
      <c r="G243" s="78">
        <f t="shared" si="5"/>
        <v>345.51</v>
      </c>
      <c r="I243" s="80">
        <v>207</v>
      </c>
      <c r="J243" s="78">
        <f t="shared" si="6"/>
        <v>317.17</v>
      </c>
      <c r="K243" s="78">
        <f t="shared" si="7"/>
        <v>115.15</v>
      </c>
      <c r="L243" s="78">
        <f t="shared" si="8"/>
        <v>202.02</v>
      </c>
      <c r="M243" s="78">
        <f t="shared" si="9"/>
        <v>38181.860000000146</v>
      </c>
      <c r="N243" s="78">
        <v>0</v>
      </c>
      <c r="O243" s="78">
        <f t="shared" si="11"/>
        <v>317.17</v>
      </c>
    </row>
    <row r="244" spans="1:15" ht="15" customHeight="1">
      <c r="A244" s="7">
        <v>208</v>
      </c>
      <c r="B244" s="70">
        <f t="shared" si="0"/>
        <v>345.51</v>
      </c>
      <c r="C244" s="70">
        <f t="shared" si="1"/>
        <v>149.36000000000001</v>
      </c>
      <c r="D244" s="70">
        <f t="shared" si="2"/>
        <v>196.14999999999998</v>
      </c>
      <c r="E244" s="70">
        <f t="shared" si="3"/>
        <v>49590.819999999949</v>
      </c>
      <c r="F244" s="78">
        <v>0</v>
      </c>
      <c r="G244" s="78">
        <f t="shared" si="5"/>
        <v>345.51</v>
      </c>
      <c r="I244" s="80">
        <v>208</v>
      </c>
      <c r="J244" s="78">
        <f t="shared" si="6"/>
        <v>316.57</v>
      </c>
      <c r="K244" s="78">
        <f t="shared" si="7"/>
        <v>114.55</v>
      </c>
      <c r="L244" s="78">
        <f t="shared" si="8"/>
        <v>202.02</v>
      </c>
      <c r="M244" s="78">
        <f t="shared" si="9"/>
        <v>37979.840000000149</v>
      </c>
      <c r="N244" s="78">
        <v>0</v>
      </c>
      <c r="O244" s="78">
        <f t="shared" si="11"/>
        <v>316.57</v>
      </c>
    </row>
    <row r="245" spans="1:15" ht="15" customHeight="1">
      <c r="A245" s="7">
        <v>209</v>
      </c>
      <c r="B245" s="70">
        <f t="shared" si="0"/>
        <v>345.51</v>
      </c>
      <c r="C245" s="70">
        <f t="shared" si="1"/>
        <v>148.77000000000001</v>
      </c>
      <c r="D245" s="70">
        <f t="shared" si="2"/>
        <v>196.73999999999998</v>
      </c>
      <c r="E245" s="70">
        <f t="shared" si="3"/>
        <v>49394.079999999951</v>
      </c>
      <c r="F245" s="78">
        <v>0</v>
      </c>
      <c r="G245" s="78">
        <f t="shared" si="5"/>
        <v>345.51</v>
      </c>
      <c r="I245" s="80">
        <v>209</v>
      </c>
      <c r="J245" s="78">
        <f t="shared" si="6"/>
        <v>315.96000000000004</v>
      </c>
      <c r="K245" s="78">
        <f t="shared" si="7"/>
        <v>113.94</v>
      </c>
      <c r="L245" s="78">
        <f t="shared" si="8"/>
        <v>202.02</v>
      </c>
      <c r="M245" s="78">
        <f t="shared" si="9"/>
        <v>37777.820000000153</v>
      </c>
      <c r="N245" s="78">
        <v>0</v>
      </c>
      <c r="O245" s="78">
        <f t="shared" si="11"/>
        <v>315.96000000000004</v>
      </c>
    </row>
    <row r="246" spans="1:15" ht="15" customHeight="1">
      <c r="A246" s="7">
        <v>210</v>
      </c>
      <c r="B246" s="70">
        <f t="shared" si="0"/>
        <v>345.51</v>
      </c>
      <c r="C246" s="70">
        <f t="shared" si="1"/>
        <v>148.18</v>
      </c>
      <c r="D246" s="70">
        <f t="shared" si="2"/>
        <v>197.32999999999998</v>
      </c>
      <c r="E246" s="70">
        <f t="shared" si="3"/>
        <v>49196.749999999949</v>
      </c>
      <c r="F246" s="78">
        <v>0</v>
      </c>
      <c r="G246" s="78">
        <f t="shared" si="5"/>
        <v>345.51</v>
      </c>
      <c r="I246" s="80">
        <v>210</v>
      </c>
      <c r="J246" s="78">
        <f t="shared" si="6"/>
        <v>315.35000000000002</v>
      </c>
      <c r="K246" s="78">
        <f t="shared" si="7"/>
        <v>113.33</v>
      </c>
      <c r="L246" s="78">
        <f t="shared" si="8"/>
        <v>202.02</v>
      </c>
      <c r="M246" s="78">
        <f t="shared" si="9"/>
        <v>37575.800000000156</v>
      </c>
      <c r="N246" s="78">
        <v>0</v>
      </c>
      <c r="O246" s="78">
        <f t="shared" si="11"/>
        <v>315.35000000000002</v>
      </c>
    </row>
    <row r="247" spans="1:15" ht="15" customHeight="1">
      <c r="A247" s="7">
        <v>211</v>
      </c>
      <c r="B247" s="70">
        <f t="shared" si="0"/>
        <v>345.51</v>
      </c>
      <c r="C247" s="70">
        <f t="shared" si="1"/>
        <v>147.59</v>
      </c>
      <c r="D247" s="70">
        <f t="shared" si="2"/>
        <v>197.92</v>
      </c>
      <c r="E247" s="70">
        <f t="shared" si="3"/>
        <v>48998.829999999951</v>
      </c>
      <c r="F247" s="78">
        <v>0</v>
      </c>
      <c r="G247" s="78">
        <f t="shared" si="5"/>
        <v>345.51</v>
      </c>
      <c r="I247" s="80">
        <v>211</v>
      </c>
      <c r="J247" s="78">
        <f t="shared" si="6"/>
        <v>314.75</v>
      </c>
      <c r="K247" s="78">
        <f t="shared" si="7"/>
        <v>112.73</v>
      </c>
      <c r="L247" s="78">
        <f t="shared" si="8"/>
        <v>202.02</v>
      </c>
      <c r="M247" s="78">
        <f t="shared" si="9"/>
        <v>37373.780000000159</v>
      </c>
      <c r="N247" s="78">
        <v>0</v>
      </c>
      <c r="O247" s="78">
        <f t="shared" si="11"/>
        <v>314.75</v>
      </c>
    </row>
    <row r="248" spans="1:15" ht="15" customHeight="1">
      <c r="A248" s="7">
        <v>212</v>
      </c>
      <c r="B248" s="70">
        <f t="shared" si="0"/>
        <v>345.51</v>
      </c>
      <c r="C248" s="70">
        <f t="shared" si="1"/>
        <v>147</v>
      </c>
      <c r="D248" s="70">
        <f t="shared" si="2"/>
        <v>198.51</v>
      </c>
      <c r="E248" s="70">
        <f t="shared" si="3"/>
        <v>48800.319999999949</v>
      </c>
      <c r="F248" s="78">
        <v>0</v>
      </c>
      <c r="G248" s="78">
        <f t="shared" si="5"/>
        <v>345.51</v>
      </c>
      <c r="I248" s="80">
        <v>212</v>
      </c>
      <c r="J248" s="78">
        <f t="shared" si="6"/>
        <v>314.14</v>
      </c>
      <c r="K248" s="78">
        <f t="shared" si="7"/>
        <v>112.12</v>
      </c>
      <c r="L248" s="78">
        <f t="shared" si="8"/>
        <v>202.02</v>
      </c>
      <c r="M248" s="78">
        <f t="shared" si="9"/>
        <v>37171.760000000162</v>
      </c>
      <c r="N248" s="78">
        <v>0</v>
      </c>
      <c r="O248" s="78">
        <f t="shared" si="11"/>
        <v>314.14</v>
      </c>
    </row>
    <row r="249" spans="1:15" ht="15" customHeight="1">
      <c r="A249" s="7">
        <v>213</v>
      </c>
      <c r="B249" s="70">
        <f t="shared" si="0"/>
        <v>345.51</v>
      </c>
      <c r="C249" s="70">
        <f t="shared" si="1"/>
        <v>146.4</v>
      </c>
      <c r="D249" s="70">
        <f t="shared" si="2"/>
        <v>199.10999999999999</v>
      </c>
      <c r="E249" s="70">
        <f t="shared" si="3"/>
        <v>48601.209999999948</v>
      </c>
      <c r="F249" s="78">
        <v>0</v>
      </c>
      <c r="G249" s="78">
        <f t="shared" si="5"/>
        <v>345.51</v>
      </c>
      <c r="I249" s="80">
        <v>213</v>
      </c>
      <c r="J249" s="78">
        <f t="shared" si="6"/>
        <v>313.54000000000002</v>
      </c>
      <c r="K249" s="78">
        <f t="shared" si="7"/>
        <v>111.52</v>
      </c>
      <c r="L249" s="78">
        <f t="shared" si="8"/>
        <v>202.02</v>
      </c>
      <c r="M249" s="78">
        <f t="shared" si="9"/>
        <v>36969.740000000165</v>
      </c>
      <c r="N249" s="78">
        <v>0</v>
      </c>
      <c r="O249" s="78">
        <f t="shared" si="11"/>
        <v>313.54000000000002</v>
      </c>
    </row>
    <row r="250" spans="1:15" ht="15" customHeight="1">
      <c r="A250" s="7">
        <v>214</v>
      </c>
      <c r="B250" s="70">
        <f t="shared" si="0"/>
        <v>345.51</v>
      </c>
      <c r="C250" s="70">
        <f t="shared" si="1"/>
        <v>145.80000000000001</v>
      </c>
      <c r="D250" s="70">
        <f t="shared" si="2"/>
        <v>199.70999999999998</v>
      </c>
      <c r="E250" s="70">
        <f t="shared" si="3"/>
        <v>48401.499999999949</v>
      </c>
      <c r="F250" s="78">
        <v>0</v>
      </c>
      <c r="G250" s="78">
        <f t="shared" si="5"/>
        <v>345.51</v>
      </c>
      <c r="I250" s="80">
        <v>214</v>
      </c>
      <c r="J250" s="78">
        <f t="shared" si="6"/>
        <v>312.93</v>
      </c>
      <c r="K250" s="78">
        <f t="shared" si="7"/>
        <v>110.91</v>
      </c>
      <c r="L250" s="78">
        <f t="shared" si="8"/>
        <v>202.02</v>
      </c>
      <c r="M250" s="78">
        <f t="shared" si="9"/>
        <v>36767.720000000169</v>
      </c>
      <c r="N250" s="78">
        <v>0</v>
      </c>
      <c r="O250" s="78">
        <f t="shared" si="11"/>
        <v>312.93</v>
      </c>
    </row>
    <row r="251" spans="1:15" ht="15" customHeight="1">
      <c r="A251" s="7">
        <v>215</v>
      </c>
      <c r="B251" s="70">
        <f t="shared" si="0"/>
        <v>345.51</v>
      </c>
      <c r="C251" s="70">
        <f t="shared" si="1"/>
        <v>145.19999999999999</v>
      </c>
      <c r="D251" s="70">
        <f t="shared" si="2"/>
        <v>200.31</v>
      </c>
      <c r="E251" s="70">
        <f t="shared" si="3"/>
        <v>48201.189999999951</v>
      </c>
      <c r="F251" s="78">
        <v>0</v>
      </c>
      <c r="G251" s="78">
        <f t="shared" si="5"/>
        <v>345.51</v>
      </c>
      <c r="I251" s="80">
        <v>215</v>
      </c>
      <c r="J251" s="78">
        <f t="shared" si="6"/>
        <v>312.32</v>
      </c>
      <c r="K251" s="78">
        <f t="shared" si="7"/>
        <v>110.3</v>
      </c>
      <c r="L251" s="78">
        <f t="shared" si="8"/>
        <v>202.02</v>
      </c>
      <c r="M251" s="78">
        <f t="shared" si="9"/>
        <v>36565.700000000172</v>
      </c>
      <c r="N251" s="78">
        <v>0</v>
      </c>
      <c r="O251" s="78">
        <f t="shared" si="11"/>
        <v>312.32</v>
      </c>
    </row>
    <row r="252" spans="1:15" ht="15" customHeight="1">
      <c r="A252" s="7">
        <v>216</v>
      </c>
      <c r="B252" s="70">
        <f t="shared" si="0"/>
        <v>345.51</v>
      </c>
      <c r="C252" s="70">
        <f t="shared" si="1"/>
        <v>144.6</v>
      </c>
      <c r="D252" s="70">
        <f t="shared" si="2"/>
        <v>200.91</v>
      </c>
      <c r="E252" s="70">
        <f t="shared" si="3"/>
        <v>48000.279999999948</v>
      </c>
      <c r="F252" s="78">
        <v>0</v>
      </c>
      <c r="G252" s="78">
        <f t="shared" si="5"/>
        <v>345.51</v>
      </c>
      <c r="I252" s="80">
        <v>216</v>
      </c>
      <c r="J252" s="78">
        <f t="shared" si="6"/>
        <v>311.72000000000003</v>
      </c>
      <c r="K252" s="78">
        <f t="shared" si="7"/>
        <v>109.7</v>
      </c>
      <c r="L252" s="78">
        <f t="shared" si="8"/>
        <v>202.02</v>
      </c>
      <c r="M252" s="78">
        <f t="shared" si="9"/>
        <v>36363.680000000175</v>
      </c>
      <c r="N252" s="78">
        <v>0</v>
      </c>
      <c r="O252" s="78">
        <f t="shared" si="11"/>
        <v>311.72000000000003</v>
      </c>
    </row>
    <row r="253" spans="1:15" ht="15" customHeight="1">
      <c r="A253" s="7">
        <v>217</v>
      </c>
      <c r="B253" s="70">
        <f t="shared" si="0"/>
        <v>345.51</v>
      </c>
      <c r="C253" s="70">
        <f t="shared" si="1"/>
        <v>144</v>
      </c>
      <c r="D253" s="70">
        <f t="shared" si="2"/>
        <v>201.51</v>
      </c>
      <c r="E253" s="70">
        <f t="shared" si="3"/>
        <v>47798.769999999946</v>
      </c>
      <c r="F253" s="78">
        <v>0</v>
      </c>
      <c r="G253" s="78">
        <f t="shared" si="5"/>
        <v>345.51</v>
      </c>
      <c r="I253" s="80">
        <v>217</v>
      </c>
      <c r="J253" s="78">
        <f t="shared" si="6"/>
        <v>311.11</v>
      </c>
      <c r="K253" s="78">
        <f t="shared" si="7"/>
        <v>109.09</v>
      </c>
      <c r="L253" s="78">
        <f t="shared" si="8"/>
        <v>202.02</v>
      </c>
      <c r="M253" s="78">
        <f t="shared" si="9"/>
        <v>36161.660000000178</v>
      </c>
      <c r="N253" s="78">
        <v>0</v>
      </c>
      <c r="O253" s="78">
        <f t="shared" si="11"/>
        <v>311.11</v>
      </c>
    </row>
    <row r="254" spans="1:15" ht="15" customHeight="1">
      <c r="A254" s="7">
        <v>218</v>
      </c>
      <c r="B254" s="70">
        <f t="shared" si="0"/>
        <v>345.51</v>
      </c>
      <c r="C254" s="70">
        <f t="shared" si="1"/>
        <v>143.4</v>
      </c>
      <c r="D254" s="70">
        <f t="shared" si="2"/>
        <v>202.10999999999999</v>
      </c>
      <c r="E254" s="70">
        <f t="shared" si="3"/>
        <v>47596.659999999945</v>
      </c>
      <c r="F254" s="78">
        <v>0</v>
      </c>
      <c r="G254" s="78">
        <f t="shared" si="5"/>
        <v>345.51</v>
      </c>
      <c r="I254" s="80">
        <v>218</v>
      </c>
      <c r="J254" s="78">
        <f t="shared" si="6"/>
        <v>310.5</v>
      </c>
      <c r="K254" s="78">
        <f t="shared" si="7"/>
        <v>108.48</v>
      </c>
      <c r="L254" s="78">
        <f t="shared" si="8"/>
        <v>202.02</v>
      </c>
      <c r="M254" s="78">
        <f t="shared" si="9"/>
        <v>35959.640000000181</v>
      </c>
      <c r="N254" s="78">
        <v>0</v>
      </c>
      <c r="O254" s="78">
        <f t="shared" si="11"/>
        <v>310.5</v>
      </c>
    </row>
    <row r="255" spans="1:15" ht="15" customHeight="1">
      <c r="A255" s="7">
        <v>219</v>
      </c>
      <c r="B255" s="70">
        <f t="shared" si="0"/>
        <v>345.51</v>
      </c>
      <c r="C255" s="70">
        <f t="shared" si="1"/>
        <v>142.79</v>
      </c>
      <c r="D255" s="70">
        <f t="shared" si="2"/>
        <v>202.72</v>
      </c>
      <c r="E255" s="70">
        <f t="shared" si="3"/>
        <v>47393.939999999944</v>
      </c>
      <c r="F255" s="78">
        <v>0</v>
      </c>
      <c r="G255" s="78">
        <f t="shared" si="5"/>
        <v>345.51</v>
      </c>
      <c r="I255" s="80">
        <v>219</v>
      </c>
      <c r="J255" s="78">
        <f t="shared" si="6"/>
        <v>309.89999999999998</v>
      </c>
      <c r="K255" s="78">
        <f t="shared" si="7"/>
        <v>107.88</v>
      </c>
      <c r="L255" s="78">
        <f t="shared" si="8"/>
        <v>202.02</v>
      </c>
      <c r="M255" s="78">
        <f t="shared" si="9"/>
        <v>35757.620000000185</v>
      </c>
      <c r="N255" s="78">
        <v>0</v>
      </c>
      <c r="O255" s="78">
        <f t="shared" si="11"/>
        <v>309.89999999999998</v>
      </c>
    </row>
    <row r="256" spans="1:15" ht="15" customHeight="1">
      <c r="A256" s="7">
        <v>220</v>
      </c>
      <c r="B256" s="70">
        <f t="shared" si="0"/>
        <v>345.51</v>
      </c>
      <c r="C256" s="70">
        <f t="shared" si="1"/>
        <v>142.18</v>
      </c>
      <c r="D256" s="70">
        <f t="shared" si="2"/>
        <v>203.32999999999998</v>
      </c>
      <c r="E256" s="70">
        <f t="shared" si="3"/>
        <v>47190.609999999942</v>
      </c>
      <c r="F256" s="78">
        <v>0</v>
      </c>
      <c r="G256" s="78">
        <f t="shared" si="5"/>
        <v>345.51</v>
      </c>
      <c r="I256" s="80">
        <v>220</v>
      </c>
      <c r="J256" s="78">
        <f t="shared" si="6"/>
        <v>309.29000000000002</v>
      </c>
      <c r="K256" s="78">
        <f t="shared" si="7"/>
        <v>107.27</v>
      </c>
      <c r="L256" s="78">
        <f t="shared" si="8"/>
        <v>202.02</v>
      </c>
      <c r="M256" s="78">
        <f t="shared" si="9"/>
        <v>35555.600000000188</v>
      </c>
      <c r="N256" s="78">
        <v>0</v>
      </c>
      <c r="O256" s="78">
        <f t="shared" si="11"/>
        <v>309.29000000000002</v>
      </c>
    </row>
    <row r="257" spans="1:15" ht="15" customHeight="1">
      <c r="A257" s="7">
        <v>221</v>
      </c>
      <c r="B257" s="70">
        <f t="shared" si="0"/>
        <v>345.51</v>
      </c>
      <c r="C257" s="70">
        <f t="shared" si="1"/>
        <v>141.57</v>
      </c>
      <c r="D257" s="70">
        <f t="shared" si="2"/>
        <v>203.94</v>
      </c>
      <c r="E257" s="70">
        <f t="shared" si="3"/>
        <v>46986.66999999994</v>
      </c>
      <c r="F257" s="78">
        <v>0</v>
      </c>
      <c r="G257" s="78">
        <f t="shared" si="5"/>
        <v>345.51</v>
      </c>
      <c r="I257" s="80">
        <v>221</v>
      </c>
      <c r="J257" s="78">
        <f t="shared" si="6"/>
        <v>308.69</v>
      </c>
      <c r="K257" s="78">
        <f t="shared" si="7"/>
        <v>106.67</v>
      </c>
      <c r="L257" s="78">
        <f t="shared" si="8"/>
        <v>202.02</v>
      </c>
      <c r="M257" s="78">
        <f t="shared" si="9"/>
        <v>35353.580000000191</v>
      </c>
      <c r="N257" s="78">
        <v>0</v>
      </c>
      <c r="O257" s="78">
        <f t="shared" si="11"/>
        <v>308.69</v>
      </c>
    </row>
    <row r="258" spans="1:15" ht="15" customHeight="1">
      <c r="A258" s="7">
        <v>222</v>
      </c>
      <c r="B258" s="70">
        <f t="shared" si="0"/>
        <v>345.51</v>
      </c>
      <c r="C258" s="70">
        <f t="shared" si="1"/>
        <v>140.96</v>
      </c>
      <c r="D258" s="70">
        <f t="shared" si="2"/>
        <v>204.54999999999998</v>
      </c>
      <c r="E258" s="70">
        <f t="shared" si="3"/>
        <v>46782.119999999937</v>
      </c>
      <c r="F258" s="78">
        <v>0</v>
      </c>
      <c r="G258" s="78">
        <f t="shared" si="5"/>
        <v>345.51</v>
      </c>
      <c r="I258" s="80">
        <v>222</v>
      </c>
      <c r="J258" s="78">
        <f t="shared" si="6"/>
        <v>308.08000000000004</v>
      </c>
      <c r="K258" s="78">
        <f t="shared" si="7"/>
        <v>106.06</v>
      </c>
      <c r="L258" s="78">
        <f t="shared" si="8"/>
        <v>202.02</v>
      </c>
      <c r="M258" s="78">
        <f t="shared" si="9"/>
        <v>35151.560000000194</v>
      </c>
      <c r="N258" s="78">
        <v>0</v>
      </c>
      <c r="O258" s="78">
        <f t="shared" si="11"/>
        <v>308.08000000000004</v>
      </c>
    </row>
    <row r="259" spans="1:15" ht="15" customHeight="1">
      <c r="A259" s="7">
        <v>223</v>
      </c>
      <c r="B259" s="70">
        <f t="shared" si="0"/>
        <v>345.51</v>
      </c>
      <c r="C259" s="70">
        <f t="shared" si="1"/>
        <v>140.35</v>
      </c>
      <c r="D259" s="70">
        <f t="shared" si="2"/>
        <v>205.16</v>
      </c>
      <c r="E259" s="70">
        <f t="shared" si="3"/>
        <v>46576.959999999934</v>
      </c>
      <c r="F259" s="78">
        <v>0</v>
      </c>
      <c r="G259" s="78">
        <f t="shared" si="5"/>
        <v>345.51</v>
      </c>
      <c r="I259" s="80">
        <v>223</v>
      </c>
      <c r="J259" s="78">
        <f t="shared" si="6"/>
        <v>307.47000000000003</v>
      </c>
      <c r="K259" s="78">
        <f t="shared" si="7"/>
        <v>105.45</v>
      </c>
      <c r="L259" s="78">
        <f t="shared" si="8"/>
        <v>202.02</v>
      </c>
      <c r="M259" s="78">
        <f t="shared" si="9"/>
        <v>34949.540000000197</v>
      </c>
      <c r="N259" s="78">
        <v>0</v>
      </c>
      <c r="O259" s="78">
        <f t="shared" si="11"/>
        <v>307.47000000000003</v>
      </c>
    </row>
    <row r="260" spans="1:15" ht="15" customHeight="1">
      <c r="A260" s="7">
        <v>224</v>
      </c>
      <c r="B260" s="70">
        <f t="shared" si="0"/>
        <v>345.51</v>
      </c>
      <c r="C260" s="70">
        <f t="shared" si="1"/>
        <v>139.72999999999999</v>
      </c>
      <c r="D260" s="70">
        <f t="shared" si="2"/>
        <v>205.78</v>
      </c>
      <c r="E260" s="70">
        <f t="shared" si="3"/>
        <v>46371.179999999935</v>
      </c>
      <c r="F260" s="78">
        <v>0</v>
      </c>
      <c r="G260" s="78">
        <f t="shared" si="5"/>
        <v>345.51</v>
      </c>
      <c r="I260" s="80">
        <v>224</v>
      </c>
      <c r="J260" s="78">
        <f t="shared" si="6"/>
        <v>306.87</v>
      </c>
      <c r="K260" s="78">
        <f t="shared" si="7"/>
        <v>104.85</v>
      </c>
      <c r="L260" s="78">
        <f t="shared" si="8"/>
        <v>202.02</v>
      </c>
      <c r="M260" s="78">
        <f t="shared" si="9"/>
        <v>34747.520000000201</v>
      </c>
      <c r="N260" s="78">
        <v>0</v>
      </c>
      <c r="O260" s="78">
        <f t="shared" si="11"/>
        <v>306.87</v>
      </c>
    </row>
    <row r="261" spans="1:15" ht="15" customHeight="1">
      <c r="A261" s="7">
        <v>225</v>
      </c>
      <c r="B261" s="70">
        <f t="shared" si="0"/>
        <v>345.51</v>
      </c>
      <c r="C261" s="70">
        <f t="shared" si="1"/>
        <v>139.11000000000001</v>
      </c>
      <c r="D261" s="70">
        <f t="shared" si="2"/>
        <v>206.39999999999998</v>
      </c>
      <c r="E261" s="70">
        <f t="shared" si="3"/>
        <v>46164.779999999933</v>
      </c>
      <c r="F261" s="78">
        <v>0</v>
      </c>
      <c r="G261" s="78">
        <f t="shared" si="5"/>
        <v>345.51</v>
      </c>
      <c r="I261" s="80">
        <v>225</v>
      </c>
      <c r="J261" s="78">
        <f t="shared" si="6"/>
        <v>306.26</v>
      </c>
      <c r="K261" s="78">
        <f t="shared" si="7"/>
        <v>104.24</v>
      </c>
      <c r="L261" s="78">
        <f t="shared" si="8"/>
        <v>202.02</v>
      </c>
      <c r="M261" s="78">
        <f t="shared" si="9"/>
        <v>34545.500000000204</v>
      </c>
      <c r="N261" s="78">
        <v>0</v>
      </c>
      <c r="O261" s="78">
        <f t="shared" si="11"/>
        <v>306.26</v>
      </c>
    </row>
    <row r="262" spans="1:15" ht="15" customHeight="1">
      <c r="A262" s="7">
        <v>226</v>
      </c>
      <c r="B262" s="70">
        <f t="shared" si="0"/>
        <v>345.51</v>
      </c>
      <c r="C262" s="70">
        <f t="shared" si="1"/>
        <v>138.49</v>
      </c>
      <c r="D262" s="70">
        <f t="shared" si="2"/>
        <v>207.01999999999998</v>
      </c>
      <c r="E262" s="70">
        <f t="shared" si="3"/>
        <v>45957.759999999937</v>
      </c>
      <c r="F262" s="78">
        <v>0</v>
      </c>
      <c r="G262" s="78">
        <f t="shared" si="5"/>
        <v>345.51</v>
      </c>
      <c r="I262" s="80">
        <v>226</v>
      </c>
      <c r="J262" s="78">
        <f t="shared" si="6"/>
        <v>305.66000000000003</v>
      </c>
      <c r="K262" s="78">
        <f t="shared" si="7"/>
        <v>103.64</v>
      </c>
      <c r="L262" s="78">
        <f t="shared" si="8"/>
        <v>202.02</v>
      </c>
      <c r="M262" s="78">
        <f t="shared" si="9"/>
        <v>34343.480000000207</v>
      </c>
      <c r="N262" s="78">
        <v>0</v>
      </c>
      <c r="O262" s="78">
        <f t="shared" si="11"/>
        <v>305.66000000000003</v>
      </c>
    </row>
    <row r="263" spans="1:15" ht="15" customHeight="1">
      <c r="A263" s="7">
        <v>227</v>
      </c>
      <c r="B263" s="70">
        <f t="shared" si="0"/>
        <v>345.51</v>
      </c>
      <c r="C263" s="70">
        <f t="shared" si="1"/>
        <v>137.87</v>
      </c>
      <c r="D263" s="70">
        <f t="shared" si="2"/>
        <v>207.64</v>
      </c>
      <c r="E263" s="70">
        <f t="shared" si="3"/>
        <v>45750.119999999937</v>
      </c>
      <c r="F263" s="78">
        <v>0</v>
      </c>
      <c r="G263" s="78">
        <f t="shared" si="5"/>
        <v>345.51</v>
      </c>
      <c r="I263" s="80">
        <v>227</v>
      </c>
      <c r="J263" s="78">
        <f t="shared" si="6"/>
        <v>305.05</v>
      </c>
      <c r="K263" s="78">
        <f t="shared" si="7"/>
        <v>103.03</v>
      </c>
      <c r="L263" s="78">
        <f t="shared" si="8"/>
        <v>202.02</v>
      </c>
      <c r="M263" s="78">
        <f t="shared" si="9"/>
        <v>34141.46000000021</v>
      </c>
      <c r="N263" s="78">
        <v>0</v>
      </c>
      <c r="O263" s="78">
        <f t="shared" si="11"/>
        <v>305.05</v>
      </c>
    </row>
    <row r="264" spans="1:15" ht="15" customHeight="1">
      <c r="A264" s="7">
        <v>228</v>
      </c>
      <c r="B264" s="70">
        <f t="shared" si="0"/>
        <v>345.51</v>
      </c>
      <c r="C264" s="70">
        <f t="shared" si="1"/>
        <v>137.25</v>
      </c>
      <c r="D264" s="70">
        <f t="shared" si="2"/>
        <v>208.26</v>
      </c>
      <c r="E264" s="70">
        <f t="shared" si="3"/>
        <v>45541.859999999935</v>
      </c>
      <c r="F264" s="78">
        <v>0</v>
      </c>
      <c r="G264" s="78">
        <f t="shared" si="5"/>
        <v>345.51</v>
      </c>
      <c r="I264" s="80">
        <v>228</v>
      </c>
      <c r="J264" s="78">
        <f t="shared" si="6"/>
        <v>304.44</v>
      </c>
      <c r="K264" s="78">
        <f t="shared" si="7"/>
        <v>102.42</v>
      </c>
      <c r="L264" s="78">
        <f t="shared" si="8"/>
        <v>202.02</v>
      </c>
      <c r="M264" s="78">
        <f t="shared" si="9"/>
        <v>33939.440000000213</v>
      </c>
      <c r="N264" s="78">
        <v>0</v>
      </c>
      <c r="O264" s="78">
        <f t="shared" si="11"/>
        <v>304.44</v>
      </c>
    </row>
    <row r="265" spans="1:15" ht="15" customHeight="1">
      <c r="A265" s="7">
        <v>229</v>
      </c>
      <c r="B265" s="70">
        <f t="shared" si="0"/>
        <v>345.51</v>
      </c>
      <c r="C265" s="70">
        <f t="shared" si="1"/>
        <v>136.63</v>
      </c>
      <c r="D265" s="70">
        <f t="shared" si="2"/>
        <v>208.88</v>
      </c>
      <c r="E265" s="70">
        <f t="shared" si="3"/>
        <v>45332.979999999938</v>
      </c>
      <c r="F265" s="78">
        <v>0</v>
      </c>
      <c r="G265" s="78">
        <f t="shared" si="5"/>
        <v>345.51</v>
      </c>
      <c r="I265" s="80">
        <v>229</v>
      </c>
      <c r="J265" s="78">
        <f t="shared" si="6"/>
        <v>303.84000000000003</v>
      </c>
      <c r="K265" s="78">
        <f t="shared" si="7"/>
        <v>101.82</v>
      </c>
      <c r="L265" s="78">
        <f t="shared" si="8"/>
        <v>202.02</v>
      </c>
      <c r="M265" s="78">
        <f t="shared" si="9"/>
        <v>33737.420000000217</v>
      </c>
      <c r="N265" s="78">
        <v>0</v>
      </c>
      <c r="O265" s="78">
        <f t="shared" si="11"/>
        <v>303.84000000000003</v>
      </c>
    </row>
    <row r="266" spans="1:15" ht="15" customHeight="1">
      <c r="A266" s="7">
        <v>230</v>
      </c>
      <c r="B266" s="70">
        <f t="shared" si="0"/>
        <v>345.51</v>
      </c>
      <c r="C266" s="70">
        <f t="shared" si="1"/>
        <v>136</v>
      </c>
      <c r="D266" s="70">
        <f t="shared" si="2"/>
        <v>209.51</v>
      </c>
      <c r="E266" s="70">
        <f t="shared" si="3"/>
        <v>45123.469999999936</v>
      </c>
      <c r="F266" s="78">
        <v>0</v>
      </c>
      <c r="G266" s="78">
        <f t="shared" si="5"/>
        <v>345.51</v>
      </c>
      <c r="I266" s="80">
        <v>230</v>
      </c>
      <c r="J266" s="78">
        <f t="shared" si="6"/>
        <v>303.23</v>
      </c>
      <c r="K266" s="78">
        <f t="shared" si="7"/>
        <v>101.21</v>
      </c>
      <c r="L266" s="78">
        <f t="shared" si="8"/>
        <v>202.02</v>
      </c>
      <c r="M266" s="78">
        <f t="shared" si="9"/>
        <v>33535.40000000022</v>
      </c>
      <c r="N266" s="78">
        <v>0</v>
      </c>
      <c r="O266" s="78">
        <f t="shared" si="11"/>
        <v>303.23</v>
      </c>
    </row>
    <row r="267" spans="1:15" ht="15" customHeight="1">
      <c r="A267" s="7">
        <v>231</v>
      </c>
      <c r="B267" s="70">
        <f t="shared" si="0"/>
        <v>345.51</v>
      </c>
      <c r="C267" s="70">
        <f t="shared" si="1"/>
        <v>135.37</v>
      </c>
      <c r="D267" s="70">
        <f t="shared" si="2"/>
        <v>210.14</v>
      </c>
      <c r="E267" s="70">
        <f t="shared" si="3"/>
        <v>44913.329999999936</v>
      </c>
      <c r="F267" s="78">
        <v>0</v>
      </c>
      <c r="G267" s="78">
        <f t="shared" si="5"/>
        <v>345.51</v>
      </c>
      <c r="I267" s="80">
        <v>231</v>
      </c>
      <c r="J267" s="78">
        <f t="shared" si="6"/>
        <v>302.63</v>
      </c>
      <c r="K267" s="78">
        <f t="shared" si="7"/>
        <v>100.61</v>
      </c>
      <c r="L267" s="78">
        <f t="shared" si="8"/>
        <v>202.02</v>
      </c>
      <c r="M267" s="78">
        <f t="shared" si="9"/>
        <v>33333.380000000223</v>
      </c>
      <c r="N267" s="78">
        <v>0</v>
      </c>
      <c r="O267" s="78">
        <f t="shared" si="11"/>
        <v>302.63</v>
      </c>
    </row>
    <row r="268" spans="1:15" ht="15" customHeight="1">
      <c r="A268" s="7">
        <v>232</v>
      </c>
      <c r="B268" s="70">
        <f t="shared" si="0"/>
        <v>345.51</v>
      </c>
      <c r="C268" s="70">
        <f t="shared" si="1"/>
        <v>134.74</v>
      </c>
      <c r="D268" s="70">
        <f t="shared" si="2"/>
        <v>210.76999999999998</v>
      </c>
      <c r="E268" s="70">
        <f t="shared" si="3"/>
        <v>44702.559999999939</v>
      </c>
      <c r="F268" s="78">
        <v>0</v>
      </c>
      <c r="G268" s="78">
        <f t="shared" si="5"/>
        <v>345.51</v>
      </c>
      <c r="I268" s="80">
        <v>232</v>
      </c>
      <c r="J268" s="78">
        <f t="shared" si="6"/>
        <v>302.02</v>
      </c>
      <c r="K268" s="78">
        <f t="shared" si="7"/>
        <v>100</v>
      </c>
      <c r="L268" s="78">
        <f t="shared" si="8"/>
        <v>202.02</v>
      </c>
      <c r="M268" s="78">
        <f t="shared" si="9"/>
        <v>33131.360000000226</v>
      </c>
      <c r="N268" s="78">
        <v>0</v>
      </c>
      <c r="O268" s="78">
        <f t="shared" si="11"/>
        <v>302.02</v>
      </c>
    </row>
    <row r="269" spans="1:15" ht="15" customHeight="1">
      <c r="A269" s="7">
        <v>233</v>
      </c>
      <c r="B269" s="70">
        <f t="shared" si="0"/>
        <v>345.51</v>
      </c>
      <c r="C269" s="70">
        <f t="shared" si="1"/>
        <v>134.11000000000001</v>
      </c>
      <c r="D269" s="70">
        <f t="shared" si="2"/>
        <v>211.39999999999998</v>
      </c>
      <c r="E269" s="70">
        <f t="shared" si="3"/>
        <v>44491.159999999938</v>
      </c>
      <c r="F269" s="78">
        <v>0</v>
      </c>
      <c r="G269" s="78">
        <f t="shared" si="5"/>
        <v>345.51</v>
      </c>
      <c r="I269" s="80">
        <v>233</v>
      </c>
      <c r="J269" s="78">
        <f t="shared" si="6"/>
        <v>301.41000000000003</v>
      </c>
      <c r="K269" s="78">
        <f t="shared" si="7"/>
        <v>99.39</v>
      </c>
      <c r="L269" s="78">
        <f t="shared" si="8"/>
        <v>202.02</v>
      </c>
      <c r="M269" s="78">
        <f t="shared" si="9"/>
        <v>32929.340000000229</v>
      </c>
      <c r="N269" s="78">
        <v>0</v>
      </c>
      <c r="O269" s="78">
        <f t="shared" si="11"/>
        <v>301.41000000000003</v>
      </c>
    </row>
    <row r="270" spans="1:15" ht="15" customHeight="1">
      <c r="A270" s="7">
        <v>234</v>
      </c>
      <c r="B270" s="70">
        <f t="shared" si="0"/>
        <v>345.51</v>
      </c>
      <c r="C270" s="70">
        <f t="shared" si="1"/>
        <v>133.47</v>
      </c>
      <c r="D270" s="70">
        <f t="shared" si="2"/>
        <v>212.04</v>
      </c>
      <c r="E270" s="70">
        <f t="shared" si="3"/>
        <v>44279.119999999937</v>
      </c>
      <c r="F270" s="78">
        <v>0</v>
      </c>
      <c r="G270" s="78">
        <f t="shared" si="5"/>
        <v>345.51</v>
      </c>
      <c r="I270" s="80">
        <v>234</v>
      </c>
      <c r="J270" s="78">
        <f t="shared" si="6"/>
        <v>300.81</v>
      </c>
      <c r="K270" s="78">
        <f t="shared" si="7"/>
        <v>98.79</v>
      </c>
      <c r="L270" s="78">
        <f t="shared" si="8"/>
        <v>202.02</v>
      </c>
      <c r="M270" s="78">
        <f t="shared" si="9"/>
        <v>32727.320000000229</v>
      </c>
      <c r="N270" s="78">
        <v>0</v>
      </c>
      <c r="O270" s="78">
        <f t="shared" si="11"/>
        <v>300.81</v>
      </c>
    </row>
    <row r="271" spans="1:15" ht="15" customHeight="1">
      <c r="A271" s="7">
        <v>235</v>
      </c>
      <c r="B271" s="70">
        <f t="shared" si="0"/>
        <v>345.51</v>
      </c>
      <c r="C271" s="70">
        <f t="shared" si="1"/>
        <v>132.84</v>
      </c>
      <c r="D271" s="70">
        <f t="shared" si="2"/>
        <v>212.67</v>
      </c>
      <c r="E271" s="70">
        <f t="shared" si="3"/>
        <v>44066.449999999939</v>
      </c>
      <c r="F271" s="78">
        <v>0</v>
      </c>
      <c r="G271" s="78">
        <f t="shared" si="5"/>
        <v>345.51</v>
      </c>
      <c r="I271" s="80">
        <v>235</v>
      </c>
      <c r="J271" s="78">
        <f t="shared" si="6"/>
        <v>300.20000000000005</v>
      </c>
      <c r="K271" s="78">
        <f t="shared" si="7"/>
        <v>98.18</v>
      </c>
      <c r="L271" s="78">
        <f t="shared" si="8"/>
        <v>202.02</v>
      </c>
      <c r="M271" s="78">
        <f t="shared" si="9"/>
        <v>32525.300000000228</v>
      </c>
      <c r="N271" s="78">
        <v>0</v>
      </c>
      <c r="O271" s="78">
        <f t="shared" si="11"/>
        <v>300.20000000000005</v>
      </c>
    </row>
    <row r="272" spans="1:15" ht="15" customHeight="1">
      <c r="A272" s="7">
        <v>236</v>
      </c>
      <c r="B272" s="70">
        <f t="shared" si="0"/>
        <v>345.51</v>
      </c>
      <c r="C272" s="70">
        <f t="shared" si="1"/>
        <v>132.19999999999999</v>
      </c>
      <c r="D272" s="70">
        <f t="shared" si="2"/>
        <v>213.31</v>
      </c>
      <c r="E272" s="70">
        <f t="shared" si="3"/>
        <v>43853.139999999941</v>
      </c>
      <c r="F272" s="78">
        <v>0</v>
      </c>
      <c r="G272" s="78">
        <f t="shared" si="5"/>
        <v>345.51</v>
      </c>
      <c r="I272" s="80">
        <v>236</v>
      </c>
      <c r="J272" s="78">
        <f t="shared" si="6"/>
        <v>299.60000000000002</v>
      </c>
      <c r="K272" s="78">
        <f t="shared" si="7"/>
        <v>97.58</v>
      </c>
      <c r="L272" s="78">
        <f t="shared" si="8"/>
        <v>202.02</v>
      </c>
      <c r="M272" s="78">
        <f t="shared" si="9"/>
        <v>32323.280000000228</v>
      </c>
      <c r="N272" s="78">
        <v>0</v>
      </c>
      <c r="O272" s="78">
        <f t="shared" si="11"/>
        <v>299.60000000000002</v>
      </c>
    </row>
    <row r="273" spans="1:15" ht="15" customHeight="1">
      <c r="A273" s="7">
        <v>237</v>
      </c>
      <c r="B273" s="70">
        <f t="shared" si="0"/>
        <v>345.51</v>
      </c>
      <c r="C273" s="70">
        <f t="shared" si="1"/>
        <v>131.56</v>
      </c>
      <c r="D273" s="70">
        <f t="shared" si="2"/>
        <v>213.95</v>
      </c>
      <c r="E273" s="70">
        <f t="shared" si="3"/>
        <v>43639.189999999944</v>
      </c>
      <c r="F273" s="78">
        <v>0</v>
      </c>
      <c r="G273" s="78">
        <f t="shared" si="5"/>
        <v>345.51</v>
      </c>
      <c r="I273" s="80">
        <v>237</v>
      </c>
      <c r="J273" s="78">
        <f t="shared" si="6"/>
        <v>298.99</v>
      </c>
      <c r="K273" s="78">
        <f t="shared" si="7"/>
        <v>96.97</v>
      </c>
      <c r="L273" s="78">
        <f t="shared" si="8"/>
        <v>202.02</v>
      </c>
      <c r="M273" s="78">
        <f t="shared" si="9"/>
        <v>32121.260000000228</v>
      </c>
      <c r="N273" s="78">
        <v>0</v>
      </c>
      <c r="O273" s="78">
        <f t="shared" si="11"/>
        <v>298.99</v>
      </c>
    </row>
    <row r="274" spans="1:15" ht="15" customHeight="1">
      <c r="A274" s="7">
        <v>238</v>
      </c>
      <c r="B274" s="70">
        <f t="shared" si="0"/>
        <v>345.51</v>
      </c>
      <c r="C274" s="70">
        <f t="shared" si="1"/>
        <v>130.91999999999999</v>
      </c>
      <c r="D274" s="70">
        <f t="shared" si="2"/>
        <v>214.59</v>
      </c>
      <c r="E274" s="70">
        <f t="shared" si="3"/>
        <v>43424.599999999948</v>
      </c>
      <c r="F274" s="78">
        <v>0</v>
      </c>
      <c r="G274" s="78">
        <f t="shared" si="5"/>
        <v>345.51</v>
      </c>
      <c r="I274" s="80">
        <v>238</v>
      </c>
      <c r="J274" s="78">
        <f t="shared" si="6"/>
        <v>298.38</v>
      </c>
      <c r="K274" s="78">
        <f t="shared" si="7"/>
        <v>96.36</v>
      </c>
      <c r="L274" s="78">
        <f t="shared" si="8"/>
        <v>202.02</v>
      </c>
      <c r="M274" s="78">
        <f t="shared" si="9"/>
        <v>31919.240000000227</v>
      </c>
      <c r="N274" s="78">
        <v>0</v>
      </c>
      <c r="O274" s="78">
        <f t="shared" si="11"/>
        <v>298.38</v>
      </c>
    </row>
    <row r="275" spans="1:15" ht="15" customHeight="1">
      <c r="A275" s="7">
        <v>239</v>
      </c>
      <c r="B275" s="70">
        <f t="shared" si="0"/>
        <v>345.51</v>
      </c>
      <c r="C275" s="70">
        <f t="shared" si="1"/>
        <v>130.27000000000001</v>
      </c>
      <c r="D275" s="70">
        <f t="shared" si="2"/>
        <v>215.23999999999998</v>
      </c>
      <c r="E275" s="70">
        <f t="shared" si="3"/>
        <v>43209.35999999995</v>
      </c>
      <c r="F275" s="78">
        <v>0</v>
      </c>
      <c r="G275" s="78">
        <f t="shared" si="5"/>
        <v>345.51</v>
      </c>
      <c r="I275" s="80">
        <v>239</v>
      </c>
      <c r="J275" s="78">
        <f t="shared" si="6"/>
        <v>297.78000000000003</v>
      </c>
      <c r="K275" s="78">
        <f t="shared" si="7"/>
        <v>95.76</v>
      </c>
      <c r="L275" s="78">
        <f t="shared" si="8"/>
        <v>202.02</v>
      </c>
      <c r="M275" s="78">
        <f t="shared" si="9"/>
        <v>31717.220000000227</v>
      </c>
      <c r="N275" s="78">
        <v>0</v>
      </c>
      <c r="O275" s="78">
        <f t="shared" si="11"/>
        <v>297.78000000000003</v>
      </c>
    </row>
    <row r="276" spans="1:15" ht="15" customHeight="1">
      <c r="A276" s="7">
        <v>240</v>
      </c>
      <c r="B276" s="70">
        <f t="shared" si="0"/>
        <v>345.51</v>
      </c>
      <c r="C276" s="70">
        <f t="shared" si="1"/>
        <v>129.63</v>
      </c>
      <c r="D276" s="70">
        <f t="shared" si="2"/>
        <v>215.88</v>
      </c>
      <c r="E276" s="70">
        <f t="shared" si="3"/>
        <v>42993.479999999952</v>
      </c>
      <c r="F276" s="78">
        <v>0</v>
      </c>
      <c r="G276" s="78">
        <f t="shared" si="5"/>
        <v>345.51</v>
      </c>
      <c r="I276" s="80">
        <v>240</v>
      </c>
      <c r="J276" s="78">
        <f t="shared" si="6"/>
        <v>297.17</v>
      </c>
      <c r="K276" s="78">
        <f t="shared" si="7"/>
        <v>95.15</v>
      </c>
      <c r="L276" s="78">
        <f t="shared" si="8"/>
        <v>202.02</v>
      </c>
      <c r="M276" s="78">
        <f t="shared" si="9"/>
        <v>31515.200000000226</v>
      </c>
      <c r="N276" s="78">
        <v>0</v>
      </c>
      <c r="O276" s="78">
        <f t="shared" si="11"/>
        <v>297.17</v>
      </c>
    </row>
    <row r="277" spans="1:15" ht="15" customHeight="1">
      <c r="A277" s="7">
        <v>241</v>
      </c>
      <c r="B277" s="70">
        <f t="shared" si="0"/>
        <v>345.51</v>
      </c>
      <c r="C277" s="70">
        <f t="shared" si="1"/>
        <v>128.97999999999999</v>
      </c>
      <c r="D277" s="70">
        <f t="shared" si="2"/>
        <v>216.53</v>
      </c>
      <c r="E277" s="70">
        <f t="shared" si="3"/>
        <v>42776.949999999953</v>
      </c>
      <c r="F277" s="78">
        <v>0</v>
      </c>
      <c r="G277" s="78">
        <f t="shared" si="5"/>
        <v>345.51</v>
      </c>
      <c r="I277" s="80">
        <v>241</v>
      </c>
      <c r="J277" s="78">
        <f t="shared" si="6"/>
        <v>296.57</v>
      </c>
      <c r="K277" s="78">
        <f t="shared" si="7"/>
        <v>94.55</v>
      </c>
      <c r="L277" s="78">
        <f t="shared" si="8"/>
        <v>202.02</v>
      </c>
      <c r="M277" s="78">
        <f t="shared" si="9"/>
        <v>31313.180000000226</v>
      </c>
      <c r="N277" s="78">
        <v>0</v>
      </c>
      <c r="O277" s="78">
        <f t="shared" si="11"/>
        <v>296.57</v>
      </c>
    </row>
    <row r="278" spans="1:15" ht="15" customHeight="1">
      <c r="A278" s="7">
        <v>242</v>
      </c>
      <c r="B278" s="70">
        <f t="shared" si="0"/>
        <v>345.51</v>
      </c>
      <c r="C278" s="70">
        <f t="shared" si="1"/>
        <v>128.33000000000001</v>
      </c>
      <c r="D278" s="70">
        <f t="shared" si="2"/>
        <v>217.17999999999998</v>
      </c>
      <c r="E278" s="70">
        <f t="shared" si="3"/>
        <v>42559.769999999953</v>
      </c>
      <c r="F278" s="78">
        <v>0</v>
      </c>
      <c r="G278" s="78">
        <f t="shared" si="5"/>
        <v>345.51</v>
      </c>
      <c r="I278" s="80">
        <v>242</v>
      </c>
      <c r="J278" s="78">
        <f t="shared" si="6"/>
        <v>295.96000000000004</v>
      </c>
      <c r="K278" s="78">
        <f t="shared" si="7"/>
        <v>93.94</v>
      </c>
      <c r="L278" s="78">
        <f t="shared" si="8"/>
        <v>202.02</v>
      </c>
      <c r="M278" s="78">
        <f t="shared" si="9"/>
        <v>31111.160000000225</v>
      </c>
      <c r="N278" s="78">
        <v>0</v>
      </c>
      <c r="O278" s="78">
        <f t="shared" si="11"/>
        <v>295.96000000000004</v>
      </c>
    </row>
    <row r="279" spans="1:15" ht="15" customHeight="1">
      <c r="A279" s="7">
        <v>243</v>
      </c>
      <c r="B279" s="70">
        <f t="shared" si="0"/>
        <v>345.51</v>
      </c>
      <c r="C279" s="70">
        <f t="shared" si="1"/>
        <v>127.68</v>
      </c>
      <c r="D279" s="70">
        <f t="shared" si="2"/>
        <v>217.82999999999998</v>
      </c>
      <c r="E279" s="70">
        <f t="shared" si="3"/>
        <v>42341.939999999951</v>
      </c>
      <c r="F279" s="78">
        <v>0</v>
      </c>
      <c r="G279" s="78">
        <f t="shared" si="5"/>
        <v>345.51</v>
      </c>
      <c r="I279" s="80">
        <v>243</v>
      </c>
      <c r="J279" s="78">
        <f t="shared" si="6"/>
        <v>295.35000000000002</v>
      </c>
      <c r="K279" s="78">
        <f t="shared" si="7"/>
        <v>93.33</v>
      </c>
      <c r="L279" s="78">
        <f t="shared" si="8"/>
        <v>202.02</v>
      </c>
      <c r="M279" s="78">
        <f t="shared" si="9"/>
        <v>30909.140000000225</v>
      </c>
      <c r="N279" s="78">
        <v>0</v>
      </c>
      <c r="O279" s="78">
        <f t="shared" si="11"/>
        <v>295.35000000000002</v>
      </c>
    </row>
    <row r="280" spans="1:15" ht="15" customHeight="1">
      <c r="A280" s="7">
        <v>244</v>
      </c>
      <c r="B280" s="70">
        <f t="shared" si="0"/>
        <v>345.51</v>
      </c>
      <c r="C280" s="70">
        <f t="shared" si="1"/>
        <v>127.03</v>
      </c>
      <c r="D280" s="70">
        <f t="shared" si="2"/>
        <v>218.48</v>
      </c>
      <c r="E280" s="70">
        <f t="shared" si="3"/>
        <v>42123.459999999948</v>
      </c>
      <c r="F280" s="78">
        <v>0</v>
      </c>
      <c r="G280" s="78">
        <f t="shared" si="5"/>
        <v>345.51</v>
      </c>
      <c r="I280" s="80">
        <v>244</v>
      </c>
      <c r="J280" s="78">
        <f t="shared" si="6"/>
        <v>294.75</v>
      </c>
      <c r="K280" s="78">
        <f t="shared" si="7"/>
        <v>92.73</v>
      </c>
      <c r="L280" s="78">
        <f t="shared" si="8"/>
        <v>202.02</v>
      </c>
      <c r="M280" s="78">
        <f t="shared" si="9"/>
        <v>30707.120000000225</v>
      </c>
      <c r="N280" s="78">
        <v>0</v>
      </c>
      <c r="O280" s="78">
        <f t="shared" si="11"/>
        <v>294.75</v>
      </c>
    </row>
    <row r="281" spans="1:15" ht="15" customHeight="1">
      <c r="A281" s="7">
        <v>245</v>
      </c>
      <c r="B281" s="70">
        <f t="shared" si="0"/>
        <v>345.51</v>
      </c>
      <c r="C281" s="70">
        <f t="shared" si="1"/>
        <v>126.37</v>
      </c>
      <c r="D281" s="70">
        <f t="shared" si="2"/>
        <v>219.14</v>
      </c>
      <c r="E281" s="70">
        <f t="shared" si="3"/>
        <v>41904.319999999949</v>
      </c>
      <c r="F281" s="78">
        <v>0</v>
      </c>
      <c r="G281" s="78">
        <f t="shared" si="5"/>
        <v>345.51</v>
      </c>
      <c r="I281" s="80">
        <v>245</v>
      </c>
      <c r="J281" s="78">
        <f t="shared" si="6"/>
        <v>294.14</v>
      </c>
      <c r="K281" s="78">
        <f t="shared" si="7"/>
        <v>92.12</v>
      </c>
      <c r="L281" s="78">
        <f t="shared" si="8"/>
        <v>202.02</v>
      </c>
      <c r="M281" s="78">
        <f t="shared" si="9"/>
        <v>30505.100000000224</v>
      </c>
      <c r="N281" s="78">
        <v>0</v>
      </c>
      <c r="O281" s="78">
        <f t="shared" si="11"/>
        <v>294.14</v>
      </c>
    </row>
    <row r="282" spans="1:15" ht="15" customHeight="1">
      <c r="A282" s="7">
        <v>246</v>
      </c>
      <c r="B282" s="70">
        <f t="shared" si="0"/>
        <v>345.51</v>
      </c>
      <c r="C282" s="70">
        <f t="shared" si="1"/>
        <v>125.71</v>
      </c>
      <c r="D282" s="70">
        <f t="shared" si="2"/>
        <v>219.8</v>
      </c>
      <c r="E282" s="70">
        <f t="shared" si="3"/>
        <v>41684.519999999946</v>
      </c>
      <c r="F282" s="78">
        <v>0</v>
      </c>
      <c r="G282" s="78">
        <f t="shared" si="5"/>
        <v>345.51</v>
      </c>
      <c r="I282" s="80">
        <v>246</v>
      </c>
      <c r="J282" s="78">
        <f t="shared" si="6"/>
        <v>293.54000000000002</v>
      </c>
      <c r="K282" s="78">
        <f t="shared" si="7"/>
        <v>91.52</v>
      </c>
      <c r="L282" s="78">
        <f t="shared" si="8"/>
        <v>202.02</v>
      </c>
      <c r="M282" s="78">
        <f t="shared" si="9"/>
        <v>30303.080000000224</v>
      </c>
      <c r="N282" s="78">
        <v>0</v>
      </c>
      <c r="O282" s="78">
        <f t="shared" si="11"/>
        <v>293.54000000000002</v>
      </c>
    </row>
    <row r="283" spans="1:15" ht="15" customHeight="1">
      <c r="A283" s="7">
        <v>247</v>
      </c>
      <c r="B283" s="70">
        <f t="shared" si="0"/>
        <v>345.51</v>
      </c>
      <c r="C283" s="70">
        <f t="shared" si="1"/>
        <v>125.05</v>
      </c>
      <c r="D283" s="70">
        <f t="shared" si="2"/>
        <v>220.45999999999998</v>
      </c>
      <c r="E283" s="70">
        <f t="shared" si="3"/>
        <v>41464.059999999947</v>
      </c>
      <c r="F283" s="78">
        <v>0</v>
      </c>
      <c r="G283" s="78">
        <f t="shared" si="5"/>
        <v>345.51</v>
      </c>
      <c r="I283" s="80">
        <v>247</v>
      </c>
      <c r="J283" s="78">
        <f t="shared" si="6"/>
        <v>292.93</v>
      </c>
      <c r="K283" s="78">
        <f t="shared" si="7"/>
        <v>90.91</v>
      </c>
      <c r="L283" s="78">
        <f t="shared" si="8"/>
        <v>202.02</v>
      </c>
      <c r="M283" s="78">
        <f t="shared" si="9"/>
        <v>30101.060000000223</v>
      </c>
      <c r="N283" s="78">
        <v>0</v>
      </c>
      <c r="O283" s="78">
        <f t="shared" si="11"/>
        <v>292.93</v>
      </c>
    </row>
    <row r="284" spans="1:15" ht="15" customHeight="1">
      <c r="A284" s="7">
        <v>248</v>
      </c>
      <c r="B284" s="70">
        <f t="shared" si="0"/>
        <v>345.51</v>
      </c>
      <c r="C284" s="70">
        <f t="shared" si="1"/>
        <v>124.39</v>
      </c>
      <c r="D284" s="70">
        <f t="shared" si="2"/>
        <v>221.12</v>
      </c>
      <c r="E284" s="70">
        <f t="shared" si="3"/>
        <v>41242.939999999944</v>
      </c>
      <c r="F284" s="78">
        <v>0</v>
      </c>
      <c r="G284" s="78">
        <f t="shared" si="5"/>
        <v>345.51</v>
      </c>
      <c r="I284" s="80">
        <v>248</v>
      </c>
      <c r="J284" s="78">
        <f t="shared" si="6"/>
        <v>292.32</v>
      </c>
      <c r="K284" s="78">
        <f t="shared" si="7"/>
        <v>90.3</v>
      </c>
      <c r="L284" s="78">
        <f t="shared" si="8"/>
        <v>202.02</v>
      </c>
      <c r="M284" s="78">
        <f t="shared" si="9"/>
        <v>29899.040000000223</v>
      </c>
      <c r="N284" s="78">
        <v>0</v>
      </c>
      <c r="O284" s="78">
        <f t="shared" si="11"/>
        <v>292.32</v>
      </c>
    </row>
    <row r="285" spans="1:15" ht="15" customHeight="1">
      <c r="A285" s="7">
        <v>249</v>
      </c>
      <c r="B285" s="70">
        <f t="shared" si="0"/>
        <v>345.51</v>
      </c>
      <c r="C285" s="70">
        <f t="shared" si="1"/>
        <v>123.73</v>
      </c>
      <c r="D285" s="70">
        <f t="shared" si="2"/>
        <v>221.77999999999997</v>
      </c>
      <c r="E285" s="70">
        <f t="shared" si="3"/>
        <v>41021.159999999945</v>
      </c>
      <c r="F285" s="78">
        <v>0</v>
      </c>
      <c r="G285" s="78">
        <f t="shared" si="5"/>
        <v>345.51</v>
      </c>
      <c r="I285" s="80">
        <v>249</v>
      </c>
      <c r="J285" s="78">
        <f t="shared" si="6"/>
        <v>291.72000000000003</v>
      </c>
      <c r="K285" s="78">
        <f t="shared" si="7"/>
        <v>89.7</v>
      </c>
      <c r="L285" s="78">
        <f t="shared" si="8"/>
        <v>202.02</v>
      </c>
      <c r="M285" s="78">
        <f t="shared" si="9"/>
        <v>29697.020000000222</v>
      </c>
      <c r="N285" s="78">
        <v>0</v>
      </c>
      <c r="O285" s="78">
        <f t="shared" si="11"/>
        <v>291.72000000000003</v>
      </c>
    </row>
    <row r="286" spans="1:15" ht="15" customHeight="1">
      <c r="A286" s="7">
        <v>250</v>
      </c>
      <c r="B286" s="70">
        <f t="shared" si="0"/>
        <v>345.51</v>
      </c>
      <c r="C286" s="70">
        <f t="shared" si="1"/>
        <v>123.06</v>
      </c>
      <c r="D286" s="70">
        <f t="shared" si="2"/>
        <v>222.45</v>
      </c>
      <c r="E286" s="70">
        <f t="shared" si="3"/>
        <v>40798.709999999948</v>
      </c>
      <c r="F286" s="78">
        <v>0</v>
      </c>
      <c r="G286" s="78">
        <f t="shared" si="5"/>
        <v>345.51</v>
      </c>
      <c r="I286" s="80">
        <v>250</v>
      </c>
      <c r="J286" s="78">
        <f t="shared" si="6"/>
        <v>291.11</v>
      </c>
      <c r="K286" s="78">
        <f t="shared" si="7"/>
        <v>89.09</v>
      </c>
      <c r="L286" s="78">
        <f t="shared" si="8"/>
        <v>202.02</v>
      </c>
      <c r="M286" s="78">
        <f t="shared" si="9"/>
        <v>29495.000000000222</v>
      </c>
      <c r="N286" s="78">
        <v>0</v>
      </c>
      <c r="O286" s="78">
        <f t="shared" si="11"/>
        <v>291.11</v>
      </c>
    </row>
    <row r="287" spans="1:15" ht="15" customHeight="1">
      <c r="A287" s="7">
        <v>251</v>
      </c>
      <c r="B287" s="70">
        <f t="shared" si="0"/>
        <v>345.51</v>
      </c>
      <c r="C287" s="70">
        <f t="shared" si="1"/>
        <v>122.4</v>
      </c>
      <c r="D287" s="70">
        <f t="shared" si="2"/>
        <v>223.10999999999999</v>
      </c>
      <c r="E287" s="70">
        <f t="shared" si="3"/>
        <v>40575.599999999948</v>
      </c>
      <c r="F287" s="78">
        <v>0</v>
      </c>
      <c r="G287" s="78">
        <f t="shared" si="5"/>
        <v>345.51</v>
      </c>
      <c r="I287" s="80">
        <v>251</v>
      </c>
      <c r="J287" s="78">
        <f t="shared" si="6"/>
        <v>290.51</v>
      </c>
      <c r="K287" s="78">
        <f t="shared" si="7"/>
        <v>88.49</v>
      </c>
      <c r="L287" s="78">
        <f t="shared" si="8"/>
        <v>202.02</v>
      </c>
      <c r="M287" s="78">
        <f t="shared" si="9"/>
        <v>29292.980000000221</v>
      </c>
      <c r="N287" s="78">
        <v>0</v>
      </c>
      <c r="O287" s="78">
        <f t="shared" si="11"/>
        <v>290.51</v>
      </c>
    </row>
    <row r="288" spans="1:15" ht="15" customHeight="1">
      <c r="A288" s="7">
        <v>252</v>
      </c>
      <c r="B288" s="70">
        <f t="shared" si="0"/>
        <v>345.51</v>
      </c>
      <c r="C288" s="70">
        <f t="shared" si="1"/>
        <v>121.73</v>
      </c>
      <c r="D288" s="70">
        <f t="shared" si="2"/>
        <v>223.77999999999997</v>
      </c>
      <c r="E288" s="70">
        <f t="shared" si="3"/>
        <v>40351.819999999949</v>
      </c>
      <c r="F288" s="78">
        <v>0</v>
      </c>
      <c r="G288" s="78">
        <f t="shared" si="5"/>
        <v>345.51</v>
      </c>
      <c r="I288" s="80">
        <v>252</v>
      </c>
      <c r="J288" s="78">
        <f t="shared" si="6"/>
        <v>289.89999999999998</v>
      </c>
      <c r="K288" s="78">
        <f t="shared" si="7"/>
        <v>87.88</v>
      </c>
      <c r="L288" s="78">
        <f t="shared" si="8"/>
        <v>202.02</v>
      </c>
      <c r="M288" s="78">
        <f t="shared" si="9"/>
        <v>29090.960000000221</v>
      </c>
      <c r="N288" s="78">
        <v>0</v>
      </c>
      <c r="O288" s="78">
        <f t="shared" si="11"/>
        <v>289.89999999999998</v>
      </c>
    </row>
    <row r="289" spans="1:15" ht="15" customHeight="1">
      <c r="A289" s="7">
        <v>253</v>
      </c>
      <c r="B289" s="70">
        <f t="shared" si="0"/>
        <v>345.51</v>
      </c>
      <c r="C289" s="70">
        <f t="shared" si="1"/>
        <v>121.06</v>
      </c>
      <c r="D289" s="70">
        <f t="shared" si="2"/>
        <v>224.45</v>
      </c>
      <c r="E289" s="70">
        <f t="shared" si="3"/>
        <v>40127.369999999952</v>
      </c>
      <c r="F289" s="78">
        <v>0</v>
      </c>
      <c r="G289" s="78">
        <f t="shared" si="5"/>
        <v>345.51</v>
      </c>
      <c r="I289" s="80">
        <v>253</v>
      </c>
      <c r="J289" s="78">
        <f t="shared" si="6"/>
        <v>289.29000000000002</v>
      </c>
      <c r="K289" s="78">
        <f t="shared" si="7"/>
        <v>87.27</v>
      </c>
      <c r="L289" s="78">
        <f t="shared" si="8"/>
        <v>202.02</v>
      </c>
      <c r="M289" s="78">
        <f t="shared" si="9"/>
        <v>28888.940000000221</v>
      </c>
      <c r="N289" s="78">
        <v>0</v>
      </c>
      <c r="O289" s="78">
        <f t="shared" si="11"/>
        <v>289.29000000000002</v>
      </c>
    </row>
    <row r="290" spans="1:15" ht="15" customHeight="1">
      <c r="A290" s="7">
        <v>254</v>
      </c>
      <c r="B290" s="70">
        <f t="shared" si="0"/>
        <v>345.51</v>
      </c>
      <c r="C290" s="70">
        <f t="shared" si="1"/>
        <v>120.38</v>
      </c>
      <c r="D290" s="70">
        <f t="shared" si="2"/>
        <v>225.13</v>
      </c>
      <c r="E290" s="70">
        <f t="shared" si="3"/>
        <v>39902.239999999954</v>
      </c>
      <c r="F290" s="78">
        <v>0</v>
      </c>
      <c r="G290" s="78">
        <f t="shared" si="5"/>
        <v>345.51</v>
      </c>
      <c r="I290" s="80">
        <v>254</v>
      </c>
      <c r="J290" s="78">
        <f t="shared" si="6"/>
        <v>288.69</v>
      </c>
      <c r="K290" s="78">
        <f t="shared" si="7"/>
        <v>86.67</v>
      </c>
      <c r="L290" s="78">
        <f t="shared" si="8"/>
        <v>202.02</v>
      </c>
      <c r="M290" s="78">
        <f t="shared" si="9"/>
        <v>28686.92000000022</v>
      </c>
      <c r="N290" s="78">
        <v>0</v>
      </c>
      <c r="O290" s="78">
        <f t="shared" si="11"/>
        <v>288.69</v>
      </c>
    </row>
    <row r="291" spans="1:15" ht="15" customHeight="1">
      <c r="A291" s="7">
        <v>255</v>
      </c>
      <c r="B291" s="70">
        <f t="shared" si="0"/>
        <v>345.51</v>
      </c>
      <c r="C291" s="70">
        <f t="shared" si="1"/>
        <v>119.71</v>
      </c>
      <c r="D291" s="70">
        <f t="shared" si="2"/>
        <v>225.8</v>
      </c>
      <c r="E291" s="70">
        <f t="shared" si="3"/>
        <v>39676.439999999951</v>
      </c>
      <c r="F291" s="78">
        <v>0</v>
      </c>
      <c r="G291" s="78">
        <f t="shared" si="5"/>
        <v>345.51</v>
      </c>
      <c r="I291" s="80">
        <v>255</v>
      </c>
      <c r="J291" s="78">
        <f t="shared" si="6"/>
        <v>288.08000000000004</v>
      </c>
      <c r="K291" s="78">
        <f t="shared" si="7"/>
        <v>86.06</v>
      </c>
      <c r="L291" s="78">
        <f t="shared" si="8"/>
        <v>202.02</v>
      </c>
      <c r="M291" s="78">
        <f t="shared" si="9"/>
        <v>28484.90000000022</v>
      </c>
      <c r="N291" s="78">
        <v>0</v>
      </c>
      <c r="O291" s="78">
        <f t="shared" si="11"/>
        <v>288.08000000000004</v>
      </c>
    </row>
    <row r="292" spans="1:15" ht="15" customHeight="1">
      <c r="A292" s="7">
        <v>256</v>
      </c>
      <c r="B292" s="70">
        <f t="shared" ref="B292:B432" si="12">-$B$21</f>
        <v>345.51</v>
      </c>
      <c r="C292" s="70">
        <f t="shared" ref="C292:C432" si="13">ROUND(E291*$B$16,2)</f>
        <v>119.03</v>
      </c>
      <c r="D292" s="70">
        <f t="shared" ref="D292:D432" si="14">B292-C292</f>
        <v>226.48</v>
      </c>
      <c r="E292" s="70">
        <f t="shared" ref="E292:E432" si="15">E291-D292</f>
        <v>39449.959999999948</v>
      </c>
      <c r="F292" s="78">
        <v>0</v>
      </c>
      <c r="G292" s="78">
        <f t="shared" ref="G292:G432" si="16">B292-F292</f>
        <v>345.51</v>
      </c>
      <c r="I292" s="80">
        <v>256</v>
      </c>
      <c r="J292" s="78">
        <f t="shared" ref="J292:J432" si="17">L292+K292</f>
        <v>287.47000000000003</v>
      </c>
      <c r="K292" s="78">
        <f t="shared" ref="K292:K432" si="18">ROUND(M291*$B$16,2)</f>
        <v>85.45</v>
      </c>
      <c r="L292" s="78">
        <f t="shared" ref="L292:L432" si="19">$B$24</f>
        <v>202.02</v>
      </c>
      <c r="M292" s="78">
        <f t="shared" ref="M292:M432" si="20">M291-L292</f>
        <v>28282.880000000219</v>
      </c>
      <c r="N292" s="78">
        <v>0</v>
      </c>
      <c r="O292" s="78">
        <f t="shared" ref="O292:O432" si="21">J292-N292</f>
        <v>287.47000000000003</v>
      </c>
    </row>
    <row r="293" spans="1:15" ht="15" customHeight="1">
      <c r="A293" s="7">
        <v>257</v>
      </c>
      <c r="B293" s="70">
        <f t="shared" si="12"/>
        <v>345.51</v>
      </c>
      <c r="C293" s="70">
        <f t="shared" si="13"/>
        <v>118.35</v>
      </c>
      <c r="D293" s="70">
        <f t="shared" si="14"/>
        <v>227.16</v>
      </c>
      <c r="E293" s="70">
        <f t="shared" si="15"/>
        <v>39222.799999999945</v>
      </c>
      <c r="F293" s="78">
        <v>0</v>
      </c>
      <c r="G293" s="78">
        <f t="shared" si="16"/>
        <v>345.51</v>
      </c>
      <c r="I293" s="80">
        <v>257</v>
      </c>
      <c r="J293" s="78">
        <f t="shared" si="17"/>
        <v>286.87</v>
      </c>
      <c r="K293" s="78">
        <f t="shared" si="18"/>
        <v>84.85</v>
      </c>
      <c r="L293" s="78">
        <f t="shared" si="19"/>
        <v>202.02</v>
      </c>
      <c r="M293" s="78">
        <f t="shared" si="20"/>
        <v>28080.860000000219</v>
      </c>
      <c r="N293" s="78">
        <v>0</v>
      </c>
      <c r="O293" s="78">
        <f t="shared" si="21"/>
        <v>286.87</v>
      </c>
    </row>
    <row r="294" spans="1:15" ht="15" customHeight="1">
      <c r="A294" s="7">
        <v>258</v>
      </c>
      <c r="B294" s="70">
        <f t="shared" si="12"/>
        <v>345.51</v>
      </c>
      <c r="C294" s="70">
        <f t="shared" si="13"/>
        <v>117.67</v>
      </c>
      <c r="D294" s="70">
        <f t="shared" si="14"/>
        <v>227.83999999999997</v>
      </c>
      <c r="E294" s="70">
        <f t="shared" si="15"/>
        <v>38994.959999999948</v>
      </c>
      <c r="F294" s="78">
        <v>0</v>
      </c>
      <c r="G294" s="78">
        <f t="shared" si="16"/>
        <v>345.51</v>
      </c>
      <c r="I294" s="80">
        <v>258</v>
      </c>
      <c r="J294" s="78">
        <f t="shared" si="17"/>
        <v>286.26</v>
      </c>
      <c r="K294" s="78">
        <f t="shared" si="18"/>
        <v>84.24</v>
      </c>
      <c r="L294" s="78">
        <f t="shared" si="19"/>
        <v>202.02</v>
      </c>
      <c r="M294" s="78">
        <f t="shared" si="20"/>
        <v>27878.840000000218</v>
      </c>
      <c r="N294" s="78">
        <v>0</v>
      </c>
      <c r="O294" s="78">
        <f t="shared" si="21"/>
        <v>286.26</v>
      </c>
    </row>
    <row r="295" spans="1:15" ht="15" customHeight="1">
      <c r="A295" s="7">
        <v>259</v>
      </c>
      <c r="B295" s="70">
        <f t="shared" si="12"/>
        <v>345.51</v>
      </c>
      <c r="C295" s="70">
        <f t="shared" si="13"/>
        <v>116.98</v>
      </c>
      <c r="D295" s="70">
        <f t="shared" si="14"/>
        <v>228.52999999999997</v>
      </c>
      <c r="E295" s="70">
        <f t="shared" si="15"/>
        <v>38766.429999999949</v>
      </c>
      <c r="F295" s="78">
        <v>0</v>
      </c>
      <c r="G295" s="78">
        <f t="shared" si="16"/>
        <v>345.51</v>
      </c>
      <c r="I295" s="80">
        <v>259</v>
      </c>
      <c r="J295" s="78">
        <f t="shared" si="17"/>
        <v>285.66000000000003</v>
      </c>
      <c r="K295" s="78">
        <f t="shared" si="18"/>
        <v>83.64</v>
      </c>
      <c r="L295" s="78">
        <f t="shared" si="19"/>
        <v>202.02</v>
      </c>
      <c r="M295" s="78">
        <f t="shared" si="20"/>
        <v>27676.820000000218</v>
      </c>
      <c r="N295" s="78">
        <v>0</v>
      </c>
      <c r="O295" s="78">
        <f t="shared" si="21"/>
        <v>285.66000000000003</v>
      </c>
    </row>
    <row r="296" spans="1:15" ht="15" customHeight="1">
      <c r="A296" s="7">
        <v>260</v>
      </c>
      <c r="B296" s="70">
        <f t="shared" si="12"/>
        <v>345.51</v>
      </c>
      <c r="C296" s="70">
        <f t="shared" si="13"/>
        <v>116.3</v>
      </c>
      <c r="D296" s="70">
        <f t="shared" si="14"/>
        <v>229.20999999999998</v>
      </c>
      <c r="E296" s="70">
        <f t="shared" si="15"/>
        <v>38537.21999999995</v>
      </c>
      <c r="F296" s="78">
        <v>0</v>
      </c>
      <c r="G296" s="78">
        <f t="shared" si="16"/>
        <v>345.51</v>
      </c>
      <c r="I296" s="80">
        <v>260</v>
      </c>
      <c r="J296" s="78">
        <f t="shared" si="17"/>
        <v>285.05</v>
      </c>
      <c r="K296" s="78">
        <f t="shared" si="18"/>
        <v>83.03</v>
      </c>
      <c r="L296" s="78">
        <f t="shared" si="19"/>
        <v>202.02</v>
      </c>
      <c r="M296" s="78">
        <f t="shared" si="20"/>
        <v>27474.800000000218</v>
      </c>
      <c r="N296" s="78">
        <v>0</v>
      </c>
      <c r="O296" s="78">
        <f t="shared" si="21"/>
        <v>285.05</v>
      </c>
    </row>
    <row r="297" spans="1:15" ht="15" customHeight="1">
      <c r="A297" s="7">
        <v>261</v>
      </c>
      <c r="B297" s="70">
        <f t="shared" si="12"/>
        <v>345.51</v>
      </c>
      <c r="C297" s="70">
        <f t="shared" si="13"/>
        <v>115.61</v>
      </c>
      <c r="D297" s="70">
        <f t="shared" si="14"/>
        <v>229.89999999999998</v>
      </c>
      <c r="E297" s="70">
        <f t="shared" si="15"/>
        <v>38307.319999999949</v>
      </c>
      <c r="F297" s="78">
        <v>0</v>
      </c>
      <c r="G297" s="78">
        <f t="shared" si="16"/>
        <v>345.51</v>
      </c>
      <c r="I297" s="80">
        <v>261</v>
      </c>
      <c r="J297" s="78">
        <f t="shared" si="17"/>
        <v>284.44</v>
      </c>
      <c r="K297" s="78">
        <f t="shared" si="18"/>
        <v>82.42</v>
      </c>
      <c r="L297" s="78">
        <f t="shared" si="19"/>
        <v>202.02</v>
      </c>
      <c r="M297" s="78">
        <f t="shared" si="20"/>
        <v>27272.780000000217</v>
      </c>
      <c r="N297" s="78">
        <v>0</v>
      </c>
      <c r="O297" s="78">
        <f t="shared" si="21"/>
        <v>284.44</v>
      </c>
    </row>
    <row r="298" spans="1:15" ht="15" customHeight="1">
      <c r="A298" s="7">
        <v>262</v>
      </c>
      <c r="B298" s="70">
        <f t="shared" si="12"/>
        <v>345.51</v>
      </c>
      <c r="C298" s="70">
        <f t="shared" si="13"/>
        <v>114.92</v>
      </c>
      <c r="D298" s="70">
        <f t="shared" si="14"/>
        <v>230.58999999999997</v>
      </c>
      <c r="E298" s="70">
        <f t="shared" si="15"/>
        <v>38076.729999999952</v>
      </c>
      <c r="F298" s="78">
        <v>0</v>
      </c>
      <c r="G298" s="78">
        <f t="shared" si="16"/>
        <v>345.51</v>
      </c>
      <c r="I298" s="80">
        <v>262</v>
      </c>
      <c r="J298" s="78">
        <f t="shared" si="17"/>
        <v>283.84000000000003</v>
      </c>
      <c r="K298" s="78">
        <f t="shared" si="18"/>
        <v>81.819999999999993</v>
      </c>
      <c r="L298" s="78">
        <f t="shared" si="19"/>
        <v>202.02</v>
      </c>
      <c r="M298" s="78">
        <f t="shared" si="20"/>
        <v>27070.760000000217</v>
      </c>
      <c r="N298" s="78">
        <v>0</v>
      </c>
      <c r="O298" s="78">
        <f t="shared" si="21"/>
        <v>283.84000000000003</v>
      </c>
    </row>
    <row r="299" spans="1:15" ht="15" customHeight="1">
      <c r="A299" s="7">
        <v>263</v>
      </c>
      <c r="B299" s="70">
        <f t="shared" si="12"/>
        <v>345.51</v>
      </c>
      <c r="C299" s="70">
        <f t="shared" si="13"/>
        <v>114.23</v>
      </c>
      <c r="D299" s="70">
        <f t="shared" si="14"/>
        <v>231.27999999999997</v>
      </c>
      <c r="E299" s="70">
        <f t="shared" si="15"/>
        <v>37845.449999999953</v>
      </c>
      <c r="F299" s="78">
        <v>0</v>
      </c>
      <c r="G299" s="78">
        <f t="shared" si="16"/>
        <v>345.51</v>
      </c>
      <c r="I299" s="80">
        <v>263</v>
      </c>
      <c r="J299" s="78">
        <f t="shared" si="17"/>
        <v>283.23</v>
      </c>
      <c r="K299" s="78">
        <f t="shared" si="18"/>
        <v>81.209999999999994</v>
      </c>
      <c r="L299" s="78">
        <f t="shared" si="19"/>
        <v>202.02</v>
      </c>
      <c r="M299" s="78">
        <f t="shared" si="20"/>
        <v>26868.740000000216</v>
      </c>
      <c r="N299" s="78">
        <v>0</v>
      </c>
      <c r="O299" s="78">
        <f t="shared" si="21"/>
        <v>283.23</v>
      </c>
    </row>
    <row r="300" spans="1:15" ht="15" customHeight="1">
      <c r="A300" s="7">
        <v>264</v>
      </c>
      <c r="B300" s="70">
        <f t="shared" si="12"/>
        <v>345.51</v>
      </c>
      <c r="C300" s="70">
        <f t="shared" si="13"/>
        <v>113.54</v>
      </c>
      <c r="D300" s="70">
        <f t="shared" si="14"/>
        <v>231.96999999999997</v>
      </c>
      <c r="E300" s="70">
        <f t="shared" si="15"/>
        <v>37613.479999999952</v>
      </c>
      <c r="F300" s="78">
        <v>0</v>
      </c>
      <c r="G300" s="78">
        <f t="shared" si="16"/>
        <v>345.51</v>
      </c>
      <c r="I300" s="80">
        <v>264</v>
      </c>
      <c r="J300" s="78">
        <f t="shared" si="17"/>
        <v>282.63</v>
      </c>
      <c r="K300" s="78">
        <f t="shared" si="18"/>
        <v>80.61</v>
      </c>
      <c r="L300" s="78">
        <f t="shared" si="19"/>
        <v>202.02</v>
      </c>
      <c r="M300" s="78">
        <f t="shared" si="20"/>
        <v>26666.720000000216</v>
      </c>
      <c r="N300" s="78">
        <v>0</v>
      </c>
      <c r="O300" s="78">
        <f t="shared" si="21"/>
        <v>282.63</v>
      </c>
    </row>
    <row r="301" spans="1:15" ht="15" customHeight="1">
      <c r="A301" s="7">
        <v>265</v>
      </c>
      <c r="B301" s="70">
        <f t="shared" si="12"/>
        <v>345.51</v>
      </c>
      <c r="C301" s="70">
        <f t="shared" si="13"/>
        <v>112.84</v>
      </c>
      <c r="D301" s="70">
        <f t="shared" si="14"/>
        <v>232.67</v>
      </c>
      <c r="E301" s="70">
        <f t="shared" si="15"/>
        <v>37380.809999999954</v>
      </c>
      <c r="F301" s="78">
        <v>0</v>
      </c>
      <c r="G301" s="78">
        <f t="shared" si="16"/>
        <v>345.51</v>
      </c>
      <c r="I301" s="80">
        <v>265</v>
      </c>
      <c r="J301" s="78">
        <f t="shared" si="17"/>
        <v>282.02</v>
      </c>
      <c r="K301" s="78">
        <f t="shared" si="18"/>
        <v>80</v>
      </c>
      <c r="L301" s="78">
        <f t="shared" si="19"/>
        <v>202.02</v>
      </c>
      <c r="M301" s="78">
        <f t="shared" si="20"/>
        <v>26464.700000000215</v>
      </c>
      <c r="N301" s="78">
        <v>0</v>
      </c>
      <c r="O301" s="78">
        <f t="shared" si="21"/>
        <v>282.02</v>
      </c>
    </row>
    <row r="302" spans="1:15" ht="15" customHeight="1">
      <c r="A302" s="7">
        <v>266</v>
      </c>
      <c r="B302" s="70">
        <f t="shared" si="12"/>
        <v>345.51</v>
      </c>
      <c r="C302" s="70">
        <f t="shared" si="13"/>
        <v>112.14</v>
      </c>
      <c r="D302" s="70">
        <f t="shared" si="14"/>
        <v>233.37</v>
      </c>
      <c r="E302" s="70">
        <f t="shared" si="15"/>
        <v>37147.439999999951</v>
      </c>
      <c r="F302" s="78">
        <v>0</v>
      </c>
      <c r="G302" s="78">
        <f t="shared" si="16"/>
        <v>345.51</v>
      </c>
      <c r="I302" s="80">
        <v>266</v>
      </c>
      <c r="J302" s="78">
        <f t="shared" si="17"/>
        <v>281.41000000000003</v>
      </c>
      <c r="K302" s="78">
        <f t="shared" si="18"/>
        <v>79.39</v>
      </c>
      <c r="L302" s="78">
        <f t="shared" si="19"/>
        <v>202.02</v>
      </c>
      <c r="M302" s="78">
        <f t="shared" si="20"/>
        <v>26262.680000000215</v>
      </c>
      <c r="N302" s="78">
        <v>0</v>
      </c>
      <c r="O302" s="78">
        <f t="shared" si="21"/>
        <v>281.41000000000003</v>
      </c>
    </row>
    <row r="303" spans="1:15" ht="15" customHeight="1">
      <c r="A303" s="7">
        <v>267</v>
      </c>
      <c r="B303" s="70">
        <f t="shared" si="12"/>
        <v>345.51</v>
      </c>
      <c r="C303" s="70">
        <f t="shared" si="13"/>
        <v>111.44</v>
      </c>
      <c r="D303" s="70">
        <f t="shared" si="14"/>
        <v>234.07</v>
      </c>
      <c r="E303" s="70">
        <f t="shared" si="15"/>
        <v>36913.369999999952</v>
      </c>
      <c r="F303" s="78">
        <v>0</v>
      </c>
      <c r="G303" s="78">
        <f t="shared" si="16"/>
        <v>345.51</v>
      </c>
      <c r="I303" s="80">
        <v>267</v>
      </c>
      <c r="J303" s="78">
        <f t="shared" si="17"/>
        <v>280.81</v>
      </c>
      <c r="K303" s="78">
        <f t="shared" si="18"/>
        <v>78.790000000000006</v>
      </c>
      <c r="L303" s="78">
        <f t="shared" si="19"/>
        <v>202.02</v>
      </c>
      <c r="M303" s="78">
        <f t="shared" si="20"/>
        <v>26060.660000000214</v>
      </c>
      <c r="N303" s="78">
        <v>0</v>
      </c>
      <c r="O303" s="78">
        <f t="shared" si="21"/>
        <v>280.81</v>
      </c>
    </row>
    <row r="304" spans="1:15" ht="15" customHeight="1">
      <c r="A304" s="7">
        <v>268</v>
      </c>
      <c r="B304" s="70">
        <f t="shared" si="12"/>
        <v>345.51</v>
      </c>
      <c r="C304" s="70">
        <f t="shared" si="13"/>
        <v>110.74</v>
      </c>
      <c r="D304" s="70">
        <f t="shared" si="14"/>
        <v>234.76999999999998</v>
      </c>
      <c r="E304" s="70">
        <f t="shared" si="15"/>
        <v>36678.599999999955</v>
      </c>
      <c r="F304" s="78">
        <v>0</v>
      </c>
      <c r="G304" s="78">
        <f t="shared" si="16"/>
        <v>345.51</v>
      </c>
      <c r="I304" s="80">
        <v>268</v>
      </c>
      <c r="J304" s="78">
        <f t="shared" si="17"/>
        <v>280.20000000000005</v>
      </c>
      <c r="K304" s="78">
        <f t="shared" si="18"/>
        <v>78.180000000000007</v>
      </c>
      <c r="L304" s="78">
        <f t="shared" si="19"/>
        <v>202.02</v>
      </c>
      <c r="M304" s="78">
        <f t="shared" si="20"/>
        <v>25858.640000000214</v>
      </c>
      <c r="N304" s="78">
        <v>0</v>
      </c>
      <c r="O304" s="78">
        <f t="shared" si="21"/>
        <v>280.20000000000005</v>
      </c>
    </row>
    <row r="305" spans="1:15" ht="15" customHeight="1">
      <c r="A305" s="7">
        <v>269</v>
      </c>
      <c r="B305" s="70">
        <f t="shared" si="12"/>
        <v>345.51</v>
      </c>
      <c r="C305" s="70">
        <f t="shared" si="13"/>
        <v>110.04</v>
      </c>
      <c r="D305" s="70">
        <f t="shared" si="14"/>
        <v>235.46999999999997</v>
      </c>
      <c r="E305" s="70">
        <f t="shared" si="15"/>
        <v>36443.129999999954</v>
      </c>
      <c r="F305" s="78">
        <v>0</v>
      </c>
      <c r="G305" s="78">
        <f t="shared" si="16"/>
        <v>345.51</v>
      </c>
      <c r="I305" s="80">
        <v>269</v>
      </c>
      <c r="J305" s="78">
        <f t="shared" si="17"/>
        <v>279.60000000000002</v>
      </c>
      <c r="K305" s="78">
        <f t="shared" si="18"/>
        <v>77.58</v>
      </c>
      <c r="L305" s="78">
        <f t="shared" si="19"/>
        <v>202.02</v>
      </c>
      <c r="M305" s="78">
        <f t="shared" si="20"/>
        <v>25656.620000000214</v>
      </c>
      <c r="N305" s="78">
        <v>0</v>
      </c>
      <c r="O305" s="78">
        <f t="shared" si="21"/>
        <v>279.60000000000002</v>
      </c>
    </row>
    <row r="306" spans="1:15" ht="15" customHeight="1">
      <c r="A306" s="7">
        <v>270</v>
      </c>
      <c r="B306" s="70">
        <f t="shared" si="12"/>
        <v>345.51</v>
      </c>
      <c r="C306" s="70">
        <f t="shared" si="13"/>
        <v>109.33</v>
      </c>
      <c r="D306" s="70">
        <f t="shared" si="14"/>
        <v>236.18</v>
      </c>
      <c r="E306" s="70">
        <f t="shared" si="15"/>
        <v>36206.949999999953</v>
      </c>
      <c r="F306" s="78">
        <v>0</v>
      </c>
      <c r="G306" s="78">
        <f t="shared" si="16"/>
        <v>345.51</v>
      </c>
      <c r="I306" s="80">
        <v>270</v>
      </c>
      <c r="J306" s="78">
        <f t="shared" si="17"/>
        <v>278.99</v>
      </c>
      <c r="K306" s="78">
        <f t="shared" si="18"/>
        <v>76.97</v>
      </c>
      <c r="L306" s="78">
        <f t="shared" si="19"/>
        <v>202.02</v>
      </c>
      <c r="M306" s="78">
        <f t="shared" si="20"/>
        <v>25454.600000000213</v>
      </c>
      <c r="N306" s="78">
        <v>0</v>
      </c>
      <c r="O306" s="78">
        <f t="shared" si="21"/>
        <v>278.99</v>
      </c>
    </row>
    <row r="307" spans="1:15" ht="15" customHeight="1">
      <c r="A307" s="7">
        <v>271</v>
      </c>
      <c r="B307" s="70">
        <f t="shared" si="12"/>
        <v>345.51</v>
      </c>
      <c r="C307" s="70">
        <f t="shared" si="13"/>
        <v>108.62</v>
      </c>
      <c r="D307" s="70">
        <f t="shared" si="14"/>
        <v>236.89</v>
      </c>
      <c r="E307" s="70">
        <f t="shared" si="15"/>
        <v>35970.059999999954</v>
      </c>
      <c r="F307" s="78">
        <v>0</v>
      </c>
      <c r="G307" s="78">
        <f t="shared" si="16"/>
        <v>345.51</v>
      </c>
      <c r="I307" s="80">
        <v>271</v>
      </c>
      <c r="J307" s="78">
        <f t="shared" si="17"/>
        <v>278.38</v>
      </c>
      <c r="K307" s="78">
        <f t="shared" si="18"/>
        <v>76.36</v>
      </c>
      <c r="L307" s="78">
        <f t="shared" si="19"/>
        <v>202.02</v>
      </c>
      <c r="M307" s="78">
        <f t="shared" si="20"/>
        <v>25252.580000000213</v>
      </c>
      <c r="N307" s="78">
        <v>0</v>
      </c>
      <c r="O307" s="78">
        <f t="shared" si="21"/>
        <v>278.38</v>
      </c>
    </row>
    <row r="308" spans="1:15" ht="15" customHeight="1">
      <c r="A308" s="7">
        <v>272</v>
      </c>
      <c r="B308" s="70">
        <f t="shared" si="12"/>
        <v>345.51</v>
      </c>
      <c r="C308" s="70">
        <f t="shared" si="13"/>
        <v>107.91</v>
      </c>
      <c r="D308" s="70">
        <f t="shared" si="14"/>
        <v>237.6</v>
      </c>
      <c r="E308" s="70">
        <f t="shared" si="15"/>
        <v>35732.459999999955</v>
      </c>
      <c r="F308" s="78">
        <v>0</v>
      </c>
      <c r="G308" s="78">
        <f t="shared" si="16"/>
        <v>345.51</v>
      </c>
      <c r="I308" s="80">
        <v>272</v>
      </c>
      <c r="J308" s="78">
        <f t="shared" si="17"/>
        <v>277.78000000000003</v>
      </c>
      <c r="K308" s="78">
        <f t="shared" si="18"/>
        <v>75.760000000000005</v>
      </c>
      <c r="L308" s="78">
        <f t="shared" si="19"/>
        <v>202.02</v>
      </c>
      <c r="M308" s="78">
        <f t="shared" si="20"/>
        <v>25050.560000000212</v>
      </c>
      <c r="N308" s="78">
        <v>0</v>
      </c>
      <c r="O308" s="78">
        <f t="shared" si="21"/>
        <v>277.78000000000003</v>
      </c>
    </row>
    <row r="309" spans="1:15" ht="15" customHeight="1">
      <c r="A309" s="7">
        <v>273</v>
      </c>
      <c r="B309" s="70">
        <f t="shared" si="12"/>
        <v>345.51</v>
      </c>
      <c r="C309" s="70">
        <f t="shared" si="13"/>
        <v>107.2</v>
      </c>
      <c r="D309" s="70">
        <f t="shared" si="14"/>
        <v>238.31</v>
      </c>
      <c r="E309" s="70">
        <f t="shared" si="15"/>
        <v>35494.149999999958</v>
      </c>
      <c r="F309" s="78">
        <v>0</v>
      </c>
      <c r="G309" s="78">
        <f t="shared" si="16"/>
        <v>345.51</v>
      </c>
      <c r="I309" s="80">
        <v>273</v>
      </c>
      <c r="J309" s="78">
        <f t="shared" si="17"/>
        <v>277.17</v>
      </c>
      <c r="K309" s="78">
        <f t="shared" si="18"/>
        <v>75.150000000000006</v>
      </c>
      <c r="L309" s="78">
        <f t="shared" si="19"/>
        <v>202.02</v>
      </c>
      <c r="M309" s="78">
        <f t="shared" si="20"/>
        <v>24848.540000000212</v>
      </c>
      <c r="N309" s="78">
        <v>0</v>
      </c>
      <c r="O309" s="78">
        <f t="shared" si="21"/>
        <v>277.17</v>
      </c>
    </row>
    <row r="310" spans="1:15" ht="15" customHeight="1">
      <c r="A310" s="7">
        <v>274</v>
      </c>
      <c r="B310" s="70">
        <f t="shared" si="12"/>
        <v>345.51</v>
      </c>
      <c r="C310" s="70">
        <f t="shared" si="13"/>
        <v>106.48</v>
      </c>
      <c r="D310" s="70">
        <f t="shared" si="14"/>
        <v>239.02999999999997</v>
      </c>
      <c r="E310" s="70">
        <f t="shared" si="15"/>
        <v>35255.119999999959</v>
      </c>
      <c r="F310" s="78">
        <v>0</v>
      </c>
      <c r="G310" s="78">
        <f t="shared" si="16"/>
        <v>345.51</v>
      </c>
      <c r="I310" s="80">
        <v>274</v>
      </c>
      <c r="J310" s="78">
        <f t="shared" si="17"/>
        <v>276.57</v>
      </c>
      <c r="K310" s="78">
        <f t="shared" si="18"/>
        <v>74.55</v>
      </c>
      <c r="L310" s="78">
        <f t="shared" si="19"/>
        <v>202.02</v>
      </c>
      <c r="M310" s="78">
        <f t="shared" si="20"/>
        <v>24646.520000000211</v>
      </c>
      <c r="N310" s="78">
        <v>0</v>
      </c>
      <c r="O310" s="78">
        <f t="shared" si="21"/>
        <v>276.57</v>
      </c>
    </row>
    <row r="311" spans="1:15" ht="15" customHeight="1">
      <c r="A311" s="7">
        <v>275</v>
      </c>
      <c r="B311" s="70">
        <f t="shared" si="12"/>
        <v>345.51</v>
      </c>
      <c r="C311" s="70">
        <f t="shared" si="13"/>
        <v>105.77</v>
      </c>
      <c r="D311" s="70">
        <f t="shared" si="14"/>
        <v>239.74</v>
      </c>
      <c r="E311" s="70">
        <f t="shared" si="15"/>
        <v>35015.379999999961</v>
      </c>
      <c r="F311" s="78">
        <v>0</v>
      </c>
      <c r="G311" s="78">
        <f t="shared" si="16"/>
        <v>345.51</v>
      </c>
      <c r="I311" s="80">
        <v>275</v>
      </c>
      <c r="J311" s="78">
        <f t="shared" si="17"/>
        <v>275.96000000000004</v>
      </c>
      <c r="K311" s="78">
        <f t="shared" si="18"/>
        <v>73.94</v>
      </c>
      <c r="L311" s="78">
        <f t="shared" si="19"/>
        <v>202.02</v>
      </c>
      <c r="M311" s="78">
        <f t="shared" si="20"/>
        <v>24444.500000000211</v>
      </c>
      <c r="N311" s="78">
        <v>0</v>
      </c>
      <c r="O311" s="78">
        <f t="shared" si="21"/>
        <v>275.96000000000004</v>
      </c>
    </row>
    <row r="312" spans="1:15" ht="15" customHeight="1">
      <c r="A312" s="7">
        <v>276</v>
      </c>
      <c r="B312" s="70">
        <f t="shared" si="12"/>
        <v>345.51</v>
      </c>
      <c r="C312" s="70">
        <f t="shared" si="13"/>
        <v>105.05</v>
      </c>
      <c r="D312" s="70">
        <f t="shared" si="14"/>
        <v>240.45999999999998</v>
      </c>
      <c r="E312" s="70">
        <f t="shared" si="15"/>
        <v>34774.919999999962</v>
      </c>
      <c r="F312" s="78">
        <v>0</v>
      </c>
      <c r="G312" s="78">
        <f t="shared" si="16"/>
        <v>345.51</v>
      </c>
      <c r="I312" s="80">
        <v>276</v>
      </c>
      <c r="J312" s="78">
        <f t="shared" si="17"/>
        <v>275.35000000000002</v>
      </c>
      <c r="K312" s="78">
        <f t="shared" si="18"/>
        <v>73.33</v>
      </c>
      <c r="L312" s="78">
        <f t="shared" si="19"/>
        <v>202.02</v>
      </c>
      <c r="M312" s="78">
        <f t="shared" si="20"/>
        <v>24242.480000000211</v>
      </c>
      <c r="N312" s="78">
        <v>0</v>
      </c>
      <c r="O312" s="78">
        <f t="shared" si="21"/>
        <v>275.35000000000002</v>
      </c>
    </row>
    <row r="313" spans="1:15" ht="15" customHeight="1">
      <c r="A313" s="7">
        <v>277</v>
      </c>
      <c r="B313" s="70">
        <f t="shared" si="12"/>
        <v>345.51</v>
      </c>
      <c r="C313" s="70">
        <f t="shared" si="13"/>
        <v>104.32</v>
      </c>
      <c r="D313" s="70">
        <f t="shared" si="14"/>
        <v>241.19</v>
      </c>
      <c r="E313" s="70">
        <f t="shared" si="15"/>
        <v>34533.72999999996</v>
      </c>
      <c r="F313" s="78">
        <v>0</v>
      </c>
      <c r="G313" s="78">
        <f t="shared" si="16"/>
        <v>345.51</v>
      </c>
      <c r="I313" s="80">
        <v>277</v>
      </c>
      <c r="J313" s="78">
        <f t="shared" si="17"/>
        <v>274.75</v>
      </c>
      <c r="K313" s="78">
        <f t="shared" si="18"/>
        <v>72.73</v>
      </c>
      <c r="L313" s="78">
        <f t="shared" si="19"/>
        <v>202.02</v>
      </c>
      <c r="M313" s="78">
        <f t="shared" si="20"/>
        <v>24040.46000000021</v>
      </c>
      <c r="N313" s="78">
        <v>0</v>
      </c>
      <c r="O313" s="78">
        <f t="shared" si="21"/>
        <v>274.75</v>
      </c>
    </row>
    <row r="314" spans="1:15" ht="15" customHeight="1">
      <c r="A314" s="7">
        <v>278</v>
      </c>
      <c r="B314" s="70">
        <f t="shared" si="12"/>
        <v>345.51</v>
      </c>
      <c r="C314" s="70">
        <f t="shared" si="13"/>
        <v>103.6</v>
      </c>
      <c r="D314" s="70">
        <f t="shared" si="14"/>
        <v>241.91</v>
      </c>
      <c r="E314" s="70">
        <f t="shared" si="15"/>
        <v>34291.819999999956</v>
      </c>
      <c r="F314" s="78">
        <v>0</v>
      </c>
      <c r="G314" s="78">
        <f t="shared" si="16"/>
        <v>345.51</v>
      </c>
      <c r="I314" s="80">
        <v>278</v>
      </c>
      <c r="J314" s="78">
        <f t="shared" si="17"/>
        <v>274.14</v>
      </c>
      <c r="K314" s="78">
        <f t="shared" si="18"/>
        <v>72.12</v>
      </c>
      <c r="L314" s="78">
        <f t="shared" si="19"/>
        <v>202.02</v>
      </c>
      <c r="M314" s="78">
        <f t="shared" si="20"/>
        <v>23838.44000000021</v>
      </c>
      <c r="N314" s="78">
        <v>0</v>
      </c>
      <c r="O314" s="78">
        <f t="shared" si="21"/>
        <v>274.14</v>
      </c>
    </row>
    <row r="315" spans="1:15" ht="15" customHeight="1">
      <c r="A315" s="7">
        <v>279</v>
      </c>
      <c r="B315" s="70">
        <f t="shared" si="12"/>
        <v>345.51</v>
      </c>
      <c r="C315" s="70">
        <f t="shared" si="13"/>
        <v>102.88</v>
      </c>
      <c r="D315" s="70">
        <f t="shared" si="14"/>
        <v>242.63</v>
      </c>
      <c r="E315" s="70">
        <f t="shared" si="15"/>
        <v>34049.189999999959</v>
      </c>
      <c r="F315" s="78">
        <v>0</v>
      </c>
      <c r="G315" s="78">
        <f t="shared" si="16"/>
        <v>345.51</v>
      </c>
      <c r="I315" s="80">
        <v>279</v>
      </c>
      <c r="J315" s="78">
        <f t="shared" si="17"/>
        <v>273.54000000000002</v>
      </c>
      <c r="K315" s="78">
        <f t="shared" si="18"/>
        <v>71.52</v>
      </c>
      <c r="L315" s="78">
        <f t="shared" si="19"/>
        <v>202.02</v>
      </c>
      <c r="M315" s="78">
        <f t="shared" si="20"/>
        <v>23636.420000000209</v>
      </c>
      <c r="N315" s="78">
        <v>0</v>
      </c>
      <c r="O315" s="78">
        <f t="shared" si="21"/>
        <v>273.54000000000002</v>
      </c>
    </row>
    <row r="316" spans="1:15" ht="15" customHeight="1">
      <c r="A316" s="7">
        <v>280</v>
      </c>
      <c r="B316" s="70">
        <f t="shared" si="12"/>
        <v>345.51</v>
      </c>
      <c r="C316" s="70">
        <f t="shared" si="13"/>
        <v>102.15</v>
      </c>
      <c r="D316" s="70">
        <f t="shared" si="14"/>
        <v>243.35999999999999</v>
      </c>
      <c r="E316" s="70">
        <f t="shared" si="15"/>
        <v>33805.829999999958</v>
      </c>
      <c r="F316" s="78">
        <v>0</v>
      </c>
      <c r="G316" s="78">
        <f t="shared" si="16"/>
        <v>345.51</v>
      </c>
      <c r="I316" s="80">
        <v>280</v>
      </c>
      <c r="J316" s="78">
        <f t="shared" si="17"/>
        <v>272.93</v>
      </c>
      <c r="K316" s="78">
        <f t="shared" si="18"/>
        <v>70.91</v>
      </c>
      <c r="L316" s="78">
        <f t="shared" si="19"/>
        <v>202.02</v>
      </c>
      <c r="M316" s="78">
        <f t="shared" si="20"/>
        <v>23434.400000000209</v>
      </c>
      <c r="N316" s="78">
        <v>0</v>
      </c>
      <c r="O316" s="78">
        <f t="shared" si="21"/>
        <v>272.93</v>
      </c>
    </row>
    <row r="317" spans="1:15" ht="15" customHeight="1">
      <c r="A317" s="7">
        <v>281</v>
      </c>
      <c r="B317" s="70">
        <f t="shared" si="12"/>
        <v>345.51</v>
      </c>
      <c r="C317" s="70">
        <f t="shared" si="13"/>
        <v>101.42</v>
      </c>
      <c r="D317" s="70">
        <f t="shared" si="14"/>
        <v>244.08999999999997</v>
      </c>
      <c r="E317" s="70">
        <f t="shared" si="15"/>
        <v>33561.739999999962</v>
      </c>
      <c r="F317" s="78">
        <v>0</v>
      </c>
      <c r="G317" s="78">
        <f t="shared" si="16"/>
        <v>345.51</v>
      </c>
      <c r="I317" s="80">
        <v>281</v>
      </c>
      <c r="J317" s="78">
        <f t="shared" si="17"/>
        <v>272.32</v>
      </c>
      <c r="K317" s="78">
        <f t="shared" si="18"/>
        <v>70.3</v>
      </c>
      <c r="L317" s="78">
        <f t="shared" si="19"/>
        <v>202.02</v>
      </c>
      <c r="M317" s="78">
        <f t="shared" si="20"/>
        <v>23232.380000000208</v>
      </c>
      <c r="N317" s="78">
        <v>0</v>
      </c>
      <c r="O317" s="78">
        <f t="shared" si="21"/>
        <v>272.32</v>
      </c>
    </row>
    <row r="318" spans="1:15" ht="15" customHeight="1">
      <c r="A318" s="7">
        <v>282</v>
      </c>
      <c r="B318" s="70">
        <f t="shared" si="12"/>
        <v>345.51</v>
      </c>
      <c r="C318" s="70">
        <f t="shared" si="13"/>
        <v>100.69</v>
      </c>
      <c r="D318" s="70">
        <f t="shared" si="14"/>
        <v>244.82</v>
      </c>
      <c r="E318" s="70">
        <f t="shared" si="15"/>
        <v>33316.919999999962</v>
      </c>
      <c r="F318" s="78">
        <v>0</v>
      </c>
      <c r="G318" s="78">
        <f t="shared" si="16"/>
        <v>345.51</v>
      </c>
      <c r="I318" s="80">
        <v>282</v>
      </c>
      <c r="J318" s="78">
        <f t="shared" si="17"/>
        <v>271.72000000000003</v>
      </c>
      <c r="K318" s="78">
        <f t="shared" si="18"/>
        <v>69.7</v>
      </c>
      <c r="L318" s="78">
        <f t="shared" si="19"/>
        <v>202.02</v>
      </c>
      <c r="M318" s="78">
        <f t="shared" si="20"/>
        <v>23030.360000000208</v>
      </c>
      <c r="N318" s="78">
        <v>0</v>
      </c>
      <c r="O318" s="78">
        <f t="shared" si="21"/>
        <v>271.72000000000003</v>
      </c>
    </row>
    <row r="319" spans="1:15" ht="15" customHeight="1">
      <c r="A319" s="7">
        <v>283</v>
      </c>
      <c r="B319" s="70">
        <f t="shared" si="12"/>
        <v>345.51</v>
      </c>
      <c r="C319" s="70">
        <f t="shared" si="13"/>
        <v>99.95</v>
      </c>
      <c r="D319" s="70">
        <f t="shared" si="14"/>
        <v>245.56</v>
      </c>
      <c r="E319" s="70">
        <f t="shared" si="15"/>
        <v>33071.359999999964</v>
      </c>
      <c r="F319" s="78">
        <v>0</v>
      </c>
      <c r="G319" s="78">
        <f t="shared" si="16"/>
        <v>345.51</v>
      </c>
      <c r="I319" s="80">
        <v>283</v>
      </c>
      <c r="J319" s="78">
        <f t="shared" si="17"/>
        <v>271.11</v>
      </c>
      <c r="K319" s="78">
        <f t="shared" si="18"/>
        <v>69.09</v>
      </c>
      <c r="L319" s="78">
        <f t="shared" si="19"/>
        <v>202.02</v>
      </c>
      <c r="M319" s="78">
        <f t="shared" si="20"/>
        <v>22828.340000000208</v>
      </c>
      <c r="N319" s="78">
        <v>0</v>
      </c>
      <c r="O319" s="78">
        <f t="shared" si="21"/>
        <v>271.11</v>
      </c>
    </row>
    <row r="320" spans="1:15" ht="15" customHeight="1">
      <c r="A320" s="7">
        <v>284</v>
      </c>
      <c r="B320" s="70">
        <f t="shared" si="12"/>
        <v>345.51</v>
      </c>
      <c r="C320" s="70">
        <f t="shared" si="13"/>
        <v>99.21</v>
      </c>
      <c r="D320" s="70">
        <f t="shared" si="14"/>
        <v>246.3</v>
      </c>
      <c r="E320" s="70">
        <f t="shared" si="15"/>
        <v>32825.059999999961</v>
      </c>
      <c r="F320" s="78">
        <v>0</v>
      </c>
      <c r="G320" s="78">
        <f t="shared" si="16"/>
        <v>345.51</v>
      </c>
      <c r="I320" s="80">
        <v>284</v>
      </c>
      <c r="J320" s="78">
        <f t="shared" si="17"/>
        <v>270.51</v>
      </c>
      <c r="K320" s="78">
        <f t="shared" si="18"/>
        <v>68.489999999999995</v>
      </c>
      <c r="L320" s="78">
        <f t="shared" si="19"/>
        <v>202.02</v>
      </c>
      <c r="M320" s="78">
        <f t="shared" si="20"/>
        <v>22626.320000000207</v>
      </c>
      <c r="N320" s="78">
        <v>0</v>
      </c>
      <c r="O320" s="78">
        <f t="shared" si="21"/>
        <v>270.51</v>
      </c>
    </row>
    <row r="321" spans="1:15" ht="15" customHeight="1">
      <c r="A321" s="7">
        <v>285</v>
      </c>
      <c r="B321" s="70">
        <f t="shared" si="12"/>
        <v>345.51</v>
      </c>
      <c r="C321" s="70">
        <f t="shared" si="13"/>
        <v>98.48</v>
      </c>
      <c r="D321" s="70">
        <f t="shared" si="14"/>
        <v>247.02999999999997</v>
      </c>
      <c r="E321" s="70">
        <f t="shared" si="15"/>
        <v>32578.029999999962</v>
      </c>
      <c r="F321" s="78">
        <v>0</v>
      </c>
      <c r="G321" s="78">
        <f t="shared" si="16"/>
        <v>345.51</v>
      </c>
      <c r="I321" s="80">
        <v>285</v>
      </c>
      <c r="J321" s="78">
        <f t="shared" si="17"/>
        <v>269.89999999999998</v>
      </c>
      <c r="K321" s="78">
        <f t="shared" si="18"/>
        <v>67.88</v>
      </c>
      <c r="L321" s="78">
        <f t="shared" si="19"/>
        <v>202.02</v>
      </c>
      <c r="M321" s="78">
        <f t="shared" si="20"/>
        <v>22424.300000000207</v>
      </c>
      <c r="N321" s="78">
        <v>0</v>
      </c>
      <c r="O321" s="78">
        <f t="shared" si="21"/>
        <v>269.89999999999998</v>
      </c>
    </row>
    <row r="322" spans="1:15" ht="15" customHeight="1">
      <c r="A322" s="7">
        <v>286</v>
      </c>
      <c r="B322" s="70">
        <f t="shared" si="12"/>
        <v>345.51</v>
      </c>
      <c r="C322" s="70">
        <f t="shared" si="13"/>
        <v>97.73</v>
      </c>
      <c r="D322" s="70">
        <f t="shared" si="14"/>
        <v>247.77999999999997</v>
      </c>
      <c r="E322" s="70">
        <f t="shared" si="15"/>
        <v>32330.249999999964</v>
      </c>
      <c r="F322" s="78">
        <v>0</v>
      </c>
      <c r="G322" s="78">
        <f t="shared" si="16"/>
        <v>345.51</v>
      </c>
      <c r="I322" s="80">
        <v>286</v>
      </c>
      <c r="J322" s="78">
        <f t="shared" si="17"/>
        <v>269.29000000000002</v>
      </c>
      <c r="K322" s="78">
        <f t="shared" si="18"/>
        <v>67.27</v>
      </c>
      <c r="L322" s="78">
        <f t="shared" si="19"/>
        <v>202.02</v>
      </c>
      <c r="M322" s="78">
        <f t="shared" si="20"/>
        <v>22222.280000000206</v>
      </c>
      <c r="N322" s="78">
        <v>0</v>
      </c>
      <c r="O322" s="78">
        <f t="shared" si="21"/>
        <v>269.29000000000002</v>
      </c>
    </row>
    <row r="323" spans="1:15" ht="15" customHeight="1">
      <c r="A323" s="7">
        <v>287</v>
      </c>
      <c r="B323" s="70">
        <f t="shared" si="12"/>
        <v>345.51</v>
      </c>
      <c r="C323" s="70">
        <f t="shared" si="13"/>
        <v>96.99</v>
      </c>
      <c r="D323" s="70">
        <f t="shared" si="14"/>
        <v>248.51999999999998</v>
      </c>
      <c r="E323" s="70">
        <f t="shared" si="15"/>
        <v>32081.729999999963</v>
      </c>
      <c r="F323" s="78">
        <v>0</v>
      </c>
      <c r="G323" s="78">
        <f t="shared" si="16"/>
        <v>345.51</v>
      </c>
      <c r="I323" s="80">
        <v>287</v>
      </c>
      <c r="J323" s="78">
        <f t="shared" si="17"/>
        <v>268.69</v>
      </c>
      <c r="K323" s="78">
        <f t="shared" si="18"/>
        <v>66.67</v>
      </c>
      <c r="L323" s="78">
        <f t="shared" si="19"/>
        <v>202.02</v>
      </c>
      <c r="M323" s="78">
        <f t="shared" si="20"/>
        <v>22020.260000000206</v>
      </c>
      <c r="N323" s="78">
        <v>0</v>
      </c>
      <c r="O323" s="78">
        <f t="shared" si="21"/>
        <v>268.69</v>
      </c>
    </row>
    <row r="324" spans="1:15" ht="15" customHeight="1">
      <c r="A324" s="7">
        <v>288</v>
      </c>
      <c r="B324" s="70">
        <f t="shared" si="12"/>
        <v>345.51</v>
      </c>
      <c r="C324" s="70">
        <f t="shared" si="13"/>
        <v>96.25</v>
      </c>
      <c r="D324" s="70">
        <f t="shared" si="14"/>
        <v>249.26</v>
      </c>
      <c r="E324" s="70">
        <f t="shared" si="15"/>
        <v>31832.469999999965</v>
      </c>
      <c r="F324" s="78">
        <v>0</v>
      </c>
      <c r="G324" s="78">
        <f t="shared" si="16"/>
        <v>345.51</v>
      </c>
      <c r="I324" s="80">
        <v>288</v>
      </c>
      <c r="J324" s="78">
        <f t="shared" si="17"/>
        <v>268.08000000000004</v>
      </c>
      <c r="K324" s="78">
        <f t="shared" si="18"/>
        <v>66.06</v>
      </c>
      <c r="L324" s="78">
        <f t="shared" si="19"/>
        <v>202.02</v>
      </c>
      <c r="M324" s="78">
        <f t="shared" si="20"/>
        <v>21818.240000000205</v>
      </c>
      <c r="N324" s="78">
        <v>0</v>
      </c>
      <c r="O324" s="78">
        <f t="shared" si="21"/>
        <v>268.08000000000004</v>
      </c>
    </row>
    <row r="325" spans="1:15" ht="15" customHeight="1">
      <c r="A325" s="7">
        <v>289</v>
      </c>
      <c r="B325" s="70">
        <f t="shared" si="12"/>
        <v>345.51</v>
      </c>
      <c r="C325" s="70">
        <f t="shared" si="13"/>
        <v>95.5</v>
      </c>
      <c r="D325" s="70">
        <f t="shared" si="14"/>
        <v>250.01</v>
      </c>
      <c r="E325" s="70">
        <f t="shared" si="15"/>
        <v>31582.459999999966</v>
      </c>
      <c r="F325" s="78">
        <v>0</v>
      </c>
      <c r="G325" s="78">
        <f t="shared" si="16"/>
        <v>345.51</v>
      </c>
      <c r="I325" s="80">
        <v>289</v>
      </c>
      <c r="J325" s="78">
        <f t="shared" si="17"/>
        <v>267.47000000000003</v>
      </c>
      <c r="K325" s="78">
        <f t="shared" si="18"/>
        <v>65.45</v>
      </c>
      <c r="L325" s="78">
        <f t="shared" si="19"/>
        <v>202.02</v>
      </c>
      <c r="M325" s="78">
        <f t="shared" si="20"/>
        <v>21616.220000000205</v>
      </c>
      <c r="N325" s="78">
        <v>0</v>
      </c>
      <c r="O325" s="78">
        <f t="shared" si="21"/>
        <v>267.47000000000003</v>
      </c>
    </row>
    <row r="326" spans="1:15" ht="15" customHeight="1">
      <c r="A326" s="7">
        <v>290</v>
      </c>
      <c r="B326" s="70">
        <f t="shared" si="12"/>
        <v>345.51</v>
      </c>
      <c r="C326" s="70">
        <f t="shared" si="13"/>
        <v>94.75</v>
      </c>
      <c r="D326" s="70">
        <f t="shared" si="14"/>
        <v>250.76</v>
      </c>
      <c r="E326" s="70">
        <f t="shared" si="15"/>
        <v>31331.699999999968</v>
      </c>
      <c r="F326" s="78">
        <v>0</v>
      </c>
      <c r="G326" s="78">
        <f t="shared" si="16"/>
        <v>345.51</v>
      </c>
      <c r="I326" s="80">
        <v>290</v>
      </c>
      <c r="J326" s="78">
        <f t="shared" si="17"/>
        <v>266.87</v>
      </c>
      <c r="K326" s="78">
        <f t="shared" si="18"/>
        <v>64.849999999999994</v>
      </c>
      <c r="L326" s="78">
        <f t="shared" si="19"/>
        <v>202.02</v>
      </c>
      <c r="M326" s="78">
        <f t="shared" si="20"/>
        <v>21414.200000000204</v>
      </c>
      <c r="N326" s="78">
        <v>0</v>
      </c>
      <c r="O326" s="78">
        <f t="shared" si="21"/>
        <v>266.87</v>
      </c>
    </row>
    <row r="327" spans="1:15" ht="15" customHeight="1">
      <c r="A327" s="7">
        <v>291</v>
      </c>
      <c r="B327" s="70">
        <f t="shared" si="12"/>
        <v>345.51</v>
      </c>
      <c r="C327" s="70">
        <f t="shared" si="13"/>
        <v>94</v>
      </c>
      <c r="D327" s="70">
        <f t="shared" si="14"/>
        <v>251.51</v>
      </c>
      <c r="E327" s="70">
        <f t="shared" si="15"/>
        <v>31080.18999999997</v>
      </c>
      <c r="F327" s="78">
        <v>0</v>
      </c>
      <c r="G327" s="78">
        <f t="shared" si="16"/>
        <v>345.51</v>
      </c>
      <c r="I327" s="80">
        <v>291</v>
      </c>
      <c r="J327" s="78">
        <f t="shared" si="17"/>
        <v>266.26</v>
      </c>
      <c r="K327" s="78">
        <f t="shared" si="18"/>
        <v>64.239999999999995</v>
      </c>
      <c r="L327" s="78">
        <f t="shared" si="19"/>
        <v>202.02</v>
      </c>
      <c r="M327" s="78">
        <f t="shared" si="20"/>
        <v>21212.180000000204</v>
      </c>
      <c r="N327" s="78">
        <v>0</v>
      </c>
      <c r="O327" s="78">
        <f t="shared" si="21"/>
        <v>266.26</v>
      </c>
    </row>
    <row r="328" spans="1:15" ht="15" customHeight="1">
      <c r="A328" s="7">
        <v>292</v>
      </c>
      <c r="B328" s="70">
        <f t="shared" si="12"/>
        <v>345.51</v>
      </c>
      <c r="C328" s="70">
        <f t="shared" si="13"/>
        <v>93.24</v>
      </c>
      <c r="D328" s="70">
        <f t="shared" si="14"/>
        <v>252.26999999999998</v>
      </c>
      <c r="E328" s="70">
        <f t="shared" si="15"/>
        <v>30827.919999999969</v>
      </c>
      <c r="F328" s="78">
        <v>0</v>
      </c>
      <c r="G328" s="78">
        <f t="shared" si="16"/>
        <v>345.51</v>
      </c>
      <c r="I328" s="80">
        <v>292</v>
      </c>
      <c r="J328" s="78">
        <f t="shared" si="17"/>
        <v>265.66000000000003</v>
      </c>
      <c r="K328" s="78">
        <f t="shared" si="18"/>
        <v>63.64</v>
      </c>
      <c r="L328" s="78">
        <f t="shared" si="19"/>
        <v>202.02</v>
      </c>
      <c r="M328" s="78">
        <f t="shared" si="20"/>
        <v>21010.160000000204</v>
      </c>
      <c r="N328" s="78">
        <v>0</v>
      </c>
      <c r="O328" s="78">
        <f t="shared" si="21"/>
        <v>265.66000000000003</v>
      </c>
    </row>
    <row r="329" spans="1:15" ht="15" customHeight="1">
      <c r="A329" s="7">
        <v>293</v>
      </c>
      <c r="B329" s="70">
        <f t="shared" si="12"/>
        <v>345.51</v>
      </c>
      <c r="C329" s="70">
        <f t="shared" si="13"/>
        <v>92.48</v>
      </c>
      <c r="D329" s="70">
        <f t="shared" si="14"/>
        <v>253.02999999999997</v>
      </c>
      <c r="E329" s="70">
        <f t="shared" si="15"/>
        <v>30574.88999999997</v>
      </c>
      <c r="F329" s="78">
        <v>0</v>
      </c>
      <c r="G329" s="78">
        <f t="shared" si="16"/>
        <v>345.51</v>
      </c>
      <c r="I329" s="80">
        <v>293</v>
      </c>
      <c r="J329" s="78">
        <f t="shared" si="17"/>
        <v>265.05</v>
      </c>
      <c r="K329" s="78">
        <f t="shared" si="18"/>
        <v>63.03</v>
      </c>
      <c r="L329" s="78">
        <f t="shared" si="19"/>
        <v>202.02</v>
      </c>
      <c r="M329" s="78">
        <f t="shared" si="20"/>
        <v>20808.140000000203</v>
      </c>
      <c r="N329" s="78">
        <v>0</v>
      </c>
      <c r="O329" s="78">
        <f t="shared" si="21"/>
        <v>265.05</v>
      </c>
    </row>
    <row r="330" spans="1:15" ht="15" customHeight="1">
      <c r="A330" s="7">
        <v>294</v>
      </c>
      <c r="B330" s="70">
        <f t="shared" si="12"/>
        <v>345.51</v>
      </c>
      <c r="C330" s="70">
        <f t="shared" si="13"/>
        <v>91.72</v>
      </c>
      <c r="D330" s="70">
        <f t="shared" si="14"/>
        <v>253.79</v>
      </c>
      <c r="E330" s="70">
        <f t="shared" si="15"/>
        <v>30321.099999999969</v>
      </c>
      <c r="F330" s="78">
        <v>0</v>
      </c>
      <c r="G330" s="78">
        <f t="shared" si="16"/>
        <v>345.51</v>
      </c>
      <c r="I330" s="80">
        <v>294</v>
      </c>
      <c r="J330" s="78">
        <f t="shared" si="17"/>
        <v>264.44</v>
      </c>
      <c r="K330" s="78">
        <f t="shared" si="18"/>
        <v>62.42</v>
      </c>
      <c r="L330" s="78">
        <f t="shared" si="19"/>
        <v>202.02</v>
      </c>
      <c r="M330" s="78">
        <f t="shared" si="20"/>
        <v>20606.120000000203</v>
      </c>
      <c r="N330" s="78">
        <v>0</v>
      </c>
      <c r="O330" s="78">
        <f t="shared" si="21"/>
        <v>264.44</v>
      </c>
    </row>
    <row r="331" spans="1:15" ht="15" customHeight="1">
      <c r="A331" s="7">
        <v>295</v>
      </c>
      <c r="B331" s="70">
        <f t="shared" si="12"/>
        <v>345.51</v>
      </c>
      <c r="C331" s="70">
        <f t="shared" si="13"/>
        <v>90.96</v>
      </c>
      <c r="D331" s="70">
        <f t="shared" si="14"/>
        <v>254.55</v>
      </c>
      <c r="E331" s="70">
        <f t="shared" si="15"/>
        <v>30066.54999999997</v>
      </c>
      <c r="F331" s="78">
        <v>0</v>
      </c>
      <c r="G331" s="78">
        <f t="shared" si="16"/>
        <v>345.51</v>
      </c>
      <c r="I331" s="80">
        <v>295</v>
      </c>
      <c r="J331" s="78">
        <f t="shared" si="17"/>
        <v>263.84000000000003</v>
      </c>
      <c r="K331" s="78">
        <f t="shared" si="18"/>
        <v>61.82</v>
      </c>
      <c r="L331" s="78">
        <f t="shared" si="19"/>
        <v>202.02</v>
      </c>
      <c r="M331" s="78">
        <f t="shared" si="20"/>
        <v>20404.100000000202</v>
      </c>
      <c r="N331" s="78">
        <v>0</v>
      </c>
      <c r="O331" s="78">
        <f t="shared" si="21"/>
        <v>263.84000000000003</v>
      </c>
    </row>
    <row r="332" spans="1:15" ht="15" customHeight="1">
      <c r="A332" s="7">
        <v>296</v>
      </c>
      <c r="B332" s="70">
        <f t="shared" si="12"/>
        <v>345.51</v>
      </c>
      <c r="C332" s="70">
        <f t="shared" si="13"/>
        <v>90.2</v>
      </c>
      <c r="D332" s="70">
        <f t="shared" si="14"/>
        <v>255.31</v>
      </c>
      <c r="E332" s="70">
        <f t="shared" si="15"/>
        <v>29811.239999999969</v>
      </c>
      <c r="F332" s="78">
        <v>0</v>
      </c>
      <c r="G332" s="78">
        <f t="shared" si="16"/>
        <v>345.51</v>
      </c>
      <c r="I332" s="80">
        <v>296</v>
      </c>
      <c r="J332" s="78">
        <f t="shared" si="17"/>
        <v>263.23</v>
      </c>
      <c r="K332" s="78">
        <f t="shared" si="18"/>
        <v>61.21</v>
      </c>
      <c r="L332" s="78">
        <f t="shared" si="19"/>
        <v>202.02</v>
      </c>
      <c r="M332" s="78">
        <f t="shared" si="20"/>
        <v>20202.080000000202</v>
      </c>
      <c r="N332" s="78">
        <v>0</v>
      </c>
      <c r="O332" s="78">
        <f t="shared" si="21"/>
        <v>263.23</v>
      </c>
    </row>
    <row r="333" spans="1:15" ht="15" customHeight="1">
      <c r="A333" s="7">
        <v>297</v>
      </c>
      <c r="B333" s="70">
        <f t="shared" si="12"/>
        <v>345.51</v>
      </c>
      <c r="C333" s="70">
        <f t="shared" si="13"/>
        <v>89.43</v>
      </c>
      <c r="D333" s="70">
        <f t="shared" si="14"/>
        <v>256.08</v>
      </c>
      <c r="E333" s="70">
        <f t="shared" si="15"/>
        <v>29555.159999999967</v>
      </c>
      <c r="F333" s="78">
        <v>0</v>
      </c>
      <c r="G333" s="78">
        <f t="shared" si="16"/>
        <v>345.51</v>
      </c>
      <c r="I333" s="80">
        <v>297</v>
      </c>
      <c r="J333" s="78">
        <f t="shared" si="17"/>
        <v>262.63</v>
      </c>
      <c r="K333" s="78">
        <f t="shared" si="18"/>
        <v>60.61</v>
      </c>
      <c r="L333" s="78">
        <f t="shared" si="19"/>
        <v>202.02</v>
      </c>
      <c r="M333" s="78">
        <f t="shared" si="20"/>
        <v>20000.060000000201</v>
      </c>
      <c r="N333" s="78">
        <v>0</v>
      </c>
      <c r="O333" s="78">
        <f t="shared" si="21"/>
        <v>262.63</v>
      </c>
    </row>
    <row r="334" spans="1:15" ht="15" customHeight="1">
      <c r="A334" s="7">
        <v>298</v>
      </c>
      <c r="B334" s="70">
        <f t="shared" si="12"/>
        <v>345.51</v>
      </c>
      <c r="C334" s="70">
        <f t="shared" si="13"/>
        <v>88.67</v>
      </c>
      <c r="D334" s="70">
        <f t="shared" si="14"/>
        <v>256.83999999999997</v>
      </c>
      <c r="E334" s="70">
        <f t="shared" si="15"/>
        <v>29298.319999999967</v>
      </c>
      <c r="F334" s="78">
        <v>0</v>
      </c>
      <c r="G334" s="78">
        <f t="shared" si="16"/>
        <v>345.51</v>
      </c>
      <c r="I334" s="80">
        <v>298</v>
      </c>
      <c r="J334" s="78">
        <f t="shared" si="17"/>
        <v>262.02</v>
      </c>
      <c r="K334" s="78">
        <f t="shared" si="18"/>
        <v>60</v>
      </c>
      <c r="L334" s="78">
        <f t="shared" si="19"/>
        <v>202.02</v>
      </c>
      <c r="M334" s="78">
        <f t="shared" si="20"/>
        <v>19798.040000000201</v>
      </c>
      <c r="N334" s="78">
        <v>0</v>
      </c>
      <c r="O334" s="78">
        <f t="shared" si="21"/>
        <v>262.02</v>
      </c>
    </row>
    <row r="335" spans="1:15" ht="15" customHeight="1">
      <c r="A335" s="7">
        <v>299</v>
      </c>
      <c r="B335" s="70">
        <f t="shared" si="12"/>
        <v>345.51</v>
      </c>
      <c r="C335" s="70">
        <f t="shared" si="13"/>
        <v>87.89</v>
      </c>
      <c r="D335" s="70">
        <f t="shared" si="14"/>
        <v>257.62</v>
      </c>
      <c r="E335" s="70">
        <f t="shared" si="15"/>
        <v>29040.699999999968</v>
      </c>
      <c r="F335" s="78">
        <v>0</v>
      </c>
      <c r="G335" s="78">
        <f t="shared" si="16"/>
        <v>345.51</v>
      </c>
      <c r="I335" s="80">
        <v>299</v>
      </c>
      <c r="J335" s="78">
        <f t="shared" si="17"/>
        <v>261.41000000000003</v>
      </c>
      <c r="K335" s="78">
        <f t="shared" si="18"/>
        <v>59.39</v>
      </c>
      <c r="L335" s="78">
        <f t="shared" si="19"/>
        <v>202.02</v>
      </c>
      <c r="M335" s="78">
        <f t="shared" si="20"/>
        <v>19596.020000000201</v>
      </c>
      <c r="N335" s="78">
        <v>0</v>
      </c>
      <c r="O335" s="78">
        <f t="shared" si="21"/>
        <v>261.41000000000003</v>
      </c>
    </row>
    <row r="336" spans="1:15" ht="15" customHeight="1">
      <c r="A336" s="7">
        <v>300</v>
      </c>
      <c r="B336" s="70">
        <f t="shared" si="12"/>
        <v>345.51</v>
      </c>
      <c r="C336" s="70">
        <f t="shared" si="13"/>
        <v>87.12</v>
      </c>
      <c r="D336" s="70">
        <f t="shared" si="14"/>
        <v>258.39</v>
      </c>
      <c r="E336" s="70">
        <f t="shared" si="15"/>
        <v>28782.309999999969</v>
      </c>
      <c r="F336" s="78">
        <v>0</v>
      </c>
      <c r="G336" s="78">
        <f t="shared" si="16"/>
        <v>345.51</v>
      </c>
      <c r="I336" s="80">
        <v>300</v>
      </c>
      <c r="J336" s="78">
        <f t="shared" si="17"/>
        <v>260.81</v>
      </c>
      <c r="K336" s="78">
        <f t="shared" si="18"/>
        <v>58.79</v>
      </c>
      <c r="L336" s="78">
        <f t="shared" si="19"/>
        <v>202.02</v>
      </c>
      <c r="M336" s="78">
        <f t="shared" si="20"/>
        <v>19394.0000000002</v>
      </c>
      <c r="N336" s="78">
        <v>0</v>
      </c>
      <c r="O336" s="78">
        <f t="shared" si="21"/>
        <v>260.81</v>
      </c>
    </row>
    <row r="337" spans="1:15" ht="15" customHeight="1">
      <c r="A337" s="7">
        <v>301</v>
      </c>
      <c r="B337" s="70">
        <f t="shared" si="12"/>
        <v>345.51</v>
      </c>
      <c r="C337" s="70">
        <f t="shared" si="13"/>
        <v>86.35</v>
      </c>
      <c r="D337" s="70">
        <f t="shared" si="14"/>
        <v>259.15999999999997</v>
      </c>
      <c r="E337" s="70">
        <f t="shared" si="15"/>
        <v>28523.149999999969</v>
      </c>
      <c r="F337" s="78">
        <v>0</v>
      </c>
      <c r="G337" s="78">
        <f t="shared" si="16"/>
        <v>345.51</v>
      </c>
      <c r="I337" s="80">
        <v>301</v>
      </c>
      <c r="J337" s="78">
        <f t="shared" si="17"/>
        <v>260.2</v>
      </c>
      <c r="K337" s="78">
        <f t="shared" si="18"/>
        <v>58.18</v>
      </c>
      <c r="L337" s="78">
        <f t="shared" si="19"/>
        <v>202.02</v>
      </c>
      <c r="M337" s="78">
        <f t="shared" si="20"/>
        <v>19191.9800000002</v>
      </c>
      <c r="N337" s="78">
        <v>0</v>
      </c>
      <c r="O337" s="78">
        <f t="shared" si="21"/>
        <v>260.2</v>
      </c>
    </row>
    <row r="338" spans="1:15" ht="15" customHeight="1">
      <c r="A338" s="7">
        <v>302</v>
      </c>
      <c r="B338" s="70">
        <f t="shared" si="12"/>
        <v>345.51</v>
      </c>
      <c r="C338" s="70">
        <f t="shared" si="13"/>
        <v>85.57</v>
      </c>
      <c r="D338" s="70">
        <f t="shared" si="14"/>
        <v>259.94</v>
      </c>
      <c r="E338" s="70">
        <f t="shared" si="15"/>
        <v>28263.20999999997</v>
      </c>
      <c r="F338" s="78">
        <v>0</v>
      </c>
      <c r="G338" s="78">
        <f t="shared" si="16"/>
        <v>345.51</v>
      </c>
      <c r="I338" s="80">
        <v>302</v>
      </c>
      <c r="J338" s="78">
        <f t="shared" si="17"/>
        <v>259.60000000000002</v>
      </c>
      <c r="K338" s="78">
        <f t="shared" si="18"/>
        <v>57.58</v>
      </c>
      <c r="L338" s="78">
        <f t="shared" si="19"/>
        <v>202.02</v>
      </c>
      <c r="M338" s="78">
        <f t="shared" si="20"/>
        <v>18989.960000000199</v>
      </c>
      <c r="N338" s="78">
        <v>0</v>
      </c>
      <c r="O338" s="78">
        <f t="shared" si="21"/>
        <v>259.60000000000002</v>
      </c>
    </row>
    <row r="339" spans="1:15" ht="15" customHeight="1">
      <c r="A339" s="7">
        <v>303</v>
      </c>
      <c r="B339" s="70">
        <f t="shared" si="12"/>
        <v>345.51</v>
      </c>
      <c r="C339" s="70">
        <f t="shared" si="13"/>
        <v>84.79</v>
      </c>
      <c r="D339" s="70">
        <f t="shared" si="14"/>
        <v>260.71999999999997</v>
      </c>
      <c r="E339" s="70">
        <f t="shared" si="15"/>
        <v>28002.489999999969</v>
      </c>
      <c r="F339" s="78">
        <v>0</v>
      </c>
      <c r="G339" s="78">
        <f t="shared" si="16"/>
        <v>345.51</v>
      </c>
      <c r="I339" s="80">
        <v>303</v>
      </c>
      <c r="J339" s="78">
        <f t="shared" si="17"/>
        <v>258.99</v>
      </c>
      <c r="K339" s="78">
        <f t="shared" si="18"/>
        <v>56.97</v>
      </c>
      <c r="L339" s="78">
        <f t="shared" si="19"/>
        <v>202.02</v>
      </c>
      <c r="M339" s="78">
        <f t="shared" si="20"/>
        <v>18787.940000000199</v>
      </c>
      <c r="N339" s="78">
        <v>0</v>
      </c>
      <c r="O339" s="78">
        <f t="shared" si="21"/>
        <v>258.99</v>
      </c>
    </row>
    <row r="340" spans="1:15" ht="15" customHeight="1">
      <c r="A340" s="7">
        <v>304</v>
      </c>
      <c r="B340" s="70">
        <f t="shared" si="12"/>
        <v>345.51</v>
      </c>
      <c r="C340" s="70">
        <f t="shared" si="13"/>
        <v>84.01</v>
      </c>
      <c r="D340" s="70">
        <f t="shared" si="14"/>
        <v>261.5</v>
      </c>
      <c r="E340" s="70">
        <f t="shared" si="15"/>
        <v>27740.989999999969</v>
      </c>
      <c r="F340" s="78">
        <v>0</v>
      </c>
      <c r="G340" s="78">
        <f t="shared" si="16"/>
        <v>345.51</v>
      </c>
      <c r="I340" s="80">
        <v>304</v>
      </c>
      <c r="J340" s="78">
        <f t="shared" si="17"/>
        <v>258.38</v>
      </c>
      <c r="K340" s="78">
        <f t="shared" si="18"/>
        <v>56.36</v>
      </c>
      <c r="L340" s="78">
        <f t="shared" si="19"/>
        <v>202.02</v>
      </c>
      <c r="M340" s="78">
        <f t="shared" si="20"/>
        <v>18585.920000000198</v>
      </c>
      <c r="N340" s="78">
        <v>0</v>
      </c>
      <c r="O340" s="78">
        <f t="shared" si="21"/>
        <v>258.38</v>
      </c>
    </row>
    <row r="341" spans="1:15" ht="15" customHeight="1">
      <c r="A341" s="7">
        <v>305</v>
      </c>
      <c r="B341" s="70">
        <f t="shared" si="12"/>
        <v>345.51</v>
      </c>
      <c r="C341" s="70">
        <f t="shared" si="13"/>
        <v>83.22</v>
      </c>
      <c r="D341" s="70">
        <f t="shared" si="14"/>
        <v>262.28999999999996</v>
      </c>
      <c r="E341" s="70">
        <f t="shared" si="15"/>
        <v>27478.699999999968</v>
      </c>
      <c r="F341" s="78">
        <v>0</v>
      </c>
      <c r="G341" s="78">
        <f t="shared" si="16"/>
        <v>345.51</v>
      </c>
      <c r="I341" s="80">
        <v>305</v>
      </c>
      <c r="J341" s="78">
        <f t="shared" si="17"/>
        <v>257.78000000000003</v>
      </c>
      <c r="K341" s="78">
        <f t="shared" si="18"/>
        <v>55.76</v>
      </c>
      <c r="L341" s="78">
        <f t="shared" si="19"/>
        <v>202.02</v>
      </c>
      <c r="M341" s="78">
        <f t="shared" si="20"/>
        <v>18383.900000000198</v>
      </c>
      <c r="N341" s="78">
        <v>0</v>
      </c>
      <c r="O341" s="78">
        <f t="shared" si="21"/>
        <v>257.78000000000003</v>
      </c>
    </row>
    <row r="342" spans="1:15" ht="15" customHeight="1">
      <c r="A342" s="7">
        <v>306</v>
      </c>
      <c r="B342" s="70">
        <f t="shared" si="12"/>
        <v>345.51</v>
      </c>
      <c r="C342" s="70">
        <f t="shared" si="13"/>
        <v>82.44</v>
      </c>
      <c r="D342" s="70">
        <f t="shared" si="14"/>
        <v>263.07</v>
      </c>
      <c r="E342" s="70">
        <f t="shared" si="15"/>
        <v>27215.629999999968</v>
      </c>
      <c r="F342" s="78">
        <v>0</v>
      </c>
      <c r="G342" s="78">
        <f t="shared" si="16"/>
        <v>345.51</v>
      </c>
      <c r="I342" s="80">
        <v>306</v>
      </c>
      <c r="J342" s="78">
        <f t="shared" si="17"/>
        <v>257.17</v>
      </c>
      <c r="K342" s="78">
        <f t="shared" si="18"/>
        <v>55.15</v>
      </c>
      <c r="L342" s="78">
        <f t="shared" si="19"/>
        <v>202.02</v>
      </c>
      <c r="M342" s="78">
        <f t="shared" si="20"/>
        <v>18181.880000000197</v>
      </c>
      <c r="N342" s="78">
        <v>0</v>
      </c>
      <c r="O342" s="78">
        <f t="shared" si="21"/>
        <v>257.17</v>
      </c>
    </row>
    <row r="343" spans="1:15" ht="15" customHeight="1">
      <c r="A343" s="7">
        <v>307</v>
      </c>
      <c r="B343" s="70">
        <f t="shared" si="12"/>
        <v>345.51</v>
      </c>
      <c r="C343" s="70">
        <f t="shared" si="13"/>
        <v>81.650000000000006</v>
      </c>
      <c r="D343" s="70">
        <f t="shared" si="14"/>
        <v>263.86</v>
      </c>
      <c r="E343" s="70">
        <f t="shared" si="15"/>
        <v>26951.769999999968</v>
      </c>
      <c r="F343" s="78">
        <v>0</v>
      </c>
      <c r="G343" s="78">
        <f t="shared" si="16"/>
        <v>345.51</v>
      </c>
      <c r="I343" s="80">
        <v>307</v>
      </c>
      <c r="J343" s="78">
        <f t="shared" si="17"/>
        <v>256.57</v>
      </c>
      <c r="K343" s="78">
        <f t="shared" si="18"/>
        <v>54.55</v>
      </c>
      <c r="L343" s="78">
        <f t="shared" si="19"/>
        <v>202.02</v>
      </c>
      <c r="M343" s="78">
        <f t="shared" si="20"/>
        <v>17979.860000000197</v>
      </c>
      <c r="N343" s="78">
        <v>0</v>
      </c>
      <c r="O343" s="78">
        <f t="shared" si="21"/>
        <v>256.57</v>
      </c>
    </row>
    <row r="344" spans="1:15" ht="15" customHeight="1">
      <c r="A344" s="7">
        <v>308</v>
      </c>
      <c r="B344" s="70">
        <f t="shared" si="12"/>
        <v>345.51</v>
      </c>
      <c r="C344" s="70">
        <f t="shared" si="13"/>
        <v>80.86</v>
      </c>
      <c r="D344" s="70">
        <f t="shared" si="14"/>
        <v>264.64999999999998</v>
      </c>
      <c r="E344" s="70">
        <f t="shared" si="15"/>
        <v>26687.119999999966</v>
      </c>
      <c r="F344" s="78">
        <v>0</v>
      </c>
      <c r="G344" s="78">
        <f t="shared" si="16"/>
        <v>345.51</v>
      </c>
      <c r="I344" s="80">
        <v>308</v>
      </c>
      <c r="J344" s="78">
        <f t="shared" si="17"/>
        <v>255.96</v>
      </c>
      <c r="K344" s="78">
        <f t="shared" si="18"/>
        <v>53.94</v>
      </c>
      <c r="L344" s="78">
        <f t="shared" si="19"/>
        <v>202.02</v>
      </c>
      <c r="M344" s="78">
        <f t="shared" si="20"/>
        <v>17777.840000000197</v>
      </c>
      <c r="N344" s="78">
        <v>0</v>
      </c>
      <c r="O344" s="78">
        <f t="shared" si="21"/>
        <v>255.96</v>
      </c>
    </row>
    <row r="345" spans="1:15" ht="15" customHeight="1">
      <c r="A345" s="7">
        <v>309</v>
      </c>
      <c r="B345" s="70">
        <f t="shared" si="12"/>
        <v>345.51</v>
      </c>
      <c r="C345" s="70">
        <f t="shared" si="13"/>
        <v>80.06</v>
      </c>
      <c r="D345" s="70">
        <f t="shared" si="14"/>
        <v>265.45</v>
      </c>
      <c r="E345" s="70">
        <f t="shared" si="15"/>
        <v>26421.669999999966</v>
      </c>
      <c r="F345" s="78">
        <v>0</v>
      </c>
      <c r="G345" s="78">
        <f t="shared" si="16"/>
        <v>345.51</v>
      </c>
      <c r="I345" s="80">
        <v>309</v>
      </c>
      <c r="J345" s="78">
        <f t="shared" si="17"/>
        <v>255.35000000000002</v>
      </c>
      <c r="K345" s="78">
        <f t="shared" si="18"/>
        <v>53.33</v>
      </c>
      <c r="L345" s="78">
        <f t="shared" si="19"/>
        <v>202.02</v>
      </c>
      <c r="M345" s="78">
        <f t="shared" si="20"/>
        <v>17575.820000000196</v>
      </c>
      <c r="N345" s="78">
        <v>0</v>
      </c>
      <c r="O345" s="78">
        <f t="shared" si="21"/>
        <v>255.35000000000002</v>
      </c>
    </row>
    <row r="346" spans="1:15" ht="15" customHeight="1">
      <c r="A346" s="7">
        <v>310</v>
      </c>
      <c r="B346" s="70">
        <f t="shared" si="12"/>
        <v>345.51</v>
      </c>
      <c r="C346" s="70">
        <f t="shared" si="13"/>
        <v>79.27</v>
      </c>
      <c r="D346" s="70">
        <f t="shared" si="14"/>
        <v>266.24</v>
      </c>
      <c r="E346" s="70">
        <f t="shared" si="15"/>
        <v>26155.429999999964</v>
      </c>
      <c r="F346" s="78">
        <v>0</v>
      </c>
      <c r="G346" s="78">
        <f t="shared" si="16"/>
        <v>345.51</v>
      </c>
      <c r="I346" s="80">
        <v>310</v>
      </c>
      <c r="J346" s="78">
        <f t="shared" si="17"/>
        <v>254.75</v>
      </c>
      <c r="K346" s="78">
        <f t="shared" si="18"/>
        <v>52.73</v>
      </c>
      <c r="L346" s="78">
        <f t="shared" si="19"/>
        <v>202.02</v>
      </c>
      <c r="M346" s="78">
        <f t="shared" si="20"/>
        <v>17373.800000000196</v>
      </c>
      <c r="N346" s="78">
        <v>0</v>
      </c>
      <c r="O346" s="78">
        <f t="shared" si="21"/>
        <v>254.75</v>
      </c>
    </row>
    <row r="347" spans="1:15" ht="15" customHeight="1">
      <c r="A347" s="7">
        <v>311</v>
      </c>
      <c r="B347" s="70">
        <f t="shared" si="12"/>
        <v>345.51</v>
      </c>
      <c r="C347" s="70">
        <f t="shared" si="13"/>
        <v>78.47</v>
      </c>
      <c r="D347" s="70">
        <f t="shared" si="14"/>
        <v>267.03999999999996</v>
      </c>
      <c r="E347" s="70">
        <f t="shared" si="15"/>
        <v>25888.389999999963</v>
      </c>
      <c r="F347" s="78">
        <v>0</v>
      </c>
      <c r="G347" s="78">
        <f t="shared" si="16"/>
        <v>345.51</v>
      </c>
      <c r="I347" s="80">
        <v>311</v>
      </c>
      <c r="J347" s="78">
        <f t="shared" si="17"/>
        <v>254.14000000000001</v>
      </c>
      <c r="K347" s="78">
        <f t="shared" si="18"/>
        <v>52.12</v>
      </c>
      <c r="L347" s="78">
        <f t="shared" si="19"/>
        <v>202.02</v>
      </c>
      <c r="M347" s="78">
        <f t="shared" si="20"/>
        <v>17171.780000000195</v>
      </c>
      <c r="N347" s="78">
        <v>0</v>
      </c>
      <c r="O347" s="78">
        <f t="shared" si="21"/>
        <v>254.14000000000001</v>
      </c>
    </row>
    <row r="348" spans="1:15" ht="15" customHeight="1">
      <c r="A348" s="7">
        <v>312</v>
      </c>
      <c r="B348" s="70">
        <f t="shared" si="12"/>
        <v>345.51</v>
      </c>
      <c r="C348" s="70">
        <f t="shared" si="13"/>
        <v>77.67</v>
      </c>
      <c r="D348" s="70">
        <f t="shared" si="14"/>
        <v>267.83999999999997</v>
      </c>
      <c r="E348" s="70">
        <f t="shared" si="15"/>
        <v>25620.549999999963</v>
      </c>
      <c r="F348" s="78">
        <v>0</v>
      </c>
      <c r="G348" s="78">
        <f t="shared" si="16"/>
        <v>345.51</v>
      </c>
      <c r="I348" s="80">
        <v>312</v>
      </c>
      <c r="J348" s="78">
        <f t="shared" si="17"/>
        <v>253.54000000000002</v>
      </c>
      <c r="K348" s="78">
        <f t="shared" si="18"/>
        <v>51.52</v>
      </c>
      <c r="L348" s="78">
        <f t="shared" si="19"/>
        <v>202.02</v>
      </c>
      <c r="M348" s="78">
        <f t="shared" si="20"/>
        <v>16969.760000000195</v>
      </c>
      <c r="N348" s="78">
        <v>0</v>
      </c>
      <c r="O348" s="78">
        <f t="shared" si="21"/>
        <v>253.54000000000002</v>
      </c>
    </row>
    <row r="349" spans="1:15" ht="15" customHeight="1">
      <c r="A349" s="7">
        <v>313</v>
      </c>
      <c r="B349" s="70">
        <f t="shared" si="12"/>
        <v>345.51</v>
      </c>
      <c r="C349" s="70">
        <f t="shared" si="13"/>
        <v>76.86</v>
      </c>
      <c r="D349" s="70">
        <f t="shared" si="14"/>
        <v>268.64999999999998</v>
      </c>
      <c r="E349" s="70">
        <f t="shared" si="15"/>
        <v>25351.899999999961</v>
      </c>
      <c r="F349" s="78">
        <v>0</v>
      </c>
      <c r="G349" s="78">
        <f t="shared" si="16"/>
        <v>345.51</v>
      </c>
      <c r="I349" s="80">
        <v>313</v>
      </c>
      <c r="J349" s="78">
        <f t="shared" si="17"/>
        <v>252.93</v>
      </c>
      <c r="K349" s="78">
        <f t="shared" si="18"/>
        <v>50.91</v>
      </c>
      <c r="L349" s="78">
        <f t="shared" si="19"/>
        <v>202.02</v>
      </c>
      <c r="M349" s="78">
        <f t="shared" si="20"/>
        <v>16767.740000000194</v>
      </c>
      <c r="N349" s="78">
        <v>0</v>
      </c>
      <c r="O349" s="78">
        <f t="shared" si="21"/>
        <v>252.93</v>
      </c>
    </row>
    <row r="350" spans="1:15" ht="15" customHeight="1">
      <c r="A350" s="7">
        <v>314</v>
      </c>
      <c r="B350" s="70">
        <f t="shared" si="12"/>
        <v>345.51</v>
      </c>
      <c r="C350" s="70">
        <f t="shared" si="13"/>
        <v>76.06</v>
      </c>
      <c r="D350" s="70">
        <f t="shared" si="14"/>
        <v>269.45</v>
      </c>
      <c r="E350" s="70">
        <f t="shared" si="15"/>
        <v>25082.449999999961</v>
      </c>
      <c r="F350" s="78">
        <v>0</v>
      </c>
      <c r="G350" s="78">
        <f t="shared" si="16"/>
        <v>345.51</v>
      </c>
      <c r="I350" s="80">
        <v>314</v>
      </c>
      <c r="J350" s="78">
        <f t="shared" si="17"/>
        <v>252.32</v>
      </c>
      <c r="K350" s="78">
        <f t="shared" si="18"/>
        <v>50.3</v>
      </c>
      <c r="L350" s="78">
        <f t="shared" si="19"/>
        <v>202.02</v>
      </c>
      <c r="M350" s="78">
        <f t="shared" si="20"/>
        <v>16565.720000000194</v>
      </c>
      <c r="N350" s="78">
        <v>0</v>
      </c>
      <c r="O350" s="78">
        <f t="shared" si="21"/>
        <v>252.32</v>
      </c>
    </row>
    <row r="351" spans="1:15" ht="15" customHeight="1">
      <c r="A351" s="7">
        <v>315</v>
      </c>
      <c r="B351" s="70">
        <f t="shared" si="12"/>
        <v>345.51</v>
      </c>
      <c r="C351" s="70">
        <f t="shared" si="13"/>
        <v>75.25</v>
      </c>
      <c r="D351" s="70">
        <f t="shared" si="14"/>
        <v>270.26</v>
      </c>
      <c r="E351" s="70">
        <f t="shared" si="15"/>
        <v>24812.189999999962</v>
      </c>
      <c r="F351" s="78">
        <v>0</v>
      </c>
      <c r="G351" s="78">
        <f t="shared" si="16"/>
        <v>345.51</v>
      </c>
      <c r="I351" s="80">
        <v>315</v>
      </c>
      <c r="J351" s="78">
        <f t="shared" si="17"/>
        <v>251.72000000000003</v>
      </c>
      <c r="K351" s="78">
        <f t="shared" si="18"/>
        <v>49.7</v>
      </c>
      <c r="L351" s="78">
        <f t="shared" si="19"/>
        <v>202.02</v>
      </c>
      <c r="M351" s="78">
        <f t="shared" si="20"/>
        <v>16363.700000000194</v>
      </c>
      <c r="N351" s="78">
        <v>0</v>
      </c>
      <c r="O351" s="78">
        <f t="shared" si="21"/>
        <v>251.72000000000003</v>
      </c>
    </row>
    <row r="352" spans="1:15" ht="15" customHeight="1">
      <c r="A352" s="7">
        <v>316</v>
      </c>
      <c r="B352" s="70">
        <f t="shared" si="12"/>
        <v>345.51</v>
      </c>
      <c r="C352" s="70">
        <f t="shared" si="13"/>
        <v>74.44</v>
      </c>
      <c r="D352" s="70">
        <f t="shared" si="14"/>
        <v>271.07</v>
      </c>
      <c r="E352" s="70">
        <f t="shared" si="15"/>
        <v>24541.119999999963</v>
      </c>
      <c r="F352" s="78">
        <v>0</v>
      </c>
      <c r="G352" s="78">
        <f t="shared" si="16"/>
        <v>345.51</v>
      </c>
      <c r="I352" s="80">
        <v>316</v>
      </c>
      <c r="J352" s="78">
        <f t="shared" si="17"/>
        <v>251.11</v>
      </c>
      <c r="K352" s="78">
        <f t="shared" si="18"/>
        <v>49.09</v>
      </c>
      <c r="L352" s="78">
        <f t="shared" si="19"/>
        <v>202.02</v>
      </c>
      <c r="M352" s="78">
        <f t="shared" si="20"/>
        <v>16161.680000000193</v>
      </c>
      <c r="N352" s="78">
        <v>0</v>
      </c>
      <c r="O352" s="78">
        <f t="shared" si="21"/>
        <v>251.11</v>
      </c>
    </row>
    <row r="353" spans="1:15" ht="15" customHeight="1">
      <c r="A353" s="7">
        <v>317</v>
      </c>
      <c r="B353" s="70">
        <f t="shared" si="12"/>
        <v>345.51</v>
      </c>
      <c r="C353" s="70">
        <f t="shared" si="13"/>
        <v>73.62</v>
      </c>
      <c r="D353" s="70">
        <f t="shared" si="14"/>
        <v>271.89</v>
      </c>
      <c r="E353" s="70">
        <f t="shared" si="15"/>
        <v>24269.229999999963</v>
      </c>
      <c r="F353" s="78">
        <v>0</v>
      </c>
      <c r="G353" s="78">
        <f t="shared" si="16"/>
        <v>345.51</v>
      </c>
      <c r="I353" s="80">
        <v>317</v>
      </c>
      <c r="J353" s="78">
        <f t="shared" si="17"/>
        <v>250.51000000000002</v>
      </c>
      <c r="K353" s="78">
        <f t="shared" si="18"/>
        <v>48.49</v>
      </c>
      <c r="L353" s="78">
        <f t="shared" si="19"/>
        <v>202.02</v>
      </c>
      <c r="M353" s="78">
        <f t="shared" si="20"/>
        <v>15959.660000000193</v>
      </c>
      <c r="N353" s="78">
        <v>0</v>
      </c>
      <c r="O353" s="78">
        <f t="shared" si="21"/>
        <v>250.51000000000002</v>
      </c>
    </row>
    <row r="354" spans="1:15" ht="15" customHeight="1">
      <c r="A354" s="7">
        <v>318</v>
      </c>
      <c r="B354" s="70">
        <f t="shared" si="12"/>
        <v>345.51</v>
      </c>
      <c r="C354" s="70">
        <f t="shared" si="13"/>
        <v>72.81</v>
      </c>
      <c r="D354" s="70">
        <f t="shared" si="14"/>
        <v>272.7</v>
      </c>
      <c r="E354" s="70">
        <f t="shared" si="15"/>
        <v>23996.529999999962</v>
      </c>
      <c r="F354" s="78">
        <v>0</v>
      </c>
      <c r="G354" s="78">
        <f t="shared" si="16"/>
        <v>345.51</v>
      </c>
      <c r="I354" s="80">
        <v>318</v>
      </c>
      <c r="J354" s="78">
        <f t="shared" si="17"/>
        <v>249.9</v>
      </c>
      <c r="K354" s="78">
        <f t="shared" si="18"/>
        <v>47.88</v>
      </c>
      <c r="L354" s="78">
        <f t="shared" si="19"/>
        <v>202.02</v>
      </c>
      <c r="M354" s="78">
        <f t="shared" si="20"/>
        <v>15757.640000000192</v>
      </c>
      <c r="N354" s="78">
        <v>0</v>
      </c>
      <c r="O354" s="78">
        <f t="shared" si="21"/>
        <v>249.9</v>
      </c>
    </row>
    <row r="355" spans="1:15" ht="15" customHeight="1">
      <c r="A355" s="7">
        <v>319</v>
      </c>
      <c r="B355" s="70">
        <f t="shared" si="12"/>
        <v>345.51</v>
      </c>
      <c r="C355" s="70">
        <f t="shared" si="13"/>
        <v>71.989999999999995</v>
      </c>
      <c r="D355" s="70">
        <f t="shared" si="14"/>
        <v>273.52</v>
      </c>
      <c r="E355" s="70">
        <f t="shared" si="15"/>
        <v>23723.009999999962</v>
      </c>
      <c r="F355" s="78">
        <v>0</v>
      </c>
      <c r="G355" s="78">
        <f t="shared" si="16"/>
        <v>345.51</v>
      </c>
      <c r="I355" s="80">
        <v>319</v>
      </c>
      <c r="J355" s="78">
        <f t="shared" si="17"/>
        <v>249.29000000000002</v>
      </c>
      <c r="K355" s="78">
        <f t="shared" si="18"/>
        <v>47.27</v>
      </c>
      <c r="L355" s="78">
        <f t="shared" si="19"/>
        <v>202.02</v>
      </c>
      <c r="M355" s="78">
        <f t="shared" si="20"/>
        <v>15555.620000000192</v>
      </c>
      <c r="N355" s="78">
        <v>0</v>
      </c>
      <c r="O355" s="78">
        <f t="shared" si="21"/>
        <v>249.29000000000002</v>
      </c>
    </row>
    <row r="356" spans="1:15" ht="15" customHeight="1">
      <c r="A356" s="7">
        <v>320</v>
      </c>
      <c r="B356" s="70">
        <f t="shared" si="12"/>
        <v>345.51</v>
      </c>
      <c r="C356" s="70">
        <f t="shared" si="13"/>
        <v>71.17</v>
      </c>
      <c r="D356" s="70">
        <f t="shared" si="14"/>
        <v>274.33999999999997</v>
      </c>
      <c r="E356" s="70">
        <f t="shared" si="15"/>
        <v>23448.669999999962</v>
      </c>
      <c r="F356" s="78">
        <v>0</v>
      </c>
      <c r="G356" s="78">
        <f t="shared" si="16"/>
        <v>345.51</v>
      </c>
      <c r="I356" s="80">
        <v>320</v>
      </c>
      <c r="J356" s="78">
        <f t="shared" si="17"/>
        <v>248.69</v>
      </c>
      <c r="K356" s="78">
        <f t="shared" si="18"/>
        <v>46.67</v>
      </c>
      <c r="L356" s="78">
        <f t="shared" si="19"/>
        <v>202.02</v>
      </c>
      <c r="M356" s="78">
        <f t="shared" si="20"/>
        <v>15353.600000000191</v>
      </c>
      <c r="N356" s="78">
        <v>0</v>
      </c>
      <c r="O356" s="78">
        <f t="shared" si="21"/>
        <v>248.69</v>
      </c>
    </row>
    <row r="357" spans="1:15" ht="15" customHeight="1">
      <c r="A357" s="7">
        <v>321</v>
      </c>
      <c r="B357" s="70">
        <f t="shared" si="12"/>
        <v>345.51</v>
      </c>
      <c r="C357" s="70">
        <f t="shared" si="13"/>
        <v>70.349999999999994</v>
      </c>
      <c r="D357" s="70">
        <f t="shared" si="14"/>
        <v>275.15999999999997</v>
      </c>
      <c r="E357" s="70">
        <f t="shared" si="15"/>
        <v>23173.509999999962</v>
      </c>
      <c r="F357" s="78">
        <v>0</v>
      </c>
      <c r="G357" s="78">
        <f t="shared" si="16"/>
        <v>345.51</v>
      </c>
      <c r="I357" s="80">
        <v>321</v>
      </c>
      <c r="J357" s="78">
        <f t="shared" si="17"/>
        <v>248.08</v>
      </c>
      <c r="K357" s="78">
        <f t="shared" si="18"/>
        <v>46.06</v>
      </c>
      <c r="L357" s="78">
        <f t="shared" si="19"/>
        <v>202.02</v>
      </c>
      <c r="M357" s="78">
        <f t="shared" si="20"/>
        <v>15151.580000000191</v>
      </c>
      <c r="N357" s="78">
        <v>0</v>
      </c>
      <c r="O357" s="78">
        <f t="shared" si="21"/>
        <v>248.08</v>
      </c>
    </row>
    <row r="358" spans="1:15" ht="15" customHeight="1">
      <c r="A358" s="7">
        <v>322</v>
      </c>
      <c r="B358" s="70">
        <f t="shared" si="12"/>
        <v>345.51</v>
      </c>
      <c r="C358" s="70">
        <f t="shared" si="13"/>
        <v>69.52</v>
      </c>
      <c r="D358" s="70">
        <f t="shared" si="14"/>
        <v>275.99</v>
      </c>
      <c r="E358" s="70">
        <f t="shared" si="15"/>
        <v>22897.51999999996</v>
      </c>
      <c r="F358" s="78">
        <v>0</v>
      </c>
      <c r="G358" s="78">
        <f t="shared" si="16"/>
        <v>345.51</v>
      </c>
      <c r="I358" s="80">
        <v>322</v>
      </c>
      <c r="J358" s="78">
        <f t="shared" si="17"/>
        <v>247.47000000000003</v>
      </c>
      <c r="K358" s="78">
        <f t="shared" si="18"/>
        <v>45.45</v>
      </c>
      <c r="L358" s="78">
        <f t="shared" si="19"/>
        <v>202.02</v>
      </c>
      <c r="M358" s="78">
        <f t="shared" si="20"/>
        <v>14949.56000000019</v>
      </c>
      <c r="N358" s="78">
        <v>0</v>
      </c>
      <c r="O358" s="78">
        <f t="shared" si="21"/>
        <v>247.47000000000003</v>
      </c>
    </row>
    <row r="359" spans="1:15" ht="15" customHeight="1">
      <c r="A359" s="7">
        <v>323</v>
      </c>
      <c r="B359" s="70">
        <f t="shared" si="12"/>
        <v>345.51</v>
      </c>
      <c r="C359" s="70">
        <f t="shared" si="13"/>
        <v>68.69</v>
      </c>
      <c r="D359" s="70">
        <f t="shared" si="14"/>
        <v>276.82</v>
      </c>
      <c r="E359" s="70">
        <f t="shared" si="15"/>
        <v>22620.699999999961</v>
      </c>
      <c r="F359" s="78">
        <v>0</v>
      </c>
      <c r="G359" s="78">
        <f t="shared" si="16"/>
        <v>345.51</v>
      </c>
      <c r="I359" s="80">
        <v>323</v>
      </c>
      <c r="J359" s="78">
        <f t="shared" si="17"/>
        <v>246.87</v>
      </c>
      <c r="K359" s="78">
        <f t="shared" si="18"/>
        <v>44.85</v>
      </c>
      <c r="L359" s="78">
        <f t="shared" si="19"/>
        <v>202.02</v>
      </c>
      <c r="M359" s="78">
        <f t="shared" si="20"/>
        <v>14747.54000000019</v>
      </c>
      <c r="N359" s="78">
        <v>0</v>
      </c>
      <c r="O359" s="78">
        <f t="shared" si="21"/>
        <v>246.87</v>
      </c>
    </row>
    <row r="360" spans="1:15" ht="15" customHeight="1">
      <c r="A360" s="7">
        <v>324</v>
      </c>
      <c r="B360" s="70">
        <f t="shared" si="12"/>
        <v>345.51</v>
      </c>
      <c r="C360" s="70">
        <f t="shared" si="13"/>
        <v>67.86</v>
      </c>
      <c r="D360" s="70">
        <f t="shared" si="14"/>
        <v>277.64999999999998</v>
      </c>
      <c r="E360" s="70">
        <f t="shared" si="15"/>
        <v>22343.049999999959</v>
      </c>
      <c r="F360" s="78">
        <v>0</v>
      </c>
      <c r="G360" s="78">
        <f t="shared" si="16"/>
        <v>345.51</v>
      </c>
      <c r="I360" s="80">
        <v>324</v>
      </c>
      <c r="J360" s="78">
        <f t="shared" si="17"/>
        <v>246.26000000000002</v>
      </c>
      <c r="K360" s="78">
        <f t="shared" si="18"/>
        <v>44.24</v>
      </c>
      <c r="L360" s="78">
        <f t="shared" si="19"/>
        <v>202.02</v>
      </c>
      <c r="M360" s="78">
        <f t="shared" si="20"/>
        <v>14545.52000000019</v>
      </c>
      <c r="N360" s="78">
        <v>0</v>
      </c>
      <c r="O360" s="78">
        <f t="shared" si="21"/>
        <v>246.26000000000002</v>
      </c>
    </row>
    <row r="361" spans="1:15" ht="15" customHeight="1">
      <c r="A361" s="7">
        <v>325</v>
      </c>
      <c r="B361" s="70">
        <f t="shared" si="12"/>
        <v>345.51</v>
      </c>
      <c r="C361" s="70">
        <f t="shared" si="13"/>
        <v>67.03</v>
      </c>
      <c r="D361" s="70">
        <f t="shared" si="14"/>
        <v>278.48</v>
      </c>
      <c r="E361" s="70">
        <f t="shared" si="15"/>
        <v>22064.56999999996</v>
      </c>
      <c r="F361" s="78">
        <v>0</v>
      </c>
      <c r="G361" s="78">
        <f t="shared" si="16"/>
        <v>345.51</v>
      </c>
      <c r="I361" s="80">
        <v>325</v>
      </c>
      <c r="J361" s="78">
        <f t="shared" si="17"/>
        <v>245.66000000000003</v>
      </c>
      <c r="K361" s="78">
        <f t="shared" si="18"/>
        <v>43.64</v>
      </c>
      <c r="L361" s="78">
        <f t="shared" si="19"/>
        <v>202.02</v>
      </c>
      <c r="M361" s="78">
        <f t="shared" si="20"/>
        <v>14343.500000000189</v>
      </c>
      <c r="N361" s="78">
        <v>0</v>
      </c>
      <c r="O361" s="78">
        <f t="shared" si="21"/>
        <v>245.66000000000003</v>
      </c>
    </row>
    <row r="362" spans="1:15" ht="15" customHeight="1">
      <c r="A362" s="7">
        <v>326</v>
      </c>
      <c r="B362" s="70">
        <f t="shared" si="12"/>
        <v>345.51</v>
      </c>
      <c r="C362" s="70">
        <f t="shared" si="13"/>
        <v>66.19</v>
      </c>
      <c r="D362" s="70">
        <f t="shared" si="14"/>
        <v>279.32</v>
      </c>
      <c r="E362" s="70">
        <f t="shared" si="15"/>
        <v>21785.24999999996</v>
      </c>
      <c r="F362" s="78">
        <v>0</v>
      </c>
      <c r="G362" s="78">
        <f t="shared" si="16"/>
        <v>345.51</v>
      </c>
      <c r="I362" s="80">
        <v>326</v>
      </c>
      <c r="J362" s="78">
        <f t="shared" si="17"/>
        <v>245.05</v>
      </c>
      <c r="K362" s="78">
        <f t="shared" si="18"/>
        <v>43.03</v>
      </c>
      <c r="L362" s="78">
        <f t="shared" si="19"/>
        <v>202.02</v>
      </c>
      <c r="M362" s="78">
        <f t="shared" si="20"/>
        <v>14141.480000000189</v>
      </c>
      <c r="N362" s="78">
        <v>0</v>
      </c>
      <c r="O362" s="78">
        <f t="shared" si="21"/>
        <v>245.05</v>
      </c>
    </row>
    <row r="363" spans="1:15" ht="15" customHeight="1">
      <c r="A363" s="7">
        <v>327</v>
      </c>
      <c r="B363" s="70">
        <f t="shared" si="12"/>
        <v>345.51</v>
      </c>
      <c r="C363" s="70">
        <f t="shared" si="13"/>
        <v>65.36</v>
      </c>
      <c r="D363" s="70">
        <f t="shared" si="14"/>
        <v>280.14999999999998</v>
      </c>
      <c r="E363" s="70">
        <f t="shared" si="15"/>
        <v>21505.099999999959</v>
      </c>
      <c r="F363" s="78">
        <v>0</v>
      </c>
      <c r="G363" s="78">
        <f t="shared" si="16"/>
        <v>345.51</v>
      </c>
      <c r="I363" s="80">
        <v>327</v>
      </c>
      <c r="J363" s="78">
        <f t="shared" si="17"/>
        <v>244.44</v>
      </c>
      <c r="K363" s="78">
        <f t="shared" si="18"/>
        <v>42.42</v>
      </c>
      <c r="L363" s="78">
        <f t="shared" si="19"/>
        <v>202.02</v>
      </c>
      <c r="M363" s="78">
        <f t="shared" si="20"/>
        <v>13939.460000000188</v>
      </c>
      <c r="N363" s="78">
        <v>0</v>
      </c>
      <c r="O363" s="78">
        <f t="shared" si="21"/>
        <v>244.44</v>
      </c>
    </row>
    <row r="364" spans="1:15" ht="15" customHeight="1">
      <c r="A364" s="7">
        <v>328</v>
      </c>
      <c r="B364" s="70">
        <f t="shared" si="12"/>
        <v>345.51</v>
      </c>
      <c r="C364" s="70">
        <f t="shared" si="13"/>
        <v>64.52</v>
      </c>
      <c r="D364" s="70">
        <f t="shared" si="14"/>
        <v>280.99</v>
      </c>
      <c r="E364" s="70">
        <f t="shared" si="15"/>
        <v>21224.109999999957</v>
      </c>
      <c r="F364" s="78">
        <v>0</v>
      </c>
      <c r="G364" s="78">
        <f t="shared" si="16"/>
        <v>345.51</v>
      </c>
      <c r="I364" s="80">
        <v>328</v>
      </c>
      <c r="J364" s="78">
        <f t="shared" si="17"/>
        <v>243.84</v>
      </c>
      <c r="K364" s="78">
        <f t="shared" si="18"/>
        <v>41.82</v>
      </c>
      <c r="L364" s="78">
        <f t="shared" si="19"/>
        <v>202.02</v>
      </c>
      <c r="M364" s="78">
        <f t="shared" si="20"/>
        <v>13737.440000000188</v>
      </c>
      <c r="N364" s="78">
        <v>0</v>
      </c>
      <c r="O364" s="78">
        <f t="shared" si="21"/>
        <v>243.84</v>
      </c>
    </row>
    <row r="365" spans="1:15" ht="15" customHeight="1">
      <c r="A365" s="7">
        <v>329</v>
      </c>
      <c r="B365" s="70">
        <f t="shared" si="12"/>
        <v>345.51</v>
      </c>
      <c r="C365" s="70">
        <f t="shared" si="13"/>
        <v>63.67</v>
      </c>
      <c r="D365" s="70">
        <f t="shared" si="14"/>
        <v>281.83999999999997</v>
      </c>
      <c r="E365" s="70">
        <f t="shared" si="15"/>
        <v>20942.269999999957</v>
      </c>
      <c r="F365" s="78">
        <v>0</v>
      </c>
      <c r="G365" s="78">
        <f t="shared" si="16"/>
        <v>345.51</v>
      </c>
      <c r="I365" s="80">
        <v>329</v>
      </c>
      <c r="J365" s="78">
        <f t="shared" si="17"/>
        <v>243.23000000000002</v>
      </c>
      <c r="K365" s="78">
        <f t="shared" si="18"/>
        <v>41.21</v>
      </c>
      <c r="L365" s="78">
        <f t="shared" si="19"/>
        <v>202.02</v>
      </c>
      <c r="M365" s="78">
        <f t="shared" si="20"/>
        <v>13535.420000000187</v>
      </c>
      <c r="N365" s="78">
        <v>0</v>
      </c>
      <c r="O365" s="78">
        <f t="shared" si="21"/>
        <v>243.23000000000002</v>
      </c>
    </row>
    <row r="366" spans="1:15" ht="15" customHeight="1">
      <c r="A366" s="7">
        <v>330</v>
      </c>
      <c r="B366" s="70">
        <f t="shared" si="12"/>
        <v>345.51</v>
      </c>
      <c r="C366" s="70">
        <f t="shared" si="13"/>
        <v>62.83</v>
      </c>
      <c r="D366" s="70">
        <f t="shared" si="14"/>
        <v>282.68</v>
      </c>
      <c r="E366" s="70">
        <f t="shared" si="15"/>
        <v>20659.589999999956</v>
      </c>
      <c r="F366" s="78">
        <v>0</v>
      </c>
      <c r="G366" s="78">
        <f t="shared" si="16"/>
        <v>345.51</v>
      </c>
      <c r="I366" s="80">
        <v>330</v>
      </c>
      <c r="J366" s="78">
        <f t="shared" si="17"/>
        <v>242.63</v>
      </c>
      <c r="K366" s="78">
        <f t="shared" si="18"/>
        <v>40.61</v>
      </c>
      <c r="L366" s="78">
        <f t="shared" si="19"/>
        <v>202.02</v>
      </c>
      <c r="M366" s="78">
        <f t="shared" si="20"/>
        <v>13333.400000000187</v>
      </c>
      <c r="N366" s="78">
        <v>0</v>
      </c>
      <c r="O366" s="78">
        <f t="shared" si="21"/>
        <v>242.63</v>
      </c>
    </row>
    <row r="367" spans="1:15" ht="15" customHeight="1">
      <c r="A367" s="7">
        <v>331</v>
      </c>
      <c r="B367" s="70">
        <f t="shared" si="12"/>
        <v>345.51</v>
      </c>
      <c r="C367" s="70">
        <f t="shared" si="13"/>
        <v>61.98</v>
      </c>
      <c r="D367" s="70">
        <f t="shared" si="14"/>
        <v>283.52999999999997</v>
      </c>
      <c r="E367" s="70">
        <f t="shared" si="15"/>
        <v>20376.059999999958</v>
      </c>
      <c r="F367" s="78">
        <v>0</v>
      </c>
      <c r="G367" s="78">
        <f t="shared" si="16"/>
        <v>345.51</v>
      </c>
      <c r="I367" s="80">
        <v>331</v>
      </c>
      <c r="J367" s="78">
        <f t="shared" si="17"/>
        <v>242.02</v>
      </c>
      <c r="K367" s="78">
        <f t="shared" si="18"/>
        <v>40</v>
      </c>
      <c r="L367" s="78">
        <f t="shared" si="19"/>
        <v>202.02</v>
      </c>
      <c r="M367" s="78">
        <f t="shared" si="20"/>
        <v>13131.380000000187</v>
      </c>
      <c r="N367" s="78">
        <v>0</v>
      </c>
      <c r="O367" s="78">
        <f t="shared" si="21"/>
        <v>242.02</v>
      </c>
    </row>
    <row r="368" spans="1:15" ht="15" customHeight="1">
      <c r="A368" s="7">
        <v>332</v>
      </c>
      <c r="B368" s="70">
        <f t="shared" si="12"/>
        <v>345.51</v>
      </c>
      <c r="C368" s="70">
        <f t="shared" si="13"/>
        <v>61.13</v>
      </c>
      <c r="D368" s="70">
        <f t="shared" si="14"/>
        <v>284.38</v>
      </c>
      <c r="E368" s="70">
        <f t="shared" si="15"/>
        <v>20091.679999999957</v>
      </c>
      <c r="F368" s="78">
        <v>0</v>
      </c>
      <c r="G368" s="78">
        <f t="shared" si="16"/>
        <v>345.51</v>
      </c>
      <c r="I368" s="80">
        <v>332</v>
      </c>
      <c r="J368" s="78">
        <f t="shared" si="17"/>
        <v>241.41000000000003</v>
      </c>
      <c r="K368" s="78">
        <f t="shared" si="18"/>
        <v>39.39</v>
      </c>
      <c r="L368" s="78">
        <f t="shared" si="19"/>
        <v>202.02</v>
      </c>
      <c r="M368" s="78">
        <f t="shared" si="20"/>
        <v>12929.360000000186</v>
      </c>
      <c r="N368" s="78">
        <v>0</v>
      </c>
      <c r="O368" s="78">
        <f t="shared" si="21"/>
        <v>241.41000000000003</v>
      </c>
    </row>
    <row r="369" spans="1:15" ht="15" customHeight="1">
      <c r="A369" s="7">
        <v>333</v>
      </c>
      <c r="B369" s="70">
        <f t="shared" si="12"/>
        <v>345.51</v>
      </c>
      <c r="C369" s="70">
        <f t="shared" si="13"/>
        <v>60.28</v>
      </c>
      <c r="D369" s="70">
        <f t="shared" si="14"/>
        <v>285.23</v>
      </c>
      <c r="E369" s="70">
        <f t="shared" si="15"/>
        <v>19806.449999999957</v>
      </c>
      <c r="F369" s="78">
        <v>0</v>
      </c>
      <c r="G369" s="78">
        <f t="shared" si="16"/>
        <v>345.51</v>
      </c>
      <c r="I369" s="80">
        <v>333</v>
      </c>
      <c r="J369" s="78">
        <f t="shared" si="17"/>
        <v>240.81</v>
      </c>
      <c r="K369" s="78">
        <f t="shared" si="18"/>
        <v>38.79</v>
      </c>
      <c r="L369" s="78">
        <f t="shared" si="19"/>
        <v>202.02</v>
      </c>
      <c r="M369" s="78">
        <f t="shared" si="20"/>
        <v>12727.340000000186</v>
      </c>
      <c r="N369" s="78">
        <v>0</v>
      </c>
      <c r="O369" s="78">
        <f t="shared" si="21"/>
        <v>240.81</v>
      </c>
    </row>
    <row r="370" spans="1:15" ht="15" customHeight="1">
      <c r="A370" s="7">
        <v>334</v>
      </c>
      <c r="B370" s="70">
        <f t="shared" si="12"/>
        <v>345.51</v>
      </c>
      <c r="C370" s="70">
        <f t="shared" si="13"/>
        <v>59.42</v>
      </c>
      <c r="D370" s="70">
        <f t="shared" si="14"/>
        <v>286.08999999999997</v>
      </c>
      <c r="E370" s="70">
        <f t="shared" si="15"/>
        <v>19520.359999999957</v>
      </c>
      <c r="F370" s="78">
        <v>0</v>
      </c>
      <c r="G370" s="78">
        <f t="shared" si="16"/>
        <v>345.51</v>
      </c>
      <c r="I370" s="80">
        <v>334</v>
      </c>
      <c r="J370" s="78">
        <f t="shared" si="17"/>
        <v>240.20000000000002</v>
      </c>
      <c r="K370" s="78">
        <f t="shared" si="18"/>
        <v>38.18</v>
      </c>
      <c r="L370" s="78">
        <f t="shared" si="19"/>
        <v>202.02</v>
      </c>
      <c r="M370" s="78">
        <f t="shared" si="20"/>
        <v>12525.320000000185</v>
      </c>
      <c r="N370" s="78">
        <v>0</v>
      </c>
      <c r="O370" s="78">
        <f t="shared" si="21"/>
        <v>240.20000000000002</v>
      </c>
    </row>
    <row r="371" spans="1:15" ht="15" customHeight="1">
      <c r="A371" s="7">
        <v>335</v>
      </c>
      <c r="B371" s="70">
        <f t="shared" si="12"/>
        <v>345.51</v>
      </c>
      <c r="C371" s="70">
        <f t="shared" si="13"/>
        <v>58.56</v>
      </c>
      <c r="D371" s="70">
        <f t="shared" si="14"/>
        <v>286.95</v>
      </c>
      <c r="E371" s="70">
        <f t="shared" si="15"/>
        <v>19233.409999999956</v>
      </c>
      <c r="F371" s="78">
        <v>0</v>
      </c>
      <c r="G371" s="78">
        <f t="shared" si="16"/>
        <v>345.51</v>
      </c>
      <c r="I371" s="80">
        <v>335</v>
      </c>
      <c r="J371" s="78">
        <f t="shared" si="17"/>
        <v>239.60000000000002</v>
      </c>
      <c r="K371" s="78">
        <f t="shared" si="18"/>
        <v>37.58</v>
      </c>
      <c r="L371" s="78">
        <f t="shared" si="19"/>
        <v>202.02</v>
      </c>
      <c r="M371" s="78">
        <f t="shared" si="20"/>
        <v>12323.300000000185</v>
      </c>
      <c r="N371" s="78">
        <v>0</v>
      </c>
      <c r="O371" s="78">
        <f t="shared" si="21"/>
        <v>239.60000000000002</v>
      </c>
    </row>
    <row r="372" spans="1:15" ht="15" customHeight="1">
      <c r="A372" s="7">
        <v>336</v>
      </c>
      <c r="B372" s="70">
        <f t="shared" si="12"/>
        <v>345.51</v>
      </c>
      <c r="C372" s="70">
        <f t="shared" si="13"/>
        <v>57.7</v>
      </c>
      <c r="D372" s="70">
        <f t="shared" si="14"/>
        <v>287.81</v>
      </c>
      <c r="E372" s="70">
        <f t="shared" si="15"/>
        <v>18945.599999999955</v>
      </c>
      <c r="F372" s="78">
        <v>0</v>
      </c>
      <c r="G372" s="78">
        <f t="shared" si="16"/>
        <v>345.51</v>
      </c>
      <c r="I372" s="80">
        <v>336</v>
      </c>
      <c r="J372" s="78">
        <f t="shared" si="17"/>
        <v>238.99</v>
      </c>
      <c r="K372" s="78">
        <f t="shared" si="18"/>
        <v>36.97</v>
      </c>
      <c r="L372" s="78">
        <f t="shared" si="19"/>
        <v>202.02</v>
      </c>
      <c r="M372" s="78">
        <f t="shared" si="20"/>
        <v>12121.280000000184</v>
      </c>
      <c r="N372" s="78">
        <v>0</v>
      </c>
      <c r="O372" s="78">
        <f t="shared" si="21"/>
        <v>238.99</v>
      </c>
    </row>
    <row r="373" spans="1:15" ht="15" customHeight="1">
      <c r="A373" s="7">
        <v>337</v>
      </c>
      <c r="B373" s="70">
        <f t="shared" si="12"/>
        <v>345.51</v>
      </c>
      <c r="C373" s="70">
        <f t="shared" si="13"/>
        <v>56.84</v>
      </c>
      <c r="D373" s="70">
        <f t="shared" si="14"/>
        <v>288.66999999999996</v>
      </c>
      <c r="E373" s="70">
        <f t="shared" si="15"/>
        <v>18656.929999999957</v>
      </c>
      <c r="F373" s="78">
        <v>0</v>
      </c>
      <c r="G373" s="78">
        <f t="shared" si="16"/>
        <v>345.51</v>
      </c>
      <c r="I373" s="80">
        <v>337</v>
      </c>
      <c r="J373" s="78">
        <f t="shared" si="17"/>
        <v>238.38</v>
      </c>
      <c r="K373" s="78">
        <f t="shared" si="18"/>
        <v>36.36</v>
      </c>
      <c r="L373" s="78">
        <f t="shared" si="19"/>
        <v>202.02</v>
      </c>
      <c r="M373" s="78">
        <f t="shared" si="20"/>
        <v>11919.260000000184</v>
      </c>
      <c r="N373" s="78">
        <v>0</v>
      </c>
      <c r="O373" s="78">
        <f t="shared" si="21"/>
        <v>238.38</v>
      </c>
    </row>
    <row r="374" spans="1:15" ht="15" customHeight="1">
      <c r="A374" s="7">
        <v>338</v>
      </c>
      <c r="B374" s="70">
        <f t="shared" si="12"/>
        <v>345.51</v>
      </c>
      <c r="C374" s="70">
        <f t="shared" si="13"/>
        <v>55.97</v>
      </c>
      <c r="D374" s="70">
        <f t="shared" si="14"/>
        <v>289.53999999999996</v>
      </c>
      <c r="E374" s="70">
        <f t="shared" si="15"/>
        <v>18367.389999999956</v>
      </c>
      <c r="F374" s="78">
        <v>0</v>
      </c>
      <c r="G374" s="78">
        <f t="shared" si="16"/>
        <v>345.51</v>
      </c>
      <c r="I374" s="80">
        <v>338</v>
      </c>
      <c r="J374" s="78">
        <f t="shared" si="17"/>
        <v>237.78</v>
      </c>
      <c r="K374" s="78">
        <f t="shared" si="18"/>
        <v>35.76</v>
      </c>
      <c r="L374" s="78">
        <f t="shared" si="19"/>
        <v>202.02</v>
      </c>
      <c r="M374" s="78">
        <f t="shared" si="20"/>
        <v>11717.240000000183</v>
      </c>
      <c r="N374" s="78">
        <v>0</v>
      </c>
      <c r="O374" s="78">
        <f t="shared" si="21"/>
        <v>237.78</v>
      </c>
    </row>
    <row r="375" spans="1:15" ht="15" customHeight="1">
      <c r="A375" s="7">
        <v>339</v>
      </c>
      <c r="B375" s="70">
        <f t="shared" si="12"/>
        <v>345.51</v>
      </c>
      <c r="C375" s="70">
        <f t="shared" si="13"/>
        <v>55.1</v>
      </c>
      <c r="D375" s="70">
        <f t="shared" si="14"/>
        <v>290.40999999999997</v>
      </c>
      <c r="E375" s="70">
        <f t="shared" si="15"/>
        <v>18076.979999999956</v>
      </c>
      <c r="F375" s="78">
        <v>0</v>
      </c>
      <c r="G375" s="78">
        <f t="shared" si="16"/>
        <v>345.51</v>
      </c>
      <c r="I375" s="80">
        <v>339</v>
      </c>
      <c r="J375" s="78">
        <f t="shared" si="17"/>
        <v>237.17000000000002</v>
      </c>
      <c r="K375" s="78">
        <f t="shared" si="18"/>
        <v>35.15</v>
      </c>
      <c r="L375" s="78">
        <f t="shared" si="19"/>
        <v>202.02</v>
      </c>
      <c r="M375" s="78">
        <f t="shared" si="20"/>
        <v>11515.220000000183</v>
      </c>
      <c r="N375" s="78">
        <v>0</v>
      </c>
      <c r="O375" s="78">
        <f t="shared" si="21"/>
        <v>237.17000000000002</v>
      </c>
    </row>
    <row r="376" spans="1:15" ht="15" customHeight="1">
      <c r="A376" s="7">
        <v>340</v>
      </c>
      <c r="B376" s="70">
        <f t="shared" si="12"/>
        <v>345.51</v>
      </c>
      <c r="C376" s="70">
        <f t="shared" si="13"/>
        <v>54.23</v>
      </c>
      <c r="D376" s="70">
        <f t="shared" si="14"/>
        <v>291.27999999999997</v>
      </c>
      <c r="E376" s="70">
        <f t="shared" si="15"/>
        <v>17785.699999999957</v>
      </c>
      <c r="F376" s="78">
        <v>0</v>
      </c>
      <c r="G376" s="78">
        <f t="shared" si="16"/>
        <v>345.51</v>
      </c>
      <c r="I376" s="80">
        <v>340</v>
      </c>
      <c r="J376" s="78">
        <f t="shared" si="17"/>
        <v>236.57</v>
      </c>
      <c r="K376" s="78">
        <f t="shared" si="18"/>
        <v>34.549999999999997</v>
      </c>
      <c r="L376" s="78">
        <f t="shared" si="19"/>
        <v>202.02</v>
      </c>
      <c r="M376" s="78">
        <f t="shared" si="20"/>
        <v>11313.200000000183</v>
      </c>
      <c r="N376" s="78">
        <v>0</v>
      </c>
      <c r="O376" s="78">
        <f t="shared" si="21"/>
        <v>236.57</v>
      </c>
    </row>
    <row r="377" spans="1:15" ht="15" customHeight="1">
      <c r="A377" s="7">
        <v>341</v>
      </c>
      <c r="B377" s="70">
        <f t="shared" si="12"/>
        <v>345.51</v>
      </c>
      <c r="C377" s="70">
        <f t="shared" si="13"/>
        <v>53.36</v>
      </c>
      <c r="D377" s="70">
        <f t="shared" si="14"/>
        <v>292.14999999999998</v>
      </c>
      <c r="E377" s="70">
        <f t="shared" si="15"/>
        <v>17493.549999999956</v>
      </c>
      <c r="F377" s="78">
        <v>0</v>
      </c>
      <c r="G377" s="78">
        <f t="shared" si="16"/>
        <v>345.51</v>
      </c>
      <c r="I377" s="80">
        <v>341</v>
      </c>
      <c r="J377" s="78">
        <f t="shared" si="17"/>
        <v>235.96</v>
      </c>
      <c r="K377" s="78">
        <f t="shared" si="18"/>
        <v>33.94</v>
      </c>
      <c r="L377" s="78">
        <f t="shared" si="19"/>
        <v>202.02</v>
      </c>
      <c r="M377" s="78">
        <f t="shared" si="20"/>
        <v>11111.180000000182</v>
      </c>
      <c r="N377" s="78">
        <v>0</v>
      </c>
      <c r="O377" s="78">
        <f t="shared" si="21"/>
        <v>235.96</v>
      </c>
    </row>
    <row r="378" spans="1:15" ht="15" customHeight="1">
      <c r="A378" s="7">
        <v>342</v>
      </c>
      <c r="B378" s="70">
        <f t="shared" si="12"/>
        <v>345.51</v>
      </c>
      <c r="C378" s="70">
        <f t="shared" si="13"/>
        <v>52.48</v>
      </c>
      <c r="D378" s="70">
        <f t="shared" si="14"/>
        <v>293.02999999999997</v>
      </c>
      <c r="E378" s="70">
        <f t="shared" si="15"/>
        <v>17200.519999999957</v>
      </c>
      <c r="F378" s="78">
        <v>0</v>
      </c>
      <c r="G378" s="78">
        <f t="shared" si="16"/>
        <v>345.51</v>
      </c>
      <c r="I378" s="80">
        <v>342</v>
      </c>
      <c r="J378" s="78">
        <f t="shared" si="17"/>
        <v>235.35000000000002</v>
      </c>
      <c r="K378" s="78">
        <f t="shared" si="18"/>
        <v>33.33</v>
      </c>
      <c r="L378" s="78">
        <f t="shared" si="19"/>
        <v>202.02</v>
      </c>
      <c r="M378" s="78">
        <f t="shared" si="20"/>
        <v>10909.160000000182</v>
      </c>
      <c r="N378" s="78">
        <v>0</v>
      </c>
      <c r="O378" s="78">
        <f t="shared" si="21"/>
        <v>235.35000000000002</v>
      </c>
    </row>
    <row r="379" spans="1:15" ht="15" customHeight="1">
      <c r="A379" s="7">
        <v>343</v>
      </c>
      <c r="B379" s="70">
        <f t="shared" si="12"/>
        <v>345.51</v>
      </c>
      <c r="C379" s="70">
        <f t="shared" si="13"/>
        <v>51.6</v>
      </c>
      <c r="D379" s="70">
        <f t="shared" si="14"/>
        <v>293.90999999999997</v>
      </c>
      <c r="E379" s="70">
        <f t="shared" si="15"/>
        <v>16906.609999999957</v>
      </c>
      <c r="F379" s="78">
        <v>0</v>
      </c>
      <c r="G379" s="78">
        <f t="shared" si="16"/>
        <v>345.51</v>
      </c>
      <c r="I379" s="80">
        <v>343</v>
      </c>
      <c r="J379" s="78">
        <f t="shared" si="17"/>
        <v>234.75</v>
      </c>
      <c r="K379" s="78">
        <f t="shared" si="18"/>
        <v>32.729999999999997</v>
      </c>
      <c r="L379" s="78">
        <f t="shared" si="19"/>
        <v>202.02</v>
      </c>
      <c r="M379" s="78">
        <f t="shared" si="20"/>
        <v>10707.140000000181</v>
      </c>
      <c r="N379" s="78">
        <v>0</v>
      </c>
      <c r="O379" s="78">
        <f t="shared" si="21"/>
        <v>234.75</v>
      </c>
    </row>
    <row r="380" spans="1:15" ht="15" customHeight="1">
      <c r="A380" s="7">
        <v>344</v>
      </c>
      <c r="B380" s="70">
        <f t="shared" si="12"/>
        <v>345.51</v>
      </c>
      <c r="C380" s="70">
        <f t="shared" si="13"/>
        <v>50.72</v>
      </c>
      <c r="D380" s="70">
        <f t="shared" si="14"/>
        <v>294.78999999999996</v>
      </c>
      <c r="E380" s="70">
        <f t="shared" si="15"/>
        <v>16611.819999999956</v>
      </c>
      <c r="F380" s="78">
        <v>0</v>
      </c>
      <c r="G380" s="78">
        <f t="shared" si="16"/>
        <v>345.51</v>
      </c>
      <c r="I380" s="80">
        <v>344</v>
      </c>
      <c r="J380" s="78">
        <f t="shared" si="17"/>
        <v>234.14000000000001</v>
      </c>
      <c r="K380" s="78">
        <f t="shared" si="18"/>
        <v>32.119999999999997</v>
      </c>
      <c r="L380" s="78">
        <f t="shared" si="19"/>
        <v>202.02</v>
      </c>
      <c r="M380" s="78">
        <f t="shared" si="20"/>
        <v>10505.120000000181</v>
      </c>
      <c r="N380" s="78">
        <v>0</v>
      </c>
      <c r="O380" s="78">
        <f t="shared" si="21"/>
        <v>234.14000000000001</v>
      </c>
    </row>
    <row r="381" spans="1:15" ht="15" customHeight="1">
      <c r="A381" s="7">
        <v>345</v>
      </c>
      <c r="B381" s="70">
        <f t="shared" si="12"/>
        <v>345.51</v>
      </c>
      <c r="C381" s="70">
        <f t="shared" si="13"/>
        <v>49.84</v>
      </c>
      <c r="D381" s="70">
        <f t="shared" si="14"/>
        <v>295.66999999999996</v>
      </c>
      <c r="E381" s="70">
        <f t="shared" si="15"/>
        <v>16316.149999999956</v>
      </c>
      <c r="F381" s="78">
        <v>0</v>
      </c>
      <c r="G381" s="78">
        <f t="shared" si="16"/>
        <v>345.51</v>
      </c>
      <c r="I381" s="80">
        <v>345</v>
      </c>
      <c r="J381" s="78">
        <f t="shared" si="17"/>
        <v>233.54000000000002</v>
      </c>
      <c r="K381" s="78">
        <f t="shared" si="18"/>
        <v>31.52</v>
      </c>
      <c r="L381" s="78">
        <f t="shared" si="19"/>
        <v>202.02</v>
      </c>
      <c r="M381" s="78">
        <f t="shared" si="20"/>
        <v>10303.10000000018</v>
      </c>
      <c r="N381" s="78">
        <v>0</v>
      </c>
      <c r="O381" s="78">
        <f t="shared" si="21"/>
        <v>233.54000000000002</v>
      </c>
    </row>
    <row r="382" spans="1:15" ht="15" customHeight="1">
      <c r="A382" s="7">
        <v>346</v>
      </c>
      <c r="B382" s="70">
        <f t="shared" si="12"/>
        <v>345.51</v>
      </c>
      <c r="C382" s="70">
        <f t="shared" si="13"/>
        <v>48.95</v>
      </c>
      <c r="D382" s="70">
        <f t="shared" si="14"/>
        <v>296.56</v>
      </c>
      <c r="E382" s="70">
        <f t="shared" si="15"/>
        <v>16019.589999999956</v>
      </c>
      <c r="F382" s="78">
        <v>0</v>
      </c>
      <c r="G382" s="78">
        <f t="shared" si="16"/>
        <v>345.51</v>
      </c>
      <c r="I382" s="80">
        <v>346</v>
      </c>
      <c r="J382" s="78">
        <f t="shared" si="17"/>
        <v>232.93</v>
      </c>
      <c r="K382" s="78">
        <f t="shared" si="18"/>
        <v>30.91</v>
      </c>
      <c r="L382" s="78">
        <f t="shared" si="19"/>
        <v>202.02</v>
      </c>
      <c r="M382" s="78">
        <f t="shared" si="20"/>
        <v>10101.08000000018</v>
      </c>
      <c r="N382" s="78">
        <v>0</v>
      </c>
      <c r="O382" s="78">
        <f t="shared" si="21"/>
        <v>232.93</v>
      </c>
    </row>
    <row r="383" spans="1:15" ht="15" customHeight="1">
      <c r="A383" s="7">
        <v>347</v>
      </c>
      <c r="B383" s="70">
        <f t="shared" si="12"/>
        <v>345.51</v>
      </c>
      <c r="C383" s="70">
        <f t="shared" si="13"/>
        <v>48.06</v>
      </c>
      <c r="D383" s="70">
        <f t="shared" si="14"/>
        <v>297.45</v>
      </c>
      <c r="E383" s="70">
        <f t="shared" si="15"/>
        <v>15722.139999999956</v>
      </c>
      <c r="F383" s="78">
        <v>0</v>
      </c>
      <c r="G383" s="78">
        <f t="shared" si="16"/>
        <v>345.51</v>
      </c>
      <c r="I383" s="80">
        <v>347</v>
      </c>
      <c r="J383" s="78">
        <f t="shared" si="17"/>
        <v>232.32000000000002</v>
      </c>
      <c r="K383" s="78">
        <f t="shared" si="18"/>
        <v>30.3</v>
      </c>
      <c r="L383" s="78">
        <f t="shared" si="19"/>
        <v>202.02</v>
      </c>
      <c r="M383" s="78">
        <f t="shared" si="20"/>
        <v>9899.0600000001796</v>
      </c>
      <c r="N383" s="78">
        <v>0</v>
      </c>
      <c r="O383" s="78">
        <f t="shared" si="21"/>
        <v>232.32000000000002</v>
      </c>
    </row>
    <row r="384" spans="1:15" ht="15" customHeight="1">
      <c r="A384" s="7">
        <v>348</v>
      </c>
      <c r="B384" s="70">
        <f t="shared" si="12"/>
        <v>345.51</v>
      </c>
      <c r="C384" s="70">
        <f t="shared" si="13"/>
        <v>47.17</v>
      </c>
      <c r="D384" s="70">
        <f t="shared" si="14"/>
        <v>298.33999999999997</v>
      </c>
      <c r="E384" s="70">
        <f t="shared" si="15"/>
        <v>15423.799999999956</v>
      </c>
      <c r="F384" s="78">
        <v>0</v>
      </c>
      <c r="G384" s="78">
        <f t="shared" si="16"/>
        <v>345.51</v>
      </c>
      <c r="I384" s="80">
        <v>348</v>
      </c>
      <c r="J384" s="78">
        <f t="shared" si="17"/>
        <v>231.72</v>
      </c>
      <c r="K384" s="78">
        <f t="shared" si="18"/>
        <v>29.7</v>
      </c>
      <c r="L384" s="78">
        <f t="shared" si="19"/>
        <v>202.02</v>
      </c>
      <c r="M384" s="78">
        <f t="shared" si="20"/>
        <v>9697.0400000001791</v>
      </c>
      <c r="N384" s="78">
        <v>0</v>
      </c>
      <c r="O384" s="78">
        <f t="shared" si="21"/>
        <v>231.72</v>
      </c>
    </row>
    <row r="385" spans="1:15" ht="15" customHeight="1">
      <c r="A385" s="7">
        <v>349</v>
      </c>
      <c r="B385" s="70">
        <f t="shared" si="12"/>
        <v>345.51</v>
      </c>
      <c r="C385" s="70">
        <f t="shared" si="13"/>
        <v>46.27</v>
      </c>
      <c r="D385" s="70">
        <f t="shared" si="14"/>
        <v>299.24</v>
      </c>
      <c r="E385" s="70">
        <f t="shared" si="15"/>
        <v>15124.559999999956</v>
      </c>
      <c r="F385" s="78">
        <v>0</v>
      </c>
      <c r="G385" s="78">
        <f t="shared" si="16"/>
        <v>345.51</v>
      </c>
      <c r="I385" s="80">
        <v>349</v>
      </c>
      <c r="J385" s="78">
        <f t="shared" si="17"/>
        <v>231.11</v>
      </c>
      <c r="K385" s="78">
        <f t="shared" si="18"/>
        <v>29.09</v>
      </c>
      <c r="L385" s="78">
        <f t="shared" si="19"/>
        <v>202.02</v>
      </c>
      <c r="M385" s="78">
        <f t="shared" si="20"/>
        <v>9495.0200000001787</v>
      </c>
      <c r="N385" s="78">
        <v>0</v>
      </c>
      <c r="O385" s="78">
        <f t="shared" si="21"/>
        <v>231.11</v>
      </c>
    </row>
    <row r="386" spans="1:15" ht="15" customHeight="1">
      <c r="A386" s="7">
        <v>350</v>
      </c>
      <c r="B386" s="70">
        <f t="shared" si="12"/>
        <v>345.51</v>
      </c>
      <c r="C386" s="70">
        <f t="shared" si="13"/>
        <v>45.37</v>
      </c>
      <c r="D386" s="70">
        <f t="shared" si="14"/>
        <v>300.14</v>
      </c>
      <c r="E386" s="70">
        <f t="shared" si="15"/>
        <v>14824.419999999956</v>
      </c>
      <c r="F386" s="78">
        <v>0</v>
      </c>
      <c r="G386" s="78">
        <f t="shared" si="16"/>
        <v>345.51</v>
      </c>
      <c r="I386" s="80">
        <v>350</v>
      </c>
      <c r="J386" s="78">
        <f t="shared" si="17"/>
        <v>230.51000000000002</v>
      </c>
      <c r="K386" s="78">
        <f t="shared" si="18"/>
        <v>28.49</v>
      </c>
      <c r="L386" s="78">
        <f t="shared" si="19"/>
        <v>202.02</v>
      </c>
      <c r="M386" s="78">
        <f t="shared" si="20"/>
        <v>9293.0000000001783</v>
      </c>
      <c r="N386" s="78">
        <v>0</v>
      </c>
      <c r="O386" s="78">
        <f t="shared" si="21"/>
        <v>230.51000000000002</v>
      </c>
    </row>
    <row r="387" spans="1:15" ht="15" customHeight="1">
      <c r="A387" s="7">
        <v>351</v>
      </c>
      <c r="B387" s="70">
        <f t="shared" si="12"/>
        <v>345.51</v>
      </c>
      <c r="C387" s="70">
        <f t="shared" si="13"/>
        <v>44.47</v>
      </c>
      <c r="D387" s="70">
        <f t="shared" si="14"/>
        <v>301.03999999999996</v>
      </c>
      <c r="E387" s="70">
        <f t="shared" si="15"/>
        <v>14523.379999999957</v>
      </c>
      <c r="F387" s="78">
        <v>0</v>
      </c>
      <c r="G387" s="78">
        <f t="shared" si="16"/>
        <v>345.51</v>
      </c>
      <c r="I387" s="80">
        <v>351</v>
      </c>
      <c r="J387" s="78">
        <f t="shared" si="17"/>
        <v>229.9</v>
      </c>
      <c r="K387" s="78">
        <f t="shared" si="18"/>
        <v>27.88</v>
      </c>
      <c r="L387" s="78">
        <f t="shared" si="19"/>
        <v>202.02</v>
      </c>
      <c r="M387" s="78">
        <f t="shared" si="20"/>
        <v>9090.9800000001778</v>
      </c>
      <c r="N387" s="78">
        <v>0</v>
      </c>
      <c r="O387" s="78">
        <f t="shared" si="21"/>
        <v>229.9</v>
      </c>
    </row>
    <row r="388" spans="1:15" ht="15" customHeight="1">
      <c r="A388" s="7">
        <v>352</v>
      </c>
      <c r="B388" s="70">
        <f t="shared" si="12"/>
        <v>345.51</v>
      </c>
      <c r="C388" s="70">
        <f t="shared" si="13"/>
        <v>43.57</v>
      </c>
      <c r="D388" s="70">
        <f t="shared" si="14"/>
        <v>301.94</v>
      </c>
      <c r="E388" s="70">
        <f t="shared" si="15"/>
        <v>14221.439999999957</v>
      </c>
      <c r="F388" s="78">
        <v>0</v>
      </c>
      <c r="G388" s="78">
        <f t="shared" si="16"/>
        <v>345.51</v>
      </c>
      <c r="I388" s="80">
        <v>352</v>
      </c>
      <c r="J388" s="78">
        <f t="shared" si="17"/>
        <v>229.29000000000002</v>
      </c>
      <c r="K388" s="78">
        <f t="shared" si="18"/>
        <v>27.27</v>
      </c>
      <c r="L388" s="78">
        <f t="shared" si="19"/>
        <v>202.02</v>
      </c>
      <c r="M388" s="78">
        <f t="shared" si="20"/>
        <v>8888.9600000001774</v>
      </c>
      <c r="N388" s="78">
        <v>0</v>
      </c>
      <c r="O388" s="78">
        <f t="shared" si="21"/>
        <v>229.29000000000002</v>
      </c>
    </row>
    <row r="389" spans="1:15" ht="15" customHeight="1">
      <c r="A389" s="7">
        <v>353</v>
      </c>
      <c r="B389" s="70">
        <f t="shared" si="12"/>
        <v>345.51</v>
      </c>
      <c r="C389" s="70">
        <f t="shared" si="13"/>
        <v>42.66</v>
      </c>
      <c r="D389" s="70">
        <f t="shared" si="14"/>
        <v>302.85000000000002</v>
      </c>
      <c r="E389" s="70">
        <f t="shared" si="15"/>
        <v>13918.589999999956</v>
      </c>
      <c r="F389" s="78">
        <v>0</v>
      </c>
      <c r="G389" s="78">
        <f t="shared" si="16"/>
        <v>345.51</v>
      </c>
      <c r="I389" s="80">
        <v>353</v>
      </c>
      <c r="J389" s="78">
        <f t="shared" si="17"/>
        <v>228.69</v>
      </c>
      <c r="K389" s="78">
        <f t="shared" si="18"/>
        <v>26.67</v>
      </c>
      <c r="L389" s="78">
        <f t="shared" si="19"/>
        <v>202.02</v>
      </c>
      <c r="M389" s="78">
        <f t="shared" si="20"/>
        <v>8686.940000000177</v>
      </c>
      <c r="N389" s="78">
        <v>0</v>
      </c>
      <c r="O389" s="78">
        <f t="shared" si="21"/>
        <v>228.69</v>
      </c>
    </row>
    <row r="390" spans="1:15" ht="15" customHeight="1">
      <c r="A390" s="7">
        <v>354</v>
      </c>
      <c r="B390" s="70">
        <f t="shared" si="12"/>
        <v>345.51</v>
      </c>
      <c r="C390" s="70">
        <f t="shared" si="13"/>
        <v>41.76</v>
      </c>
      <c r="D390" s="70">
        <f t="shared" si="14"/>
        <v>303.75</v>
      </c>
      <c r="E390" s="70">
        <f t="shared" si="15"/>
        <v>13614.839999999956</v>
      </c>
      <c r="F390" s="78">
        <v>0</v>
      </c>
      <c r="G390" s="78">
        <f t="shared" si="16"/>
        <v>345.51</v>
      </c>
      <c r="I390" s="80">
        <v>354</v>
      </c>
      <c r="J390" s="78">
        <f t="shared" si="17"/>
        <v>228.08</v>
      </c>
      <c r="K390" s="78">
        <f t="shared" si="18"/>
        <v>26.06</v>
      </c>
      <c r="L390" s="78">
        <f t="shared" si="19"/>
        <v>202.02</v>
      </c>
      <c r="M390" s="78">
        <f t="shared" si="20"/>
        <v>8484.9200000001765</v>
      </c>
      <c r="N390" s="78">
        <v>0</v>
      </c>
      <c r="O390" s="78">
        <f t="shared" si="21"/>
        <v>228.08</v>
      </c>
    </row>
    <row r="391" spans="1:15" ht="15" customHeight="1">
      <c r="A391" s="7">
        <v>355</v>
      </c>
      <c r="B391" s="70">
        <f t="shared" si="12"/>
        <v>345.51</v>
      </c>
      <c r="C391" s="70">
        <f t="shared" si="13"/>
        <v>40.840000000000003</v>
      </c>
      <c r="D391" s="70">
        <f t="shared" si="14"/>
        <v>304.66999999999996</v>
      </c>
      <c r="E391" s="70">
        <f t="shared" si="15"/>
        <v>13310.169999999956</v>
      </c>
      <c r="F391" s="78">
        <v>0</v>
      </c>
      <c r="G391" s="78">
        <f t="shared" si="16"/>
        <v>345.51</v>
      </c>
      <c r="I391" s="80">
        <v>355</v>
      </c>
      <c r="J391" s="78">
        <f t="shared" si="17"/>
        <v>227.47</v>
      </c>
      <c r="K391" s="78">
        <f t="shared" si="18"/>
        <v>25.45</v>
      </c>
      <c r="L391" s="78">
        <f t="shared" si="19"/>
        <v>202.02</v>
      </c>
      <c r="M391" s="78">
        <f t="shared" si="20"/>
        <v>8282.9000000001761</v>
      </c>
      <c r="N391" s="78">
        <v>0</v>
      </c>
      <c r="O391" s="78">
        <f t="shared" si="21"/>
        <v>227.47</v>
      </c>
    </row>
    <row r="392" spans="1:15" ht="15" customHeight="1">
      <c r="A392" s="7">
        <v>356</v>
      </c>
      <c r="B392" s="70">
        <f t="shared" si="12"/>
        <v>345.51</v>
      </c>
      <c r="C392" s="70">
        <f t="shared" si="13"/>
        <v>39.93</v>
      </c>
      <c r="D392" s="70">
        <f t="shared" si="14"/>
        <v>305.58</v>
      </c>
      <c r="E392" s="70">
        <f t="shared" si="15"/>
        <v>13004.589999999956</v>
      </c>
      <c r="F392" s="78">
        <v>0</v>
      </c>
      <c r="G392" s="78">
        <f t="shared" si="16"/>
        <v>345.51</v>
      </c>
      <c r="I392" s="80">
        <v>356</v>
      </c>
      <c r="J392" s="78">
        <f t="shared" si="17"/>
        <v>226.87</v>
      </c>
      <c r="K392" s="78">
        <f t="shared" si="18"/>
        <v>24.85</v>
      </c>
      <c r="L392" s="78">
        <f t="shared" si="19"/>
        <v>202.02</v>
      </c>
      <c r="M392" s="78">
        <f t="shared" si="20"/>
        <v>8080.8800000001756</v>
      </c>
      <c r="N392" s="78">
        <v>0</v>
      </c>
      <c r="O392" s="78">
        <f t="shared" si="21"/>
        <v>226.87</v>
      </c>
    </row>
    <row r="393" spans="1:15" ht="15" customHeight="1">
      <c r="A393" s="7">
        <v>357</v>
      </c>
      <c r="B393" s="70">
        <f t="shared" si="12"/>
        <v>345.51</v>
      </c>
      <c r="C393" s="70">
        <f t="shared" si="13"/>
        <v>39.01</v>
      </c>
      <c r="D393" s="70">
        <f t="shared" si="14"/>
        <v>306.5</v>
      </c>
      <c r="E393" s="70">
        <f t="shared" si="15"/>
        <v>12698.089999999956</v>
      </c>
      <c r="F393" s="78">
        <v>0</v>
      </c>
      <c r="G393" s="78">
        <f t="shared" si="16"/>
        <v>345.51</v>
      </c>
      <c r="I393" s="80">
        <v>357</v>
      </c>
      <c r="J393" s="78">
        <f t="shared" si="17"/>
        <v>226.26000000000002</v>
      </c>
      <c r="K393" s="78">
        <f t="shared" si="18"/>
        <v>24.24</v>
      </c>
      <c r="L393" s="78">
        <f t="shared" si="19"/>
        <v>202.02</v>
      </c>
      <c r="M393" s="78">
        <f t="shared" si="20"/>
        <v>7878.8600000001752</v>
      </c>
      <c r="N393" s="78">
        <v>0</v>
      </c>
      <c r="O393" s="78">
        <f t="shared" si="21"/>
        <v>226.26000000000002</v>
      </c>
    </row>
    <row r="394" spans="1:15" ht="15" customHeight="1">
      <c r="A394" s="7">
        <v>358</v>
      </c>
      <c r="B394" s="70">
        <f t="shared" si="12"/>
        <v>345.51</v>
      </c>
      <c r="C394" s="70">
        <f t="shared" si="13"/>
        <v>38.090000000000003</v>
      </c>
      <c r="D394" s="70">
        <f t="shared" si="14"/>
        <v>307.41999999999996</v>
      </c>
      <c r="E394" s="70">
        <f t="shared" si="15"/>
        <v>12390.669999999956</v>
      </c>
      <c r="F394" s="78">
        <v>0</v>
      </c>
      <c r="G394" s="78">
        <f t="shared" si="16"/>
        <v>345.51</v>
      </c>
      <c r="I394" s="80">
        <v>358</v>
      </c>
      <c r="J394" s="78">
        <f t="shared" si="17"/>
        <v>225.66000000000003</v>
      </c>
      <c r="K394" s="78">
        <f t="shared" si="18"/>
        <v>23.64</v>
      </c>
      <c r="L394" s="78">
        <f t="shared" si="19"/>
        <v>202.02</v>
      </c>
      <c r="M394" s="78">
        <f t="shared" si="20"/>
        <v>7676.8400000001748</v>
      </c>
      <c r="N394" s="78">
        <v>0</v>
      </c>
      <c r="O394" s="78">
        <f t="shared" si="21"/>
        <v>225.66000000000003</v>
      </c>
    </row>
    <row r="395" spans="1:15" ht="15" customHeight="1">
      <c r="A395" s="7">
        <v>359</v>
      </c>
      <c r="B395" s="70">
        <f t="shared" si="12"/>
        <v>345.51</v>
      </c>
      <c r="C395" s="70">
        <f t="shared" si="13"/>
        <v>37.17</v>
      </c>
      <c r="D395" s="70">
        <f t="shared" si="14"/>
        <v>308.33999999999997</v>
      </c>
      <c r="E395" s="70">
        <f t="shared" si="15"/>
        <v>12082.329999999956</v>
      </c>
      <c r="F395" s="78">
        <v>0</v>
      </c>
      <c r="G395" s="78">
        <f t="shared" si="16"/>
        <v>345.51</v>
      </c>
      <c r="I395" s="80">
        <v>359</v>
      </c>
      <c r="J395" s="78">
        <f t="shared" si="17"/>
        <v>225.05</v>
      </c>
      <c r="K395" s="78">
        <f t="shared" si="18"/>
        <v>23.03</v>
      </c>
      <c r="L395" s="78">
        <f t="shared" si="19"/>
        <v>202.02</v>
      </c>
      <c r="M395" s="78">
        <f t="shared" si="20"/>
        <v>7474.8200000001743</v>
      </c>
      <c r="N395" s="78">
        <v>0</v>
      </c>
      <c r="O395" s="78">
        <f t="shared" si="21"/>
        <v>225.05</v>
      </c>
    </row>
    <row r="396" spans="1:15" ht="15" customHeight="1">
      <c r="A396" s="7">
        <v>360</v>
      </c>
      <c r="B396" s="70">
        <f t="shared" si="12"/>
        <v>345.51</v>
      </c>
      <c r="C396" s="70">
        <f t="shared" si="13"/>
        <v>36.25</v>
      </c>
      <c r="D396" s="70">
        <f t="shared" si="14"/>
        <v>309.26</v>
      </c>
      <c r="E396" s="70">
        <f t="shared" si="15"/>
        <v>11773.069999999956</v>
      </c>
      <c r="F396" s="78">
        <v>0</v>
      </c>
      <c r="G396" s="78">
        <f t="shared" si="16"/>
        <v>345.51</v>
      </c>
      <c r="I396" s="80">
        <v>360</v>
      </c>
      <c r="J396" s="78">
        <f t="shared" si="17"/>
        <v>224.44</v>
      </c>
      <c r="K396" s="78">
        <f t="shared" si="18"/>
        <v>22.42</v>
      </c>
      <c r="L396" s="78">
        <f t="shared" si="19"/>
        <v>202.02</v>
      </c>
      <c r="M396" s="78">
        <f t="shared" si="20"/>
        <v>7272.8000000001739</v>
      </c>
      <c r="N396" s="78">
        <v>0</v>
      </c>
      <c r="O396" s="78">
        <f t="shared" si="21"/>
        <v>224.44</v>
      </c>
    </row>
    <row r="397" spans="1:15" ht="15" customHeight="1">
      <c r="A397" s="7">
        <v>361</v>
      </c>
      <c r="B397" s="70">
        <f t="shared" si="12"/>
        <v>345.51</v>
      </c>
      <c r="C397" s="70">
        <f t="shared" si="13"/>
        <v>35.32</v>
      </c>
      <c r="D397" s="70">
        <f t="shared" si="14"/>
        <v>310.19</v>
      </c>
      <c r="E397" s="70">
        <f t="shared" si="15"/>
        <v>11462.879999999956</v>
      </c>
      <c r="F397" s="78">
        <v>0</v>
      </c>
      <c r="G397" s="78">
        <f t="shared" si="16"/>
        <v>345.51</v>
      </c>
      <c r="I397" s="80">
        <v>361</v>
      </c>
      <c r="J397" s="78">
        <f t="shared" si="17"/>
        <v>223.84</v>
      </c>
      <c r="K397" s="78">
        <f t="shared" si="18"/>
        <v>21.82</v>
      </c>
      <c r="L397" s="78">
        <f t="shared" si="19"/>
        <v>202.02</v>
      </c>
      <c r="M397" s="78">
        <f t="shared" si="20"/>
        <v>7070.7800000001735</v>
      </c>
      <c r="N397" s="78">
        <v>0</v>
      </c>
      <c r="O397" s="78">
        <f t="shared" si="21"/>
        <v>223.84</v>
      </c>
    </row>
    <row r="398" spans="1:15" ht="15" customHeight="1">
      <c r="A398" s="7">
        <v>362</v>
      </c>
      <c r="B398" s="70">
        <f t="shared" si="12"/>
        <v>345.51</v>
      </c>
      <c r="C398" s="70">
        <f t="shared" si="13"/>
        <v>34.39</v>
      </c>
      <c r="D398" s="70">
        <f t="shared" si="14"/>
        <v>311.12</v>
      </c>
      <c r="E398" s="70">
        <f t="shared" si="15"/>
        <v>11151.759999999955</v>
      </c>
      <c r="F398" s="78">
        <v>0</v>
      </c>
      <c r="G398" s="78">
        <f t="shared" si="16"/>
        <v>345.51</v>
      </c>
      <c r="I398" s="80">
        <v>362</v>
      </c>
      <c r="J398" s="78">
        <f t="shared" si="17"/>
        <v>223.23000000000002</v>
      </c>
      <c r="K398" s="78">
        <f t="shared" si="18"/>
        <v>21.21</v>
      </c>
      <c r="L398" s="78">
        <f t="shared" si="19"/>
        <v>202.02</v>
      </c>
      <c r="M398" s="78">
        <f t="shared" si="20"/>
        <v>6868.760000000173</v>
      </c>
      <c r="N398" s="78">
        <v>0</v>
      </c>
      <c r="O398" s="78">
        <f t="shared" si="21"/>
        <v>223.23000000000002</v>
      </c>
    </row>
    <row r="399" spans="1:15" ht="15" customHeight="1">
      <c r="A399" s="7">
        <v>363</v>
      </c>
      <c r="B399" s="70">
        <f t="shared" si="12"/>
        <v>345.51</v>
      </c>
      <c r="C399" s="70">
        <f t="shared" si="13"/>
        <v>33.46</v>
      </c>
      <c r="D399" s="70">
        <f t="shared" si="14"/>
        <v>312.05</v>
      </c>
      <c r="E399" s="70">
        <f t="shared" si="15"/>
        <v>10839.709999999955</v>
      </c>
      <c r="F399" s="78">
        <v>0</v>
      </c>
      <c r="G399" s="78">
        <f t="shared" si="16"/>
        <v>345.51</v>
      </c>
      <c r="I399" s="80">
        <v>363</v>
      </c>
      <c r="J399" s="78">
        <f t="shared" si="17"/>
        <v>222.63</v>
      </c>
      <c r="K399" s="78">
        <f t="shared" si="18"/>
        <v>20.61</v>
      </c>
      <c r="L399" s="78">
        <f t="shared" si="19"/>
        <v>202.02</v>
      </c>
      <c r="M399" s="78">
        <f t="shared" si="20"/>
        <v>6666.7400000001726</v>
      </c>
      <c r="N399" s="78">
        <v>0</v>
      </c>
      <c r="O399" s="78">
        <f t="shared" si="21"/>
        <v>222.63</v>
      </c>
    </row>
    <row r="400" spans="1:15" ht="15" customHeight="1">
      <c r="A400" s="7">
        <v>364</v>
      </c>
      <c r="B400" s="70">
        <f t="shared" si="12"/>
        <v>345.51</v>
      </c>
      <c r="C400" s="70">
        <f t="shared" si="13"/>
        <v>32.520000000000003</v>
      </c>
      <c r="D400" s="70">
        <f t="shared" si="14"/>
        <v>312.99</v>
      </c>
      <c r="E400" s="70">
        <f t="shared" si="15"/>
        <v>10526.719999999956</v>
      </c>
      <c r="F400" s="78">
        <v>0</v>
      </c>
      <c r="G400" s="78">
        <f t="shared" si="16"/>
        <v>345.51</v>
      </c>
      <c r="I400" s="80">
        <v>364</v>
      </c>
      <c r="J400" s="78">
        <f t="shared" si="17"/>
        <v>222.02</v>
      </c>
      <c r="K400" s="78">
        <f t="shared" si="18"/>
        <v>20</v>
      </c>
      <c r="L400" s="78">
        <f t="shared" si="19"/>
        <v>202.02</v>
      </c>
      <c r="M400" s="78">
        <f t="shared" si="20"/>
        <v>6464.7200000001721</v>
      </c>
      <c r="N400" s="78">
        <v>0</v>
      </c>
      <c r="O400" s="78">
        <f t="shared" si="21"/>
        <v>222.02</v>
      </c>
    </row>
    <row r="401" spans="1:15" ht="15" customHeight="1">
      <c r="A401" s="7">
        <v>365</v>
      </c>
      <c r="B401" s="70">
        <f t="shared" si="12"/>
        <v>345.51</v>
      </c>
      <c r="C401" s="70">
        <f t="shared" si="13"/>
        <v>31.58</v>
      </c>
      <c r="D401" s="70">
        <f t="shared" si="14"/>
        <v>313.93</v>
      </c>
      <c r="E401" s="70">
        <f t="shared" si="15"/>
        <v>10212.789999999955</v>
      </c>
      <c r="F401" s="78">
        <v>0</v>
      </c>
      <c r="G401" s="78">
        <f t="shared" si="16"/>
        <v>345.51</v>
      </c>
      <c r="I401" s="80">
        <v>365</v>
      </c>
      <c r="J401" s="78">
        <f t="shared" si="17"/>
        <v>221.41000000000003</v>
      </c>
      <c r="K401" s="78">
        <f t="shared" si="18"/>
        <v>19.39</v>
      </c>
      <c r="L401" s="78">
        <f t="shared" si="19"/>
        <v>202.02</v>
      </c>
      <c r="M401" s="78">
        <f t="shared" si="20"/>
        <v>6262.7000000001717</v>
      </c>
      <c r="N401" s="78">
        <v>0</v>
      </c>
      <c r="O401" s="78">
        <f t="shared" si="21"/>
        <v>221.41000000000003</v>
      </c>
    </row>
    <row r="402" spans="1:15" ht="15" customHeight="1">
      <c r="A402" s="7">
        <v>366</v>
      </c>
      <c r="B402" s="70">
        <f t="shared" si="12"/>
        <v>345.51</v>
      </c>
      <c r="C402" s="70">
        <f t="shared" si="13"/>
        <v>30.64</v>
      </c>
      <c r="D402" s="70">
        <f t="shared" si="14"/>
        <v>314.87</v>
      </c>
      <c r="E402" s="70">
        <f t="shared" si="15"/>
        <v>9897.9199999999546</v>
      </c>
      <c r="F402" s="78">
        <v>0</v>
      </c>
      <c r="G402" s="78">
        <f t="shared" si="16"/>
        <v>345.51</v>
      </c>
      <c r="I402" s="80">
        <v>366</v>
      </c>
      <c r="J402" s="78">
        <f t="shared" si="17"/>
        <v>220.81</v>
      </c>
      <c r="K402" s="78">
        <f t="shared" si="18"/>
        <v>18.79</v>
      </c>
      <c r="L402" s="78">
        <f t="shared" si="19"/>
        <v>202.02</v>
      </c>
      <c r="M402" s="78">
        <f t="shared" si="20"/>
        <v>6060.6800000001713</v>
      </c>
      <c r="N402" s="78">
        <v>0</v>
      </c>
      <c r="O402" s="78">
        <f t="shared" si="21"/>
        <v>220.81</v>
      </c>
    </row>
    <row r="403" spans="1:15" ht="15" customHeight="1">
      <c r="A403" s="7">
        <v>367</v>
      </c>
      <c r="B403" s="70">
        <f t="shared" si="12"/>
        <v>345.51</v>
      </c>
      <c r="C403" s="70">
        <f t="shared" si="13"/>
        <v>29.69</v>
      </c>
      <c r="D403" s="70">
        <f t="shared" si="14"/>
        <v>315.82</v>
      </c>
      <c r="E403" s="70">
        <f t="shared" si="15"/>
        <v>9582.0999999999549</v>
      </c>
      <c r="F403" s="78">
        <v>0</v>
      </c>
      <c r="G403" s="78">
        <f t="shared" si="16"/>
        <v>345.51</v>
      </c>
      <c r="I403" s="80">
        <v>367</v>
      </c>
      <c r="J403" s="78">
        <f t="shared" si="17"/>
        <v>220.20000000000002</v>
      </c>
      <c r="K403" s="78">
        <f t="shared" si="18"/>
        <v>18.18</v>
      </c>
      <c r="L403" s="78">
        <f t="shared" si="19"/>
        <v>202.02</v>
      </c>
      <c r="M403" s="78">
        <f t="shared" si="20"/>
        <v>5858.6600000001708</v>
      </c>
      <c r="N403" s="78">
        <v>0</v>
      </c>
      <c r="O403" s="78">
        <f t="shared" si="21"/>
        <v>220.20000000000002</v>
      </c>
    </row>
    <row r="404" spans="1:15" ht="15" customHeight="1">
      <c r="A404" s="7">
        <v>368</v>
      </c>
      <c r="B404" s="70">
        <f t="shared" si="12"/>
        <v>345.51</v>
      </c>
      <c r="C404" s="70">
        <f t="shared" si="13"/>
        <v>28.75</v>
      </c>
      <c r="D404" s="70">
        <f t="shared" si="14"/>
        <v>316.76</v>
      </c>
      <c r="E404" s="70">
        <f t="shared" si="15"/>
        <v>9265.3399999999547</v>
      </c>
      <c r="F404" s="78">
        <v>0</v>
      </c>
      <c r="G404" s="78">
        <f t="shared" si="16"/>
        <v>345.51</v>
      </c>
      <c r="I404" s="80">
        <v>368</v>
      </c>
      <c r="J404" s="78">
        <f t="shared" si="17"/>
        <v>219.60000000000002</v>
      </c>
      <c r="K404" s="78">
        <f t="shared" si="18"/>
        <v>17.579999999999998</v>
      </c>
      <c r="L404" s="78">
        <f t="shared" si="19"/>
        <v>202.02</v>
      </c>
      <c r="M404" s="78">
        <f t="shared" si="20"/>
        <v>5656.6400000001704</v>
      </c>
      <c r="N404" s="78">
        <v>0</v>
      </c>
      <c r="O404" s="78">
        <f t="shared" si="21"/>
        <v>219.60000000000002</v>
      </c>
    </row>
    <row r="405" spans="1:15" ht="15" customHeight="1">
      <c r="A405" s="7">
        <v>369</v>
      </c>
      <c r="B405" s="70">
        <f t="shared" si="12"/>
        <v>345.51</v>
      </c>
      <c r="C405" s="70">
        <f t="shared" si="13"/>
        <v>27.8</v>
      </c>
      <c r="D405" s="70">
        <f t="shared" si="14"/>
        <v>317.70999999999998</v>
      </c>
      <c r="E405" s="70">
        <f t="shared" si="15"/>
        <v>8947.6299999999555</v>
      </c>
      <c r="F405" s="78">
        <v>0</v>
      </c>
      <c r="G405" s="78">
        <f t="shared" si="16"/>
        <v>345.51</v>
      </c>
      <c r="I405" s="80">
        <v>369</v>
      </c>
      <c r="J405" s="78">
        <f t="shared" si="17"/>
        <v>218.99</v>
      </c>
      <c r="K405" s="78">
        <f t="shared" si="18"/>
        <v>16.97</v>
      </c>
      <c r="L405" s="78">
        <f t="shared" si="19"/>
        <v>202.02</v>
      </c>
      <c r="M405" s="78">
        <f t="shared" si="20"/>
        <v>5454.62000000017</v>
      </c>
      <c r="N405" s="78">
        <v>0</v>
      </c>
      <c r="O405" s="78">
        <f t="shared" si="21"/>
        <v>218.99</v>
      </c>
    </row>
    <row r="406" spans="1:15" ht="15" customHeight="1">
      <c r="A406" s="7">
        <v>370</v>
      </c>
      <c r="B406" s="70">
        <f t="shared" si="12"/>
        <v>345.51</v>
      </c>
      <c r="C406" s="70">
        <f t="shared" si="13"/>
        <v>26.84</v>
      </c>
      <c r="D406" s="70">
        <f t="shared" si="14"/>
        <v>318.67</v>
      </c>
      <c r="E406" s="70">
        <f t="shared" si="15"/>
        <v>8628.9599999999555</v>
      </c>
      <c r="F406" s="78">
        <v>0</v>
      </c>
      <c r="G406" s="78">
        <f t="shared" si="16"/>
        <v>345.51</v>
      </c>
      <c r="I406" s="80">
        <v>370</v>
      </c>
      <c r="J406" s="78">
        <f t="shared" si="17"/>
        <v>218.38</v>
      </c>
      <c r="K406" s="78">
        <f t="shared" si="18"/>
        <v>16.36</v>
      </c>
      <c r="L406" s="78">
        <f t="shared" si="19"/>
        <v>202.02</v>
      </c>
      <c r="M406" s="78">
        <f t="shared" si="20"/>
        <v>5252.6000000001695</v>
      </c>
      <c r="N406" s="78">
        <v>0</v>
      </c>
      <c r="O406" s="78">
        <f t="shared" si="21"/>
        <v>218.38</v>
      </c>
    </row>
    <row r="407" spans="1:15" ht="15" customHeight="1">
      <c r="A407" s="7">
        <v>371</v>
      </c>
      <c r="B407" s="70">
        <f t="shared" si="12"/>
        <v>345.51</v>
      </c>
      <c r="C407" s="70">
        <f t="shared" si="13"/>
        <v>25.89</v>
      </c>
      <c r="D407" s="70">
        <f t="shared" si="14"/>
        <v>319.62</v>
      </c>
      <c r="E407" s="70">
        <f t="shared" si="15"/>
        <v>8309.3399999999547</v>
      </c>
      <c r="F407" s="78">
        <v>0</v>
      </c>
      <c r="G407" s="78">
        <f t="shared" si="16"/>
        <v>345.51</v>
      </c>
      <c r="I407" s="80">
        <v>371</v>
      </c>
      <c r="J407" s="78">
        <f t="shared" si="17"/>
        <v>217.78</v>
      </c>
      <c r="K407" s="78">
        <f t="shared" si="18"/>
        <v>15.76</v>
      </c>
      <c r="L407" s="78">
        <f t="shared" si="19"/>
        <v>202.02</v>
      </c>
      <c r="M407" s="78">
        <f t="shared" si="20"/>
        <v>5050.5800000001691</v>
      </c>
      <c r="N407" s="78">
        <v>0</v>
      </c>
      <c r="O407" s="78">
        <f t="shared" si="21"/>
        <v>217.78</v>
      </c>
    </row>
    <row r="408" spans="1:15" ht="15" customHeight="1">
      <c r="A408" s="7">
        <v>372</v>
      </c>
      <c r="B408" s="70">
        <f t="shared" si="12"/>
        <v>345.51</v>
      </c>
      <c r="C408" s="70">
        <f t="shared" si="13"/>
        <v>24.93</v>
      </c>
      <c r="D408" s="70">
        <f t="shared" si="14"/>
        <v>320.58</v>
      </c>
      <c r="E408" s="70">
        <f t="shared" si="15"/>
        <v>7988.7599999999547</v>
      </c>
      <c r="F408" s="78">
        <v>0</v>
      </c>
      <c r="G408" s="78">
        <f t="shared" si="16"/>
        <v>345.51</v>
      </c>
      <c r="I408" s="80">
        <v>372</v>
      </c>
      <c r="J408" s="78">
        <f t="shared" si="17"/>
        <v>217.17000000000002</v>
      </c>
      <c r="K408" s="78">
        <f t="shared" si="18"/>
        <v>15.15</v>
      </c>
      <c r="L408" s="78">
        <f t="shared" si="19"/>
        <v>202.02</v>
      </c>
      <c r="M408" s="78">
        <f t="shared" si="20"/>
        <v>4848.5600000001687</v>
      </c>
      <c r="N408" s="78">
        <v>0</v>
      </c>
      <c r="O408" s="78">
        <f t="shared" si="21"/>
        <v>217.17000000000002</v>
      </c>
    </row>
    <row r="409" spans="1:15" ht="15" customHeight="1">
      <c r="A409" s="7">
        <v>373</v>
      </c>
      <c r="B409" s="70">
        <f t="shared" si="12"/>
        <v>345.51</v>
      </c>
      <c r="C409" s="70">
        <f t="shared" si="13"/>
        <v>23.97</v>
      </c>
      <c r="D409" s="70">
        <f t="shared" si="14"/>
        <v>321.53999999999996</v>
      </c>
      <c r="E409" s="70">
        <f t="shared" si="15"/>
        <v>7667.2199999999548</v>
      </c>
      <c r="F409" s="78">
        <v>0</v>
      </c>
      <c r="G409" s="78">
        <f t="shared" si="16"/>
        <v>345.51</v>
      </c>
      <c r="I409" s="80">
        <v>373</v>
      </c>
      <c r="J409" s="78">
        <f t="shared" si="17"/>
        <v>216.57000000000002</v>
      </c>
      <c r="K409" s="78">
        <f t="shared" si="18"/>
        <v>14.55</v>
      </c>
      <c r="L409" s="78">
        <f t="shared" si="19"/>
        <v>202.02</v>
      </c>
      <c r="M409" s="78">
        <f t="shared" si="20"/>
        <v>4646.5400000001682</v>
      </c>
      <c r="N409" s="78">
        <v>0</v>
      </c>
      <c r="O409" s="78">
        <f t="shared" si="21"/>
        <v>216.57000000000002</v>
      </c>
    </row>
    <row r="410" spans="1:15" ht="15" customHeight="1">
      <c r="A410" s="7">
        <v>374</v>
      </c>
      <c r="B410" s="70">
        <f t="shared" si="12"/>
        <v>345.51</v>
      </c>
      <c r="C410" s="70">
        <f t="shared" si="13"/>
        <v>23</v>
      </c>
      <c r="D410" s="70">
        <f t="shared" si="14"/>
        <v>322.51</v>
      </c>
      <c r="E410" s="70">
        <f t="shared" si="15"/>
        <v>7344.7099999999546</v>
      </c>
      <c r="F410" s="78">
        <v>0</v>
      </c>
      <c r="G410" s="78">
        <f t="shared" si="16"/>
        <v>345.51</v>
      </c>
      <c r="I410" s="80">
        <v>374</v>
      </c>
      <c r="J410" s="78">
        <f t="shared" si="17"/>
        <v>215.96</v>
      </c>
      <c r="K410" s="78">
        <f t="shared" si="18"/>
        <v>13.94</v>
      </c>
      <c r="L410" s="78">
        <f t="shared" si="19"/>
        <v>202.02</v>
      </c>
      <c r="M410" s="78">
        <f t="shared" si="20"/>
        <v>4444.5200000001678</v>
      </c>
      <c r="N410" s="78">
        <v>0</v>
      </c>
      <c r="O410" s="78">
        <f t="shared" si="21"/>
        <v>215.96</v>
      </c>
    </row>
    <row r="411" spans="1:15" ht="15" customHeight="1">
      <c r="A411" s="7">
        <v>375</v>
      </c>
      <c r="B411" s="70">
        <f t="shared" si="12"/>
        <v>345.51</v>
      </c>
      <c r="C411" s="70">
        <f t="shared" si="13"/>
        <v>22.03</v>
      </c>
      <c r="D411" s="70">
        <f t="shared" si="14"/>
        <v>323.48</v>
      </c>
      <c r="E411" s="70">
        <f t="shared" si="15"/>
        <v>7021.2299999999541</v>
      </c>
      <c r="F411" s="78">
        <v>0</v>
      </c>
      <c r="G411" s="78">
        <f t="shared" si="16"/>
        <v>345.51</v>
      </c>
      <c r="I411" s="80">
        <v>375</v>
      </c>
      <c r="J411" s="78">
        <f t="shared" si="17"/>
        <v>215.35000000000002</v>
      </c>
      <c r="K411" s="78">
        <f t="shared" si="18"/>
        <v>13.33</v>
      </c>
      <c r="L411" s="78">
        <f t="shared" si="19"/>
        <v>202.02</v>
      </c>
      <c r="M411" s="78">
        <f t="shared" si="20"/>
        <v>4242.5000000001673</v>
      </c>
      <c r="N411" s="78">
        <v>0</v>
      </c>
      <c r="O411" s="78">
        <f t="shared" si="21"/>
        <v>215.35000000000002</v>
      </c>
    </row>
    <row r="412" spans="1:15" ht="15" customHeight="1">
      <c r="A412" s="7">
        <v>376</v>
      </c>
      <c r="B412" s="70">
        <f t="shared" si="12"/>
        <v>345.51</v>
      </c>
      <c r="C412" s="70">
        <f t="shared" si="13"/>
        <v>21.06</v>
      </c>
      <c r="D412" s="70">
        <f t="shared" si="14"/>
        <v>324.45</v>
      </c>
      <c r="E412" s="70">
        <f t="shared" si="15"/>
        <v>6696.7799999999543</v>
      </c>
      <c r="F412" s="78">
        <v>0</v>
      </c>
      <c r="G412" s="78">
        <f t="shared" si="16"/>
        <v>345.51</v>
      </c>
      <c r="I412" s="80">
        <v>376</v>
      </c>
      <c r="J412" s="78">
        <f t="shared" si="17"/>
        <v>214.75</v>
      </c>
      <c r="K412" s="78">
        <f t="shared" si="18"/>
        <v>12.73</v>
      </c>
      <c r="L412" s="78">
        <f t="shared" si="19"/>
        <v>202.02</v>
      </c>
      <c r="M412" s="78">
        <f t="shared" si="20"/>
        <v>4040.4800000001674</v>
      </c>
      <c r="N412" s="78">
        <v>0</v>
      </c>
      <c r="O412" s="78">
        <f t="shared" si="21"/>
        <v>214.75</v>
      </c>
    </row>
    <row r="413" spans="1:15" ht="15" customHeight="1">
      <c r="A413" s="7">
        <v>377</v>
      </c>
      <c r="B413" s="70">
        <f t="shared" si="12"/>
        <v>345.51</v>
      </c>
      <c r="C413" s="70">
        <f t="shared" si="13"/>
        <v>20.09</v>
      </c>
      <c r="D413" s="70">
        <f t="shared" si="14"/>
        <v>325.42</v>
      </c>
      <c r="E413" s="70">
        <f t="shared" si="15"/>
        <v>6371.3599999999542</v>
      </c>
      <c r="F413" s="78">
        <v>0</v>
      </c>
      <c r="G413" s="78">
        <f t="shared" si="16"/>
        <v>345.51</v>
      </c>
      <c r="I413" s="80">
        <v>377</v>
      </c>
      <c r="J413" s="78">
        <f t="shared" si="17"/>
        <v>214.14000000000001</v>
      </c>
      <c r="K413" s="78">
        <f t="shared" si="18"/>
        <v>12.12</v>
      </c>
      <c r="L413" s="78">
        <f t="shared" si="19"/>
        <v>202.02</v>
      </c>
      <c r="M413" s="78">
        <f t="shared" si="20"/>
        <v>3838.4600000001674</v>
      </c>
      <c r="N413" s="78">
        <v>0</v>
      </c>
      <c r="O413" s="78">
        <f t="shared" si="21"/>
        <v>214.14000000000001</v>
      </c>
    </row>
    <row r="414" spans="1:15" ht="15" customHeight="1">
      <c r="A414" s="7">
        <v>378</v>
      </c>
      <c r="B414" s="70">
        <f t="shared" si="12"/>
        <v>345.51</v>
      </c>
      <c r="C414" s="70">
        <f t="shared" si="13"/>
        <v>19.11</v>
      </c>
      <c r="D414" s="70">
        <f t="shared" si="14"/>
        <v>326.39999999999998</v>
      </c>
      <c r="E414" s="70">
        <f t="shared" si="15"/>
        <v>6044.9599999999546</v>
      </c>
      <c r="F414" s="78">
        <v>0</v>
      </c>
      <c r="G414" s="78">
        <f t="shared" si="16"/>
        <v>345.51</v>
      </c>
      <c r="I414" s="80">
        <v>378</v>
      </c>
      <c r="J414" s="78">
        <f t="shared" si="17"/>
        <v>213.54000000000002</v>
      </c>
      <c r="K414" s="78">
        <f t="shared" si="18"/>
        <v>11.52</v>
      </c>
      <c r="L414" s="78">
        <f t="shared" si="19"/>
        <v>202.02</v>
      </c>
      <c r="M414" s="78">
        <f t="shared" si="20"/>
        <v>3636.4400000001674</v>
      </c>
      <c r="N414" s="78">
        <v>0</v>
      </c>
      <c r="O414" s="78">
        <f t="shared" si="21"/>
        <v>213.54000000000002</v>
      </c>
    </row>
    <row r="415" spans="1:15" ht="15" customHeight="1">
      <c r="A415" s="7">
        <v>379</v>
      </c>
      <c r="B415" s="70">
        <f t="shared" si="12"/>
        <v>345.51</v>
      </c>
      <c r="C415" s="70">
        <f t="shared" si="13"/>
        <v>18.13</v>
      </c>
      <c r="D415" s="70">
        <f t="shared" si="14"/>
        <v>327.38</v>
      </c>
      <c r="E415" s="70">
        <f t="shared" si="15"/>
        <v>5717.5799999999545</v>
      </c>
      <c r="F415" s="78">
        <v>0</v>
      </c>
      <c r="G415" s="78">
        <f t="shared" si="16"/>
        <v>345.51</v>
      </c>
      <c r="I415" s="80">
        <v>379</v>
      </c>
      <c r="J415" s="78">
        <f t="shared" si="17"/>
        <v>212.93</v>
      </c>
      <c r="K415" s="78">
        <f t="shared" si="18"/>
        <v>10.91</v>
      </c>
      <c r="L415" s="78">
        <f t="shared" si="19"/>
        <v>202.02</v>
      </c>
      <c r="M415" s="78">
        <f t="shared" si="20"/>
        <v>3434.4200000001674</v>
      </c>
      <c r="N415" s="78">
        <v>0</v>
      </c>
      <c r="O415" s="78">
        <f t="shared" si="21"/>
        <v>212.93</v>
      </c>
    </row>
    <row r="416" spans="1:15" ht="15" customHeight="1">
      <c r="A416" s="7">
        <v>380</v>
      </c>
      <c r="B416" s="70">
        <f t="shared" si="12"/>
        <v>345.51</v>
      </c>
      <c r="C416" s="70">
        <f t="shared" si="13"/>
        <v>17.149999999999999</v>
      </c>
      <c r="D416" s="70">
        <f t="shared" si="14"/>
        <v>328.36</v>
      </c>
      <c r="E416" s="70">
        <f t="shared" si="15"/>
        <v>5389.2199999999548</v>
      </c>
      <c r="F416" s="78">
        <v>0</v>
      </c>
      <c r="G416" s="78">
        <f t="shared" si="16"/>
        <v>345.51</v>
      </c>
      <c r="I416" s="80">
        <v>380</v>
      </c>
      <c r="J416" s="78">
        <f t="shared" si="17"/>
        <v>212.32000000000002</v>
      </c>
      <c r="K416" s="78">
        <f t="shared" si="18"/>
        <v>10.3</v>
      </c>
      <c r="L416" s="78">
        <f t="shared" si="19"/>
        <v>202.02</v>
      </c>
      <c r="M416" s="78">
        <f t="shared" si="20"/>
        <v>3232.4000000001674</v>
      </c>
      <c r="N416" s="78">
        <v>0</v>
      </c>
      <c r="O416" s="78">
        <f t="shared" si="21"/>
        <v>212.32000000000002</v>
      </c>
    </row>
    <row r="417" spans="1:15" ht="15" customHeight="1">
      <c r="A417" s="7">
        <v>381</v>
      </c>
      <c r="B417" s="70">
        <f t="shared" si="12"/>
        <v>345.51</v>
      </c>
      <c r="C417" s="70">
        <f t="shared" si="13"/>
        <v>16.170000000000002</v>
      </c>
      <c r="D417" s="70">
        <f t="shared" si="14"/>
        <v>329.34</v>
      </c>
      <c r="E417" s="70">
        <f t="shared" si="15"/>
        <v>5059.8799999999546</v>
      </c>
      <c r="F417" s="78">
        <v>0</v>
      </c>
      <c r="G417" s="78">
        <f t="shared" si="16"/>
        <v>345.51</v>
      </c>
      <c r="I417" s="80">
        <v>381</v>
      </c>
      <c r="J417" s="78">
        <f t="shared" si="17"/>
        <v>211.72</v>
      </c>
      <c r="K417" s="78">
        <f t="shared" si="18"/>
        <v>9.6999999999999993</v>
      </c>
      <c r="L417" s="78">
        <f t="shared" si="19"/>
        <v>202.02</v>
      </c>
      <c r="M417" s="78">
        <f t="shared" si="20"/>
        <v>3030.3800000001675</v>
      </c>
      <c r="N417" s="78">
        <v>0</v>
      </c>
      <c r="O417" s="78">
        <f t="shared" si="21"/>
        <v>211.72</v>
      </c>
    </row>
    <row r="418" spans="1:15" ht="15" customHeight="1">
      <c r="A418" s="7">
        <v>382</v>
      </c>
      <c r="B418" s="70">
        <f t="shared" si="12"/>
        <v>345.51</v>
      </c>
      <c r="C418" s="70">
        <f t="shared" si="13"/>
        <v>15.18</v>
      </c>
      <c r="D418" s="70">
        <f t="shared" si="14"/>
        <v>330.33</v>
      </c>
      <c r="E418" s="70">
        <f t="shared" si="15"/>
        <v>4729.5499999999547</v>
      </c>
      <c r="F418" s="78">
        <v>0</v>
      </c>
      <c r="G418" s="78">
        <f t="shared" si="16"/>
        <v>345.51</v>
      </c>
      <c r="I418" s="80">
        <v>382</v>
      </c>
      <c r="J418" s="78">
        <f t="shared" si="17"/>
        <v>211.11</v>
      </c>
      <c r="K418" s="78">
        <f t="shared" si="18"/>
        <v>9.09</v>
      </c>
      <c r="L418" s="78">
        <f t="shared" si="19"/>
        <v>202.02</v>
      </c>
      <c r="M418" s="78">
        <f t="shared" si="20"/>
        <v>2828.3600000001675</v>
      </c>
      <c r="N418" s="78">
        <v>0</v>
      </c>
      <c r="O418" s="78">
        <f t="shared" si="21"/>
        <v>211.11</v>
      </c>
    </row>
    <row r="419" spans="1:15" ht="15" customHeight="1">
      <c r="A419" s="7">
        <v>383</v>
      </c>
      <c r="B419" s="70">
        <f t="shared" si="12"/>
        <v>345.51</v>
      </c>
      <c r="C419" s="70">
        <f t="shared" si="13"/>
        <v>14.19</v>
      </c>
      <c r="D419" s="70">
        <f t="shared" si="14"/>
        <v>331.32</v>
      </c>
      <c r="E419" s="70">
        <f t="shared" si="15"/>
        <v>4398.229999999955</v>
      </c>
      <c r="F419" s="78">
        <v>0</v>
      </c>
      <c r="G419" s="78">
        <f t="shared" si="16"/>
        <v>345.51</v>
      </c>
      <c r="I419" s="80">
        <v>383</v>
      </c>
      <c r="J419" s="78">
        <f t="shared" si="17"/>
        <v>210.51000000000002</v>
      </c>
      <c r="K419" s="78">
        <f t="shared" si="18"/>
        <v>8.49</v>
      </c>
      <c r="L419" s="78">
        <f t="shared" si="19"/>
        <v>202.02</v>
      </c>
      <c r="M419" s="81">
        <f t="shared" si="20"/>
        <v>2626.3400000001675</v>
      </c>
      <c r="N419" s="78">
        <v>0</v>
      </c>
      <c r="O419" s="78">
        <f t="shared" si="21"/>
        <v>210.51000000000002</v>
      </c>
    </row>
    <row r="420" spans="1:15" ht="15" customHeight="1">
      <c r="A420" s="7">
        <v>384</v>
      </c>
      <c r="B420" s="70">
        <f t="shared" si="12"/>
        <v>345.51</v>
      </c>
      <c r="C420" s="70">
        <f t="shared" si="13"/>
        <v>13.19</v>
      </c>
      <c r="D420" s="70">
        <f t="shared" si="14"/>
        <v>332.32</v>
      </c>
      <c r="E420" s="70">
        <f t="shared" si="15"/>
        <v>4065.9099999999548</v>
      </c>
      <c r="F420" s="78">
        <v>0</v>
      </c>
      <c r="G420" s="78">
        <f t="shared" si="16"/>
        <v>345.51</v>
      </c>
      <c r="I420" s="80">
        <v>384</v>
      </c>
      <c r="J420" s="78">
        <f t="shared" si="17"/>
        <v>209.9</v>
      </c>
      <c r="K420" s="78">
        <f t="shared" si="18"/>
        <v>7.88</v>
      </c>
      <c r="L420" s="82">
        <f t="shared" si="19"/>
        <v>202.02</v>
      </c>
      <c r="M420" s="78">
        <f t="shared" si="20"/>
        <v>2424.3200000001675</v>
      </c>
      <c r="N420" s="78">
        <v>0</v>
      </c>
      <c r="O420" s="78">
        <f t="shared" si="21"/>
        <v>209.9</v>
      </c>
    </row>
    <row r="421" spans="1:15" ht="15" customHeight="1">
      <c r="A421" s="7">
        <v>385</v>
      </c>
      <c r="B421" s="70">
        <f t="shared" si="12"/>
        <v>345.51</v>
      </c>
      <c r="C421" s="70">
        <f t="shared" si="13"/>
        <v>12.2</v>
      </c>
      <c r="D421" s="70">
        <f t="shared" si="14"/>
        <v>333.31</v>
      </c>
      <c r="E421" s="70">
        <f t="shared" si="15"/>
        <v>3732.5999999999549</v>
      </c>
      <c r="F421" s="78">
        <v>0</v>
      </c>
      <c r="G421" s="78">
        <f t="shared" si="16"/>
        <v>345.51</v>
      </c>
      <c r="I421" s="80">
        <v>384</v>
      </c>
      <c r="J421" s="78">
        <f t="shared" si="17"/>
        <v>209.29000000000002</v>
      </c>
      <c r="K421" s="78">
        <f t="shared" si="18"/>
        <v>7.27</v>
      </c>
      <c r="L421" s="82">
        <f t="shared" si="19"/>
        <v>202.02</v>
      </c>
      <c r="M421" s="78">
        <f t="shared" si="20"/>
        <v>2222.3000000001675</v>
      </c>
      <c r="N421" s="78">
        <v>0</v>
      </c>
      <c r="O421" s="78">
        <f t="shared" si="21"/>
        <v>209.29000000000002</v>
      </c>
    </row>
    <row r="422" spans="1:15" ht="15" customHeight="1">
      <c r="A422" s="7">
        <v>386</v>
      </c>
      <c r="B422" s="70">
        <f t="shared" si="12"/>
        <v>345.51</v>
      </c>
      <c r="C422" s="70">
        <f t="shared" si="13"/>
        <v>11.2</v>
      </c>
      <c r="D422" s="70">
        <f t="shared" si="14"/>
        <v>334.31</v>
      </c>
      <c r="E422" s="70">
        <f t="shared" si="15"/>
        <v>3398.2899999999549</v>
      </c>
      <c r="F422" s="78">
        <v>0</v>
      </c>
      <c r="G422" s="78">
        <f t="shared" si="16"/>
        <v>345.51</v>
      </c>
      <c r="I422" s="80">
        <v>384</v>
      </c>
      <c r="J422" s="78">
        <f t="shared" si="17"/>
        <v>208.69</v>
      </c>
      <c r="K422" s="78">
        <f t="shared" si="18"/>
        <v>6.67</v>
      </c>
      <c r="L422" s="82">
        <f t="shared" si="19"/>
        <v>202.02</v>
      </c>
      <c r="M422" s="78">
        <f t="shared" si="20"/>
        <v>2020.2800000001675</v>
      </c>
      <c r="N422" s="78">
        <v>0</v>
      </c>
      <c r="O422" s="78">
        <f t="shared" si="21"/>
        <v>208.69</v>
      </c>
    </row>
    <row r="423" spans="1:15" ht="15" customHeight="1">
      <c r="A423" s="7">
        <v>387</v>
      </c>
      <c r="B423" s="70">
        <f t="shared" si="12"/>
        <v>345.51</v>
      </c>
      <c r="C423" s="70">
        <f t="shared" si="13"/>
        <v>10.19</v>
      </c>
      <c r="D423" s="70">
        <f t="shared" si="14"/>
        <v>335.32</v>
      </c>
      <c r="E423" s="70">
        <f t="shared" si="15"/>
        <v>3062.9699999999548</v>
      </c>
      <c r="F423" s="78">
        <v>0</v>
      </c>
      <c r="G423" s="78">
        <f t="shared" si="16"/>
        <v>345.51</v>
      </c>
      <c r="I423" s="80">
        <v>384</v>
      </c>
      <c r="J423" s="78">
        <f t="shared" si="17"/>
        <v>208.08</v>
      </c>
      <c r="K423" s="78">
        <f t="shared" si="18"/>
        <v>6.06</v>
      </c>
      <c r="L423" s="82">
        <f t="shared" si="19"/>
        <v>202.02</v>
      </c>
      <c r="M423" s="78">
        <f t="shared" si="20"/>
        <v>1818.2600000001676</v>
      </c>
      <c r="N423" s="78">
        <v>0</v>
      </c>
      <c r="O423" s="78">
        <f t="shared" si="21"/>
        <v>208.08</v>
      </c>
    </row>
    <row r="424" spans="1:15" ht="15" customHeight="1">
      <c r="A424" s="7">
        <v>388</v>
      </c>
      <c r="B424" s="70">
        <f t="shared" si="12"/>
        <v>345.51</v>
      </c>
      <c r="C424" s="70">
        <f t="shared" si="13"/>
        <v>9.19</v>
      </c>
      <c r="D424" s="70">
        <f t="shared" si="14"/>
        <v>336.32</v>
      </c>
      <c r="E424" s="70">
        <f t="shared" si="15"/>
        <v>2726.6499999999546</v>
      </c>
      <c r="F424" s="78">
        <v>0</v>
      </c>
      <c r="G424" s="78">
        <f t="shared" si="16"/>
        <v>345.51</v>
      </c>
      <c r="I424" s="80">
        <v>384</v>
      </c>
      <c r="J424" s="78">
        <f t="shared" si="17"/>
        <v>207.47</v>
      </c>
      <c r="K424" s="78">
        <f t="shared" si="18"/>
        <v>5.45</v>
      </c>
      <c r="L424" s="82">
        <f t="shared" si="19"/>
        <v>202.02</v>
      </c>
      <c r="M424" s="78">
        <f t="shared" si="20"/>
        <v>1616.2400000001676</v>
      </c>
      <c r="N424" s="78">
        <v>0</v>
      </c>
      <c r="O424" s="78">
        <f t="shared" si="21"/>
        <v>207.47</v>
      </c>
    </row>
    <row r="425" spans="1:15" ht="15" customHeight="1">
      <c r="A425" s="7">
        <v>389</v>
      </c>
      <c r="B425" s="70">
        <f t="shared" si="12"/>
        <v>345.51</v>
      </c>
      <c r="C425" s="70">
        <f t="shared" si="13"/>
        <v>8.18</v>
      </c>
      <c r="D425" s="70">
        <f t="shared" si="14"/>
        <v>337.33</v>
      </c>
      <c r="E425" s="70">
        <f t="shared" si="15"/>
        <v>2389.3199999999547</v>
      </c>
      <c r="F425" s="78">
        <v>0</v>
      </c>
      <c r="G425" s="78">
        <f t="shared" si="16"/>
        <v>345.51</v>
      </c>
      <c r="I425" s="80">
        <v>384</v>
      </c>
      <c r="J425" s="78">
        <f t="shared" si="17"/>
        <v>206.87</v>
      </c>
      <c r="K425" s="78">
        <f t="shared" si="18"/>
        <v>4.8499999999999996</v>
      </c>
      <c r="L425" s="82">
        <f t="shared" si="19"/>
        <v>202.02</v>
      </c>
      <c r="M425" s="78">
        <f t="shared" si="20"/>
        <v>1414.2200000001676</v>
      </c>
      <c r="N425" s="78">
        <v>0</v>
      </c>
      <c r="O425" s="78">
        <f t="shared" si="21"/>
        <v>206.87</v>
      </c>
    </row>
    <row r="426" spans="1:15" ht="15" customHeight="1">
      <c r="A426" s="7">
        <v>390</v>
      </c>
      <c r="B426" s="70">
        <f t="shared" si="12"/>
        <v>345.51</v>
      </c>
      <c r="C426" s="70">
        <f t="shared" si="13"/>
        <v>7.17</v>
      </c>
      <c r="D426" s="70">
        <f t="shared" si="14"/>
        <v>338.34</v>
      </c>
      <c r="E426" s="70">
        <f t="shared" si="15"/>
        <v>2050.9799999999545</v>
      </c>
      <c r="F426" s="78">
        <v>0</v>
      </c>
      <c r="G426" s="78">
        <f t="shared" si="16"/>
        <v>345.51</v>
      </c>
      <c r="I426" s="80">
        <v>384</v>
      </c>
      <c r="J426" s="78">
        <f t="shared" si="17"/>
        <v>206.26000000000002</v>
      </c>
      <c r="K426" s="78">
        <f t="shared" si="18"/>
        <v>4.24</v>
      </c>
      <c r="L426" s="82">
        <f t="shared" si="19"/>
        <v>202.02</v>
      </c>
      <c r="M426" s="78">
        <f t="shared" si="20"/>
        <v>1212.2000000001676</v>
      </c>
      <c r="N426" s="78">
        <v>0</v>
      </c>
      <c r="O426" s="78">
        <f t="shared" si="21"/>
        <v>206.26000000000002</v>
      </c>
    </row>
    <row r="427" spans="1:15" ht="15" customHeight="1">
      <c r="A427" s="7">
        <v>391</v>
      </c>
      <c r="B427" s="70">
        <f t="shared" si="12"/>
        <v>345.51</v>
      </c>
      <c r="C427" s="70">
        <f t="shared" si="13"/>
        <v>6.15</v>
      </c>
      <c r="D427" s="70">
        <f t="shared" si="14"/>
        <v>339.36</v>
      </c>
      <c r="E427" s="70">
        <f t="shared" si="15"/>
        <v>1711.6199999999544</v>
      </c>
      <c r="F427" s="78">
        <v>0</v>
      </c>
      <c r="G427" s="78">
        <f t="shared" si="16"/>
        <v>345.51</v>
      </c>
      <c r="I427" s="80">
        <v>384</v>
      </c>
      <c r="J427" s="78">
        <f t="shared" si="17"/>
        <v>205.66</v>
      </c>
      <c r="K427" s="78">
        <f t="shared" si="18"/>
        <v>3.64</v>
      </c>
      <c r="L427" s="82">
        <f t="shared" si="19"/>
        <v>202.02</v>
      </c>
      <c r="M427" s="78">
        <f t="shared" si="20"/>
        <v>1010.1800000001676</v>
      </c>
      <c r="N427" s="78">
        <v>0</v>
      </c>
      <c r="O427" s="78">
        <f t="shared" si="21"/>
        <v>205.66</v>
      </c>
    </row>
    <row r="428" spans="1:15" ht="15" customHeight="1">
      <c r="A428" s="7">
        <v>392</v>
      </c>
      <c r="B428" s="70">
        <f t="shared" si="12"/>
        <v>345.51</v>
      </c>
      <c r="C428" s="70">
        <f t="shared" si="13"/>
        <v>5.13</v>
      </c>
      <c r="D428" s="70">
        <f t="shared" si="14"/>
        <v>340.38</v>
      </c>
      <c r="E428" s="70">
        <f t="shared" si="15"/>
        <v>1371.2399999999543</v>
      </c>
      <c r="F428" s="78">
        <v>0</v>
      </c>
      <c r="G428" s="78">
        <f t="shared" si="16"/>
        <v>345.51</v>
      </c>
      <c r="I428" s="80">
        <v>384</v>
      </c>
      <c r="J428" s="78">
        <f t="shared" si="17"/>
        <v>205.05</v>
      </c>
      <c r="K428" s="78">
        <f t="shared" si="18"/>
        <v>3.03</v>
      </c>
      <c r="L428" s="82">
        <f t="shared" si="19"/>
        <v>202.02</v>
      </c>
      <c r="M428" s="78">
        <f t="shared" si="20"/>
        <v>808.16000000016766</v>
      </c>
      <c r="N428" s="78">
        <v>0</v>
      </c>
      <c r="O428" s="78">
        <f t="shared" si="21"/>
        <v>205.05</v>
      </c>
    </row>
    <row r="429" spans="1:15" ht="15" customHeight="1">
      <c r="A429" s="7">
        <v>393</v>
      </c>
      <c r="B429" s="70">
        <f t="shared" si="12"/>
        <v>345.51</v>
      </c>
      <c r="C429" s="70">
        <f t="shared" si="13"/>
        <v>4.1100000000000003</v>
      </c>
      <c r="D429" s="70">
        <f t="shared" si="14"/>
        <v>341.4</v>
      </c>
      <c r="E429" s="70">
        <f t="shared" si="15"/>
        <v>1029.8399999999542</v>
      </c>
      <c r="F429" s="78">
        <v>0</v>
      </c>
      <c r="G429" s="78">
        <f t="shared" si="16"/>
        <v>345.51</v>
      </c>
      <c r="I429" s="80">
        <v>384</v>
      </c>
      <c r="J429" s="78">
        <f t="shared" si="17"/>
        <v>204.44</v>
      </c>
      <c r="K429" s="78">
        <f t="shared" si="18"/>
        <v>2.42</v>
      </c>
      <c r="L429" s="82">
        <f t="shared" si="19"/>
        <v>202.02</v>
      </c>
      <c r="M429" s="78">
        <f t="shared" si="20"/>
        <v>606.14000000016767</v>
      </c>
      <c r="N429" s="78">
        <v>0</v>
      </c>
      <c r="O429" s="78">
        <f t="shared" si="21"/>
        <v>204.44</v>
      </c>
    </row>
    <row r="430" spans="1:15" ht="15" customHeight="1">
      <c r="A430" s="7">
        <v>394</v>
      </c>
      <c r="B430" s="70">
        <f t="shared" si="12"/>
        <v>345.51</v>
      </c>
      <c r="C430" s="70">
        <f t="shared" si="13"/>
        <v>3.09</v>
      </c>
      <c r="D430" s="70">
        <f t="shared" si="14"/>
        <v>342.42</v>
      </c>
      <c r="E430" s="70">
        <f t="shared" si="15"/>
        <v>687.41999999995414</v>
      </c>
      <c r="F430" s="78">
        <v>0</v>
      </c>
      <c r="G430" s="78">
        <f t="shared" si="16"/>
        <v>345.51</v>
      </c>
      <c r="I430" s="80">
        <v>384</v>
      </c>
      <c r="J430" s="78">
        <f t="shared" si="17"/>
        <v>203.84</v>
      </c>
      <c r="K430" s="78">
        <f t="shared" si="18"/>
        <v>1.82</v>
      </c>
      <c r="L430" s="82">
        <f t="shared" si="19"/>
        <v>202.02</v>
      </c>
      <c r="M430" s="78">
        <f t="shared" si="20"/>
        <v>404.12000000016769</v>
      </c>
      <c r="N430" s="78">
        <v>0</v>
      </c>
      <c r="O430" s="78">
        <f t="shared" si="21"/>
        <v>203.84</v>
      </c>
    </row>
    <row r="431" spans="1:15" ht="15" customHeight="1">
      <c r="A431" s="7">
        <v>395</v>
      </c>
      <c r="B431" s="70">
        <f t="shared" si="12"/>
        <v>345.51</v>
      </c>
      <c r="C431" s="70">
        <f t="shared" si="13"/>
        <v>2.06</v>
      </c>
      <c r="D431" s="70">
        <f t="shared" si="14"/>
        <v>343.45</v>
      </c>
      <c r="E431" s="70">
        <f t="shared" si="15"/>
        <v>343.96999999995415</v>
      </c>
      <c r="F431" s="78">
        <v>0</v>
      </c>
      <c r="G431" s="78">
        <f t="shared" si="16"/>
        <v>345.51</v>
      </c>
      <c r="I431" s="80">
        <v>384</v>
      </c>
      <c r="J431" s="78">
        <f t="shared" si="17"/>
        <v>203.23000000000002</v>
      </c>
      <c r="K431" s="78">
        <f t="shared" si="18"/>
        <v>1.21</v>
      </c>
      <c r="L431" s="82">
        <f t="shared" si="19"/>
        <v>202.02</v>
      </c>
      <c r="M431" s="78">
        <f t="shared" si="20"/>
        <v>202.10000000016768</v>
      </c>
      <c r="N431" s="78">
        <v>0</v>
      </c>
      <c r="O431" s="78">
        <f t="shared" si="21"/>
        <v>203.23000000000002</v>
      </c>
    </row>
    <row r="432" spans="1:15" ht="15" customHeight="1">
      <c r="A432" s="7">
        <v>396</v>
      </c>
      <c r="B432" s="70">
        <f t="shared" si="12"/>
        <v>345.51</v>
      </c>
      <c r="C432" s="70">
        <f t="shared" si="13"/>
        <v>1.03</v>
      </c>
      <c r="D432" s="70">
        <f t="shared" si="14"/>
        <v>344.48</v>
      </c>
      <c r="E432" s="70">
        <f t="shared" si="15"/>
        <v>-0.51000000004586354</v>
      </c>
      <c r="F432" s="78">
        <v>0</v>
      </c>
      <c r="G432" s="78">
        <f t="shared" si="16"/>
        <v>345.51</v>
      </c>
      <c r="I432" s="80">
        <v>384</v>
      </c>
      <c r="J432" s="78">
        <f t="shared" si="17"/>
        <v>202.63000000000002</v>
      </c>
      <c r="K432" s="78">
        <f t="shared" si="18"/>
        <v>0.61</v>
      </c>
      <c r="L432" s="82">
        <f t="shared" si="19"/>
        <v>202.02</v>
      </c>
      <c r="M432" s="78">
        <f t="shared" si="20"/>
        <v>8.0000000167672169E-2</v>
      </c>
      <c r="N432" s="78">
        <v>0</v>
      </c>
      <c r="O432" s="78">
        <f t="shared" si="21"/>
        <v>202.63000000000002</v>
      </c>
    </row>
    <row r="433" spans="2:15" ht="15" customHeight="1">
      <c r="B433" s="62">
        <f t="shared" ref="B433:D433" si="22">SUM(B35:B432)</f>
        <v>136821.95999999929</v>
      </c>
      <c r="C433" s="62">
        <f t="shared" si="22"/>
        <v>56821.449999999961</v>
      </c>
      <c r="D433" s="62">
        <f t="shared" si="22"/>
        <v>80000.509999999937</v>
      </c>
      <c r="E433" s="83"/>
      <c r="F433" s="62">
        <f t="shared" ref="F433:G433" si="23">SUM(F35:F432)</f>
        <v>6218.9999999999955</v>
      </c>
      <c r="G433" s="62">
        <f t="shared" si="23"/>
        <v>130602.95999999915</v>
      </c>
      <c r="J433" s="62">
        <f t="shared" ref="J433:L433" si="24">SUM(J35:J432)</f>
        <v>127639.97000000012</v>
      </c>
      <c r="K433" s="62">
        <f t="shared" si="24"/>
        <v>47640.049999999967</v>
      </c>
      <c r="L433" s="62">
        <f t="shared" si="24"/>
        <v>79999.919999999838</v>
      </c>
      <c r="M433" s="62"/>
      <c r="N433" s="62">
        <f t="shared" ref="N433:O433" si="25">SUM(N35:N432)</f>
        <v>7634.5599999999995</v>
      </c>
      <c r="O433" s="62">
        <f t="shared" si="25"/>
        <v>120005.41000000009</v>
      </c>
    </row>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1">
    <mergeCell ref="A1:K6"/>
  </mergeCells>
  <pageMargins left="0.7" right="0.7" top="0.75" bottom="0.75" header="0" footer="0"/>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E1000"/>
  <sheetViews>
    <sheetView workbookViewId="0">
      <selection activeCell="C5" sqref="C5"/>
    </sheetView>
  </sheetViews>
  <sheetFormatPr defaultColWidth="14.453125" defaultRowHeight="15" customHeight="1"/>
  <cols>
    <col min="1" max="1" width="7.453125" customWidth="1"/>
    <col min="2" max="2" width="12.36328125" customWidth="1"/>
    <col min="3" max="26" width="8.6328125" customWidth="1"/>
  </cols>
  <sheetData>
    <row r="1" spans="1:5" ht="15" customHeight="1">
      <c r="A1" s="84" t="s">
        <v>267</v>
      </c>
    </row>
    <row r="2" spans="1:5" ht="15" customHeight="1">
      <c r="A2" s="84" t="s">
        <v>150</v>
      </c>
    </row>
    <row r="3" spans="1:5" ht="15" customHeight="1">
      <c r="A3" s="84" t="s">
        <v>247</v>
      </c>
    </row>
    <row r="4" spans="1:5" ht="15" customHeight="1">
      <c r="A4" s="84" t="s">
        <v>151</v>
      </c>
    </row>
    <row r="5" spans="1:5" ht="15" customHeight="1">
      <c r="A5" s="84" t="s">
        <v>152</v>
      </c>
    </row>
    <row r="6" spans="1:5" ht="15" customHeight="1">
      <c r="A6" s="84" t="s">
        <v>248</v>
      </c>
    </row>
    <row r="11" spans="1:5" ht="15" customHeight="1">
      <c r="A11" s="85" t="s">
        <v>153</v>
      </c>
      <c r="B11" s="85" t="s">
        <v>154</v>
      </c>
    </row>
    <row r="12" spans="1:5" ht="15" customHeight="1">
      <c r="A12" s="7">
        <v>2002</v>
      </c>
      <c r="B12" s="7">
        <v>22380</v>
      </c>
    </row>
    <row r="13" spans="1:5" ht="15" customHeight="1">
      <c r="A13" s="7">
        <v>2003</v>
      </c>
      <c r="B13" s="86">
        <f t="shared" ref="B13:B31" si="0">B12-270</f>
        <v>22110</v>
      </c>
      <c r="D13" s="3" t="s">
        <v>155</v>
      </c>
      <c r="E13" s="25">
        <v>2011</v>
      </c>
    </row>
    <row r="14" spans="1:5" ht="15" customHeight="1">
      <c r="A14" s="7">
        <v>2004</v>
      </c>
      <c r="B14" s="86">
        <f t="shared" si="0"/>
        <v>21840</v>
      </c>
    </row>
    <row r="15" spans="1:5" ht="15" customHeight="1">
      <c r="A15" s="7">
        <v>2005</v>
      </c>
      <c r="B15" s="86">
        <f t="shared" si="0"/>
        <v>21570</v>
      </c>
    </row>
    <row r="16" spans="1:5" ht="15" customHeight="1">
      <c r="A16" s="7">
        <v>2006</v>
      </c>
      <c r="B16" s="86">
        <f t="shared" si="0"/>
        <v>21300</v>
      </c>
      <c r="D16" s="3" t="s">
        <v>156</v>
      </c>
    </row>
    <row r="17" spans="1:2" ht="15" customHeight="1">
      <c r="A17" s="7">
        <v>2007</v>
      </c>
      <c r="B17" s="86">
        <f t="shared" si="0"/>
        <v>21030</v>
      </c>
    </row>
    <row r="18" spans="1:2" ht="15" customHeight="1">
      <c r="A18" s="7">
        <v>2008</v>
      </c>
      <c r="B18" s="86">
        <f t="shared" si="0"/>
        <v>20760</v>
      </c>
    </row>
    <row r="19" spans="1:2" ht="15" customHeight="1">
      <c r="A19" s="7">
        <v>2009</v>
      </c>
      <c r="B19" s="86">
        <f t="shared" si="0"/>
        <v>20490</v>
      </c>
    </row>
    <row r="20" spans="1:2" ht="15" customHeight="1">
      <c r="A20" s="7">
        <v>2010</v>
      </c>
      <c r="B20" s="86">
        <f t="shared" si="0"/>
        <v>20220</v>
      </c>
    </row>
    <row r="21" spans="1:2" ht="15" customHeight="1">
      <c r="A21" s="7">
        <v>2011</v>
      </c>
      <c r="B21" s="86">
        <f t="shared" si="0"/>
        <v>19950</v>
      </c>
    </row>
    <row r="22" spans="1:2" ht="15" customHeight="1">
      <c r="A22" s="7">
        <v>2012</v>
      </c>
      <c r="B22" s="86">
        <f t="shared" si="0"/>
        <v>19680</v>
      </c>
    </row>
    <row r="23" spans="1:2" ht="15" customHeight="1">
      <c r="A23" s="7">
        <v>2013</v>
      </c>
      <c r="B23" s="86">
        <f t="shared" si="0"/>
        <v>19410</v>
      </c>
    </row>
    <row r="24" spans="1:2" ht="15" customHeight="1">
      <c r="A24" s="7">
        <v>2014</v>
      </c>
      <c r="B24" s="86">
        <f t="shared" si="0"/>
        <v>19140</v>
      </c>
    </row>
    <row r="25" spans="1:2" ht="15" customHeight="1">
      <c r="A25" s="7">
        <v>2015</v>
      </c>
      <c r="B25" s="86">
        <f t="shared" si="0"/>
        <v>18870</v>
      </c>
    </row>
    <row r="26" spans="1:2" ht="15" customHeight="1">
      <c r="A26" s="7">
        <v>2016</v>
      </c>
      <c r="B26" s="86">
        <f t="shared" si="0"/>
        <v>18600</v>
      </c>
    </row>
    <row r="27" spans="1:2" ht="15" customHeight="1">
      <c r="A27" s="7">
        <v>2017</v>
      </c>
      <c r="B27" s="86">
        <f t="shared" si="0"/>
        <v>18330</v>
      </c>
    </row>
    <row r="28" spans="1:2" ht="15" customHeight="1">
      <c r="A28" s="7">
        <v>2018</v>
      </c>
      <c r="B28" s="86">
        <f t="shared" si="0"/>
        <v>18060</v>
      </c>
    </row>
    <row r="29" spans="1:2" ht="15" customHeight="1">
      <c r="A29" s="7">
        <v>2019</v>
      </c>
      <c r="B29" s="86">
        <f t="shared" si="0"/>
        <v>17790</v>
      </c>
    </row>
    <row r="30" spans="1:2" ht="15" customHeight="1">
      <c r="A30" s="7">
        <v>2020</v>
      </c>
      <c r="B30" s="86">
        <f t="shared" si="0"/>
        <v>17520</v>
      </c>
    </row>
    <row r="31" spans="1:2" ht="15" customHeight="1">
      <c r="A31" s="7">
        <v>2021</v>
      </c>
      <c r="B31" s="86">
        <f t="shared" si="0"/>
        <v>17250</v>
      </c>
    </row>
    <row r="32" spans="1:2" ht="15" customHeight="1">
      <c r="A32" s="86">
        <v>2022</v>
      </c>
      <c r="B32" s="115">
        <f>B31*0.995</f>
        <v>17163.75</v>
      </c>
    </row>
    <row r="33" spans="1:2" ht="15" customHeight="1">
      <c r="A33" s="86">
        <v>2023</v>
      </c>
      <c r="B33" s="115">
        <f t="shared" ref="B33:B38" si="1">B32*0.995</f>
        <v>17077.931250000001</v>
      </c>
    </row>
    <row r="34" spans="1:2" ht="15" customHeight="1">
      <c r="A34" s="86">
        <v>2024</v>
      </c>
      <c r="B34" s="115">
        <f t="shared" si="1"/>
        <v>16992.54159375</v>
      </c>
    </row>
    <row r="35" spans="1:2" ht="15" customHeight="1">
      <c r="A35" s="86">
        <v>2025</v>
      </c>
      <c r="B35" s="115">
        <f t="shared" si="1"/>
        <v>16907.578885781251</v>
      </c>
    </row>
    <row r="36" spans="1:2" ht="15" customHeight="1">
      <c r="A36" s="86">
        <v>2026</v>
      </c>
      <c r="B36" s="115">
        <f t="shared" si="1"/>
        <v>16823.040991352344</v>
      </c>
    </row>
    <row r="37" spans="1:2" ht="15" customHeight="1">
      <c r="A37" s="86">
        <v>2027</v>
      </c>
      <c r="B37" s="115">
        <f t="shared" si="1"/>
        <v>16738.925786395583</v>
      </c>
    </row>
    <row r="38" spans="1:2" ht="15" customHeight="1">
      <c r="A38" s="86">
        <v>2028</v>
      </c>
      <c r="B38" s="115">
        <f t="shared" si="1"/>
        <v>16655.231157463604</v>
      </c>
    </row>
    <row r="39" spans="1:2" ht="15" customHeight="1">
      <c r="A39" s="12"/>
      <c r="B39" s="12"/>
    </row>
    <row r="40" spans="1:2" ht="15" customHeight="1">
      <c r="A40" s="12"/>
      <c r="B40" s="12"/>
    </row>
    <row r="41" spans="1:2" ht="15" customHeight="1">
      <c r="A41" s="12"/>
      <c r="B41" s="87"/>
    </row>
    <row r="42" spans="1:2" ht="15" customHeight="1">
      <c r="A42" s="12"/>
      <c r="B42" s="87"/>
    </row>
    <row r="43" spans="1:2" ht="15" customHeight="1">
      <c r="A43" s="12"/>
      <c r="B43" s="87"/>
    </row>
    <row r="44" spans="1:2" ht="15" customHeight="1">
      <c r="A44" s="12"/>
      <c r="B44" s="87"/>
    </row>
    <row r="45" spans="1:2" ht="15" customHeight="1">
      <c r="A45" s="12"/>
      <c r="B45" s="87"/>
    </row>
    <row r="46" spans="1:2" ht="15" customHeight="1">
      <c r="A46" s="12"/>
      <c r="B46" s="87"/>
    </row>
    <row r="47" spans="1:2" ht="15" customHeight="1">
      <c r="A47" s="12"/>
      <c r="B47" s="87"/>
    </row>
    <row r="48" spans="1:2" ht="15" customHeight="1">
      <c r="A48" s="12"/>
      <c r="B48" s="87"/>
    </row>
    <row r="49" spans="1:2" ht="15" customHeight="1">
      <c r="A49" s="12"/>
      <c r="B49" s="87"/>
    </row>
    <row r="50" spans="1:2" ht="15" customHeight="1">
      <c r="A50" s="12"/>
      <c r="B50" s="87"/>
    </row>
    <row r="51" spans="1:2" ht="15" customHeight="1">
      <c r="A51" s="12"/>
      <c r="B51" s="87"/>
    </row>
    <row r="52" spans="1:2" ht="15" customHeight="1">
      <c r="A52" s="12"/>
      <c r="B52" s="87"/>
    </row>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D1000"/>
  <sheetViews>
    <sheetView workbookViewId="0"/>
  </sheetViews>
  <sheetFormatPr defaultColWidth="14.453125" defaultRowHeight="15" customHeight="1"/>
  <cols>
    <col min="1" max="1" width="8.6328125" customWidth="1"/>
    <col min="2" max="2" width="22.6328125" customWidth="1"/>
    <col min="3" max="3" width="17.36328125" customWidth="1"/>
    <col min="4" max="4" width="16.36328125" customWidth="1"/>
    <col min="5" max="26" width="8.6328125" customWidth="1"/>
  </cols>
  <sheetData>
    <row r="1" spans="1:4" ht="15" customHeight="1">
      <c r="A1" s="20" t="s">
        <v>157</v>
      </c>
    </row>
    <row r="2" spans="1:4" ht="15" customHeight="1">
      <c r="A2" s="20"/>
      <c r="D2" s="3" t="s">
        <v>158</v>
      </c>
    </row>
    <row r="3" spans="1:4" ht="15" customHeight="1">
      <c r="A3" s="20" t="s">
        <v>159</v>
      </c>
    </row>
    <row r="4" spans="1:4" ht="15" customHeight="1">
      <c r="A4" s="20"/>
    </row>
    <row r="5" spans="1:4" ht="15" customHeight="1">
      <c r="A5" s="20" t="s">
        <v>160</v>
      </c>
    </row>
    <row r="6" spans="1:4" ht="15" customHeight="1">
      <c r="A6" s="20"/>
    </row>
    <row r="7" spans="1:4" ht="14.5">
      <c r="A7" s="28" t="s">
        <v>161</v>
      </c>
      <c r="B7" s="85" t="s">
        <v>162</v>
      </c>
    </row>
    <row r="8" spans="1:4" ht="15" customHeight="1">
      <c r="A8" s="29">
        <v>0</v>
      </c>
      <c r="B8" s="45">
        <f t="shared" ref="B8:B15" si="0">-2*A8^2+17*A8+540</f>
        <v>540</v>
      </c>
    </row>
    <row r="9" spans="1:4" ht="15" customHeight="1">
      <c r="A9" s="29">
        <v>1</v>
      </c>
      <c r="B9" s="45">
        <f t="shared" si="0"/>
        <v>555</v>
      </c>
    </row>
    <row r="10" spans="1:4" ht="15" customHeight="1">
      <c r="A10" s="29">
        <v>2</v>
      </c>
      <c r="B10" s="45">
        <f t="shared" si="0"/>
        <v>566</v>
      </c>
    </row>
    <row r="11" spans="1:4" ht="15" customHeight="1">
      <c r="A11" s="29">
        <v>3</v>
      </c>
      <c r="B11" s="45">
        <f t="shared" si="0"/>
        <v>573</v>
      </c>
    </row>
    <row r="12" spans="1:4" ht="15" customHeight="1">
      <c r="A12" s="29">
        <v>4</v>
      </c>
      <c r="B12" s="45">
        <f t="shared" si="0"/>
        <v>576</v>
      </c>
    </row>
    <row r="13" spans="1:4" ht="15" customHeight="1">
      <c r="A13" s="29">
        <v>5</v>
      </c>
      <c r="B13" s="45">
        <f t="shared" si="0"/>
        <v>575</v>
      </c>
    </row>
    <row r="14" spans="1:4" ht="15" customHeight="1">
      <c r="A14" s="7">
        <v>6</v>
      </c>
      <c r="B14" s="45">
        <f t="shared" si="0"/>
        <v>570</v>
      </c>
    </row>
    <row r="15" spans="1:4" ht="15" customHeight="1">
      <c r="A15" s="7">
        <v>7</v>
      </c>
      <c r="B15" s="45">
        <f t="shared" si="0"/>
        <v>561</v>
      </c>
    </row>
    <row r="17" spans="1:2" ht="15" customHeight="1">
      <c r="A17" s="20" t="s">
        <v>163</v>
      </c>
    </row>
    <row r="19" spans="1:2" ht="15" customHeight="1">
      <c r="A19" s="24" t="s">
        <v>249</v>
      </c>
    </row>
    <row r="21" spans="1:2" ht="15" customHeight="1">
      <c r="B21" s="25" t="s">
        <v>164</v>
      </c>
    </row>
    <row r="23" spans="1:2" ht="15" customHeight="1">
      <c r="A23" s="3" t="s">
        <v>165</v>
      </c>
    </row>
    <row r="25" spans="1:2" ht="15" customHeight="1">
      <c r="A25" s="20"/>
      <c r="B25" s="17">
        <f>B12</f>
        <v>576</v>
      </c>
    </row>
    <row r="27" spans="1:2" ht="15" customHeight="1">
      <c r="A27" s="3" t="s">
        <v>166</v>
      </c>
    </row>
    <row r="29" spans="1:2" ht="15" customHeight="1">
      <c r="B29" s="22">
        <f>B13/B8-1</f>
        <v>6.4814814814814881E-2</v>
      </c>
    </row>
    <row r="31" spans="1:2" ht="15" customHeight="1">
      <c r="A31" s="3" t="s">
        <v>167</v>
      </c>
    </row>
    <row r="32" spans="1:2" ht="15" customHeight="1">
      <c r="A32" s="3" t="s">
        <v>138</v>
      </c>
      <c r="B32" s="25">
        <v>-2</v>
      </c>
    </row>
    <row r="33" spans="1:2" ht="15" customHeight="1">
      <c r="A33" s="3" t="s">
        <v>168</v>
      </c>
      <c r="B33" s="25">
        <v>17</v>
      </c>
    </row>
    <row r="34" spans="1:2" ht="15" customHeight="1">
      <c r="A34" s="3" t="s">
        <v>169</v>
      </c>
      <c r="B34" s="25">
        <v>540</v>
      </c>
    </row>
    <row r="35" spans="1:2" ht="15" customHeight="1">
      <c r="A35" s="3" t="s">
        <v>170</v>
      </c>
      <c r="B35" s="25">
        <f>B33^2-4*B32*B34</f>
        <v>4609</v>
      </c>
    </row>
    <row r="37" spans="1:2" ht="15" customHeight="1">
      <c r="A37" s="3" t="s">
        <v>171</v>
      </c>
    </row>
    <row r="39" spans="1:2" ht="15" customHeight="1">
      <c r="A39" s="3" t="s">
        <v>172</v>
      </c>
      <c r="B39" s="88">
        <f>(-B33-SQRT(B35))/(2*B32)</f>
        <v>21.222404072493678</v>
      </c>
    </row>
    <row r="40" spans="1:2" ht="15" customHeight="1">
      <c r="A40" s="3" t="s">
        <v>173</v>
      </c>
      <c r="B40" s="88">
        <f>(-B33+SQRT(B35))/(2*B32)</f>
        <v>-12.722404072493678</v>
      </c>
    </row>
    <row r="42" spans="1:2" ht="15" customHeight="1">
      <c r="A42" s="3" t="s">
        <v>174</v>
      </c>
    </row>
    <row r="44" spans="1:2" ht="15" customHeight="1">
      <c r="B44" s="25" t="s">
        <v>175</v>
      </c>
    </row>
    <row r="46" spans="1:2" ht="15" customHeight="1">
      <c r="A46" s="3" t="s">
        <v>176</v>
      </c>
    </row>
    <row r="48" spans="1:2" ht="15" customHeight="1">
      <c r="B48" s="25" t="s">
        <v>177</v>
      </c>
    </row>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F998"/>
  <sheetViews>
    <sheetView workbookViewId="0"/>
  </sheetViews>
  <sheetFormatPr defaultColWidth="14.453125" defaultRowHeight="15" customHeight="1"/>
  <cols>
    <col min="1" max="1" width="14.453125" customWidth="1"/>
    <col min="2" max="2" width="21.6328125" customWidth="1"/>
    <col min="3" max="3" width="16.6328125" customWidth="1"/>
    <col min="4" max="4" width="15" customWidth="1"/>
    <col min="5" max="26" width="8.6328125" customWidth="1"/>
  </cols>
  <sheetData>
    <row r="1" spans="1:6" ht="15" customHeight="1">
      <c r="A1" s="84" t="s">
        <v>230</v>
      </c>
    </row>
    <row r="2" spans="1:6" ht="15" customHeight="1">
      <c r="A2" s="84" t="s">
        <v>231</v>
      </c>
    </row>
    <row r="3" spans="1:6" ht="15" customHeight="1">
      <c r="A3" s="84" t="s">
        <v>250</v>
      </c>
    </row>
    <row r="4" spans="1:6" ht="15" customHeight="1">
      <c r="A4" s="84" t="s">
        <v>251</v>
      </c>
    </row>
    <row r="5" spans="1:6" ht="15" customHeight="1">
      <c r="A5" s="84" t="s">
        <v>252</v>
      </c>
    </row>
    <row r="6" spans="1:6" ht="15" customHeight="1">
      <c r="A6" s="84" t="s">
        <v>266</v>
      </c>
    </row>
    <row r="10" spans="1:6" ht="15" customHeight="1">
      <c r="A10" s="205" t="s">
        <v>232</v>
      </c>
      <c r="B10" s="205" t="s">
        <v>233</v>
      </c>
      <c r="C10" s="205" t="s">
        <v>234</v>
      </c>
    </row>
    <row r="11" spans="1:6" ht="15" customHeight="1">
      <c r="A11" s="206"/>
      <c r="B11" s="206"/>
      <c r="C11" s="206"/>
      <c r="F11" s="3" t="s">
        <v>235</v>
      </c>
    </row>
    <row r="12" spans="1:6" ht="15" customHeight="1">
      <c r="A12" s="29">
        <v>1</v>
      </c>
      <c r="B12" s="7">
        <v>430</v>
      </c>
      <c r="C12" s="29">
        <v>118000</v>
      </c>
    </row>
    <row r="13" spans="1:6" ht="15" customHeight="1">
      <c r="A13" s="29">
        <v>2</v>
      </c>
      <c r="B13" s="7">
        <v>120</v>
      </c>
      <c r="C13" s="29">
        <v>90500</v>
      </c>
    </row>
    <row r="14" spans="1:6" ht="15" customHeight="1">
      <c r="A14" s="29">
        <v>3</v>
      </c>
      <c r="B14" s="7">
        <v>320</v>
      </c>
      <c r="C14" s="29">
        <v>105040</v>
      </c>
    </row>
    <row r="15" spans="1:6" ht="15" customHeight="1">
      <c r="A15" s="29">
        <v>4</v>
      </c>
      <c r="B15" s="7">
        <v>560</v>
      </c>
      <c r="C15" s="29">
        <v>160020</v>
      </c>
    </row>
    <row r="16" spans="1:6" ht="15" customHeight="1">
      <c r="A16" s="29">
        <v>5</v>
      </c>
      <c r="B16" s="7">
        <v>340</v>
      </c>
      <c r="C16" s="29">
        <v>127000</v>
      </c>
    </row>
    <row r="17" spans="1:3" ht="15" customHeight="1">
      <c r="A17" s="29">
        <v>6</v>
      </c>
      <c r="B17" s="7">
        <v>730</v>
      </c>
      <c r="C17" s="29">
        <v>190230</v>
      </c>
    </row>
    <row r="18" spans="1:3" ht="15" customHeight="1">
      <c r="A18" s="29">
        <v>7</v>
      </c>
      <c r="B18" s="7">
        <v>240</v>
      </c>
      <c r="C18" s="29">
        <v>110825</v>
      </c>
    </row>
    <row r="19" spans="1:3" ht="15" customHeight="1">
      <c r="A19" s="29">
        <v>8</v>
      </c>
      <c r="B19" s="7">
        <v>530</v>
      </c>
      <c r="C19" s="29">
        <v>154000</v>
      </c>
    </row>
    <row r="20" spans="1:3" ht="15" customHeight="1">
      <c r="A20" s="29">
        <v>9</v>
      </c>
      <c r="B20" s="7">
        <v>440</v>
      </c>
      <c r="C20" s="29">
        <v>145600</v>
      </c>
    </row>
    <row r="21" spans="1:3" ht="15" customHeight="1">
      <c r="A21" s="29">
        <v>10</v>
      </c>
      <c r="B21" s="7">
        <v>620</v>
      </c>
      <c r="C21" s="29">
        <v>178000</v>
      </c>
    </row>
    <row r="22" spans="1:3" ht="15" customHeight="1">
      <c r="A22" s="29">
        <v>11</v>
      </c>
      <c r="B22" s="7">
        <v>170</v>
      </c>
      <c r="C22" s="29">
        <v>100050</v>
      </c>
    </row>
    <row r="25" spans="1:3" ht="15" customHeight="1">
      <c r="A25" s="3" t="s">
        <v>155</v>
      </c>
    </row>
    <row r="26" spans="1:3" ht="15" customHeight="1">
      <c r="A26" s="3" t="s">
        <v>236</v>
      </c>
      <c r="C26" s="25" t="s">
        <v>241</v>
      </c>
    </row>
    <row r="27" spans="1:3" ht="15" customHeight="1">
      <c r="A27" s="3" t="s">
        <v>227</v>
      </c>
      <c r="C27" s="25" t="s">
        <v>242</v>
      </c>
    </row>
    <row r="29" spans="1:3" ht="15" customHeight="1">
      <c r="A29" s="3" t="s">
        <v>156</v>
      </c>
      <c r="B29" s="25" t="s">
        <v>227</v>
      </c>
    </row>
    <row r="31" spans="1:3" ht="15" customHeight="1">
      <c r="A31" s="3" t="s">
        <v>237</v>
      </c>
    </row>
    <row r="32" spans="1:3" ht="15" customHeight="1">
      <c r="A32" s="3" t="s">
        <v>238</v>
      </c>
      <c r="B32" s="25" t="s">
        <v>274</v>
      </c>
    </row>
    <row r="33" spans="1:3" ht="15" customHeight="1">
      <c r="A33" s="3" t="s">
        <v>239</v>
      </c>
      <c r="B33" s="25" t="s">
        <v>243</v>
      </c>
    </row>
    <row r="35" spans="1:3" ht="15" customHeight="1">
      <c r="A35" s="3" t="s">
        <v>240</v>
      </c>
      <c r="B35" s="17">
        <f>78767*EXP(0.0012*455)</f>
        <v>135978.13862685958</v>
      </c>
      <c r="C35" s="25" t="s">
        <v>244</v>
      </c>
    </row>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sheetData>
  <mergeCells count="3">
    <mergeCell ref="A10:A11"/>
    <mergeCell ref="B10:B11"/>
    <mergeCell ref="C10:C11"/>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16</vt:i4>
      </vt:variant>
    </vt:vector>
  </HeadingPairs>
  <TitlesOfParts>
    <vt:vector size="16" baseType="lpstr">
      <vt:lpstr>uvod</vt:lpstr>
      <vt:lpstr>kontrola</vt:lpstr>
      <vt:lpstr>auto_feedback</vt:lpstr>
      <vt:lpstr>upute</vt:lpstr>
      <vt:lpstr>1. ish zad 1-10</vt:lpstr>
      <vt:lpstr>2. ish zad 11</vt:lpstr>
      <vt:lpstr>2. ish zad 12</vt:lpstr>
      <vt:lpstr>2. ish zad 13</vt:lpstr>
      <vt:lpstr>2. ish zad 14</vt:lpstr>
      <vt:lpstr>3. ish zad 15</vt:lpstr>
      <vt:lpstr>3. ish zad 16</vt:lpstr>
      <vt:lpstr>3. ish zad 17</vt:lpstr>
      <vt:lpstr>3. ish zad 18</vt:lpstr>
      <vt:lpstr>4. ish zad 19</vt:lpstr>
      <vt:lpstr>4. ish zad 20</vt:lpstr>
      <vt:lpstr>4. ish zad 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Toni Milun</cp:lastModifiedBy>
  <dcterms:created xsi:type="dcterms:W3CDTF">2015-06-05T18:19:34Z</dcterms:created>
  <dcterms:modified xsi:type="dcterms:W3CDTF">2024-08-26T13:06:36Z</dcterms:modified>
</cp:coreProperties>
</file>