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algebrapou-my.sharepoint.com/personal/toni_milun_algebra_hr/Documents/Documents/toni stik/posao/VUA Algebra/matematika Algebra/VUA Matematika DM/VUA Mat DM ispiti/2024 VUA Mat DM 12. 9/"/>
    </mc:Choice>
  </mc:AlternateContent>
  <xr:revisionPtr revIDLastSave="2" documentId="13_ncr:1_{9BC2A964-25BE-45CB-A942-FDF94B6CA3F2}" xr6:coauthVersionLast="47" xr6:coauthVersionMax="47" xr10:uidLastSave="{58043628-352B-46BD-AE1C-F17970938AC0}"/>
  <bookViews>
    <workbookView xWindow="-110" yWindow="-110" windowWidth="19420" windowHeight="10420" xr2:uid="{00000000-000D-0000-FFFF-FFFF00000000}"/>
  </bookViews>
  <sheets>
    <sheet name="uvod" sheetId="1" r:id="rId1"/>
    <sheet name="auto_feedback" sheetId="2" r:id="rId2"/>
    <sheet name="upute" sheetId="17" r:id="rId3"/>
    <sheet name="1. ish zad 1-10" sheetId="4" r:id="rId4"/>
    <sheet name="kontrola" sheetId="15" r:id="rId5"/>
    <sheet name="2. ish zad 11" sheetId="18" r:id="rId6"/>
    <sheet name="2. ish zad 12" sheetId="6" r:id="rId7"/>
    <sheet name="2. ish zad 13" sheetId="7" r:id="rId8"/>
    <sheet name="2. ish zad 14" sheetId="8" r:id="rId9"/>
    <sheet name="3. ish zad 15" sheetId="9" r:id="rId10"/>
    <sheet name="3. ish zad 16" sheetId="10" r:id="rId11"/>
    <sheet name="3. ish zad 17" sheetId="11" r:id="rId12"/>
    <sheet name="3. ish zad 18" sheetId="12" r:id="rId13"/>
    <sheet name="4. ish zad 19" sheetId="13" r:id="rId14"/>
    <sheet name="4. ish zad 20" sheetId="14" r:id="rId15"/>
    <sheet name="4. ish zad 21" sheetId="16" r:id="rId16"/>
  </sheets>
  <definedNames>
    <definedName name="A" localSheetId="5">#REF!</definedName>
    <definedName name="A" localSheetId="6">#REF!</definedName>
    <definedName name="A" localSheetId="7">#REF!</definedName>
    <definedName name="A" localSheetId="8">#REF!</definedName>
    <definedName name="A" localSheetId="2">#REF!</definedName>
    <definedName name="A" localSheetId="0">#REF!</definedName>
    <definedName name="A">#REF!</definedName>
    <definedName name="A_" localSheetId="5">#REF!</definedName>
    <definedName name="A_" localSheetId="6">#REF!</definedName>
    <definedName name="A_" localSheetId="7">#REF!</definedName>
    <definedName name="A_" localSheetId="8">#REF!</definedName>
    <definedName name="A_" localSheetId="2">#REF!</definedName>
    <definedName name="A_" localSheetId="0">#REF!</definedName>
    <definedName name="A_">#REF!</definedName>
    <definedName name="AB" localSheetId="5">#REF!</definedName>
    <definedName name="AB" localSheetId="6">#REF!</definedName>
    <definedName name="AB" localSheetId="7">#REF!</definedName>
    <definedName name="AB" localSheetId="8">#REF!</definedName>
    <definedName name="AB" localSheetId="2">#REF!</definedName>
    <definedName name="AB" localSheetId="0">#REF!</definedName>
    <definedName name="AB">#REF!</definedName>
    <definedName name="AT">#REF!</definedName>
    <definedName name="B">#REF!</definedName>
    <definedName name="B_">#REF!</definedName>
    <definedName name="C_">#REF!</definedName>
    <definedName name="D">#REF!</definedName>
    <definedName name="DT">#REF!</definedName>
    <definedName name="E">#REF!</definedName>
    <definedName name="F">#REF!</definedName>
    <definedName name="G">#REF!</definedName>
    <definedName name="KOM">#REF!</definedName>
    <definedName name="OCJENE">#REF!</definedName>
    <definedName name="ROT">#REF!</definedName>
    <definedName name="TR">#REF!</definedName>
    <definedName name="TRANS">#REF!</definedName>
    <definedName name="v">#REF!</definedName>
    <definedName name="W">#REF!</definedName>
    <definedName name="X">#REF!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hodWAETkLcj6iDD5JAqA9yotonhw=="/>
    </ext>
  </extLst>
</workbook>
</file>

<file path=xl/calcChain.xml><?xml version="1.0" encoding="utf-8"?>
<calcChain xmlns="http://schemas.openxmlformats.org/spreadsheetml/2006/main">
  <c r="N10" i="15" l="1"/>
  <c r="N11" i="15"/>
  <c r="N12" i="15"/>
  <c r="N13" i="15"/>
  <c r="N14" i="15"/>
  <c r="N15" i="15"/>
  <c r="N16" i="15"/>
  <c r="N17" i="15"/>
  <c r="N18" i="15"/>
  <c r="N19" i="15"/>
  <c r="N20" i="15"/>
  <c r="N21" i="15"/>
  <c r="N22" i="15"/>
  <c r="N23" i="15"/>
  <c r="N24" i="15"/>
  <c r="N9" i="15"/>
  <c r="M10" i="15"/>
  <c r="M11" i="15"/>
  <c r="M12" i="15"/>
  <c r="M13" i="15"/>
  <c r="M14" i="15"/>
  <c r="M15" i="15"/>
  <c r="M16" i="15"/>
  <c r="M17" i="15"/>
  <c r="M18" i="15"/>
  <c r="M19" i="15"/>
  <c r="M20" i="15"/>
  <c r="M21" i="15"/>
  <c r="M22" i="15"/>
  <c r="M23" i="15"/>
  <c r="M24" i="15"/>
  <c r="M9" i="15"/>
  <c r="D81" i="15"/>
  <c r="F81" i="15" s="1"/>
  <c r="F82" i="15" s="1"/>
  <c r="X60" i="15"/>
  <c r="X59" i="15"/>
  <c r="X58" i="15"/>
  <c r="X57" i="15"/>
  <c r="X56" i="15"/>
  <c r="X55" i="15"/>
  <c r="N56" i="15"/>
  <c r="N57" i="15"/>
  <c r="N55" i="15"/>
  <c r="D58" i="15"/>
  <c r="X35" i="15"/>
  <c r="Z35" i="15" s="1"/>
  <c r="D14" i="15"/>
  <c r="C14" i="18"/>
  <c r="C23" i="18"/>
  <c r="C24" i="18" s="1"/>
  <c r="J18" i="18"/>
  <c r="J17" i="18"/>
  <c r="J16" i="18"/>
  <c r="J15" i="18"/>
  <c r="J14" i="18"/>
  <c r="J13" i="18"/>
  <c r="J12" i="18"/>
  <c r="J11" i="18"/>
  <c r="C11" i="18"/>
  <c r="J10" i="18"/>
  <c r="C10" i="18"/>
  <c r="C12" i="18" s="1"/>
  <c r="C13" i="18" s="1"/>
  <c r="J9" i="18"/>
  <c r="C15" i="18" l="1"/>
  <c r="C17" i="18" s="1"/>
  <c r="C18" i="18" s="1"/>
  <c r="C20" i="18" s="1"/>
  <c r="C21" i="18" l="1"/>
  <c r="C22" i="18" s="1"/>
  <c r="C25" i="18" s="1"/>
  <c r="C16" i="18"/>
  <c r="F37" i="12" l="1"/>
  <c r="M57" i="15"/>
  <c r="M56" i="15"/>
  <c r="M55" i="15"/>
  <c r="C59" i="15"/>
  <c r="W36" i="15"/>
  <c r="W35" i="15"/>
  <c r="C22" i="7"/>
  <c r="C14" i="6"/>
  <c r="B35" i="16" l="1"/>
  <c r="P86" i="15"/>
  <c r="P85" i="15"/>
  <c r="W83" i="15"/>
  <c r="X83" i="15" s="1"/>
  <c r="Z83" i="15" s="1"/>
  <c r="Z82" i="15"/>
  <c r="M82" i="15"/>
  <c r="N82" i="15" s="1"/>
  <c r="P82" i="15" s="1"/>
  <c r="Z81" i="15"/>
  <c r="W80" i="15"/>
  <c r="X80" i="15" s="1"/>
  <c r="Z80" i="15" s="1"/>
  <c r="W79" i="15"/>
  <c r="X79" i="15" s="1"/>
  <c r="Z79" i="15" s="1"/>
  <c r="M79" i="15"/>
  <c r="N79" i="15" s="1"/>
  <c r="P79" i="15" s="1"/>
  <c r="F79" i="15"/>
  <c r="W78" i="15"/>
  <c r="X78" i="15" s="1"/>
  <c r="Z78" i="15" s="1"/>
  <c r="P78" i="15"/>
  <c r="D78" i="15"/>
  <c r="F78" i="15" s="1"/>
  <c r="C78" i="15"/>
  <c r="Z77" i="15"/>
  <c r="M77" i="15"/>
  <c r="N77" i="15" s="1"/>
  <c r="P77" i="15" s="1"/>
  <c r="P18" i="15"/>
  <c r="F4" i="15"/>
  <c r="E4" i="15"/>
  <c r="D4" i="15"/>
  <c r="C4" i="15"/>
  <c r="B2" i="15"/>
  <c r="A2" i="15"/>
  <c r="B39" i="14"/>
  <c r="M83" i="15" s="1"/>
  <c r="N83" i="15" s="1"/>
  <c r="P83" i="15" s="1"/>
  <c r="B35" i="14"/>
  <c r="B40" i="14" s="1"/>
  <c r="M84" i="15" s="1"/>
  <c r="N84" i="15" s="1"/>
  <c r="P84" i="15" s="1"/>
  <c r="B25" i="14"/>
  <c r="M80" i="15" s="1"/>
  <c r="N80" i="15" s="1"/>
  <c r="P80" i="15" s="1"/>
  <c r="B15" i="14"/>
  <c r="B14" i="14"/>
  <c r="B13" i="14"/>
  <c r="B12" i="14"/>
  <c r="B11" i="14"/>
  <c r="B29" i="14" s="1"/>
  <c r="M81" i="15" s="1"/>
  <c r="N81" i="15" s="1"/>
  <c r="P81" i="15" s="1"/>
  <c r="B10" i="14"/>
  <c r="B9" i="14"/>
  <c r="B8" i="14"/>
  <c r="B26" i="13"/>
  <c r="B27" i="13" s="1"/>
  <c r="B28" i="13" s="1"/>
  <c r="B14" i="13"/>
  <c r="B15" i="13" s="1"/>
  <c r="B16" i="13" s="1"/>
  <c r="B17" i="13" s="1"/>
  <c r="B18" i="13" s="1"/>
  <c r="B19" i="13" s="1"/>
  <c r="B20" i="13" s="1"/>
  <c r="B21" i="13" s="1"/>
  <c r="B22" i="13" s="1"/>
  <c r="B23" i="13" s="1"/>
  <c r="B24" i="13" s="1"/>
  <c r="B25" i="13" s="1"/>
  <c r="B13" i="13"/>
  <c r="L288" i="12"/>
  <c r="L235" i="12"/>
  <c r="L95" i="12"/>
  <c r="L93" i="12"/>
  <c r="L91" i="12"/>
  <c r="L89" i="12"/>
  <c r="L87" i="12"/>
  <c r="L85" i="12"/>
  <c r="L83" i="12"/>
  <c r="L81" i="12"/>
  <c r="L79" i="12"/>
  <c r="L77" i="12"/>
  <c r="L75" i="12"/>
  <c r="L73" i="12"/>
  <c r="L71" i="12"/>
  <c r="L69" i="12"/>
  <c r="L67" i="12"/>
  <c r="L65" i="12"/>
  <c r="L63" i="12"/>
  <c r="L61" i="12"/>
  <c r="L59" i="12"/>
  <c r="L57" i="12"/>
  <c r="L56" i="12"/>
  <c r="K37" i="12"/>
  <c r="M36" i="12"/>
  <c r="E36" i="12"/>
  <c r="B18" i="12"/>
  <c r="B24" i="12" s="1"/>
  <c r="L226" i="12" s="1"/>
  <c r="B16" i="12"/>
  <c r="B13" i="12"/>
  <c r="Q130" i="11"/>
  <c r="Q128" i="11"/>
  <c r="Q129" i="11" s="1"/>
  <c r="Q125" i="11"/>
  <c r="Q124" i="11"/>
  <c r="Q123" i="11"/>
  <c r="Q88" i="11"/>
  <c r="Q92" i="11" s="1"/>
  <c r="Q87" i="11"/>
  <c r="Q94" i="11" s="1"/>
  <c r="N26" i="11"/>
  <c r="E26" i="11"/>
  <c r="C27" i="11" s="1"/>
  <c r="B19" i="11"/>
  <c r="B17" i="11"/>
  <c r="B14" i="11"/>
  <c r="B13" i="11"/>
  <c r="B12" i="11"/>
  <c r="I139" i="10"/>
  <c r="I136" i="10"/>
  <c r="I133" i="10"/>
  <c r="I130" i="10"/>
  <c r="I127" i="10"/>
  <c r="I124" i="10"/>
  <c r="I121" i="10"/>
  <c r="I118" i="10"/>
  <c r="I115" i="10"/>
  <c r="I112" i="10"/>
  <c r="I109" i="10"/>
  <c r="I106" i="10"/>
  <c r="I103" i="10"/>
  <c r="I100" i="10"/>
  <c r="I97" i="10"/>
  <c r="I94" i="10"/>
  <c r="I91" i="10"/>
  <c r="I88" i="10"/>
  <c r="I85" i="10"/>
  <c r="I82" i="10"/>
  <c r="I79" i="10"/>
  <c r="I76" i="10"/>
  <c r="I73" i="10"/>
  <c r="I70" i="10"/>
  <c r="I67" i="10"/>
  <c r="I64" i="10"/>
  <c r="I61" i="10"/>
  <c r="I58" i="10"/>
  <c r="I55" i="10"/>
  <c r="I52" i="10"/>
  <c r="I49" i="10"/>
  <c r="I46" i="10"/>
  <c r="I43" i="10"/>
  <c r="I40" i="10"/>
  <c r="I37" i="10"/>
  <c r="I34" i="10"/>
  <c r="I31" i="10"/>
  <c r="I28" i="10"/>
  <c r="I25" i="10"/>
  <c r="I22" i="10"/>
  <c r="I19" i="10"/>
  <c r="C19" i="10"/>
  <c r="I140" i="10" s="1"/>
  <c r="C16" i="10"/>
  <c r="C56" i="15" s="1"/>
  <c r="D56" i="15" s="1"/>
  <c r="F56" i="15" s="1"/>
  <c r="C15" i="10"/>
  <c r="C55" i="15" s="1"/>
  <c r="D55" i="15" s="1"/>
  <c r="F55" i="15" s="1"/>
  <c r="I13" i="10"/>
  <c r="I10" i="10"/>
  <c r="J10" i="10" s="1"/>
  <c r="J9" i="10"/>
  <c r="D17" i="9"/>
  <c r="F16" i="9"/>
  <c r="F10" i="9"/>
  <c r="W33" i="15" s="1"/>
  <c r="X33" i="15" s="1"/>
  <c r="Z33" i="15" s="1"/>
  <c r="C10" i="9"/>
  <c r="F9" i="9"/>
  <c r="F8" i="9"/>
  <c r="W31" i="15" s="1"/>
  <c r="X31" i="15" s="1"/>
  <c r="Z31" i="15" s="1"/>
  <c r="H19" i="8"/>
  <c r="D19" i="8"/>
  <c r="M33" i="15" s="1"/>
  <c r="N33" i="15" s="1"/>
  <c r="P33" i="15" s="1"/>
  <c r="H18" i="8"/>
  <c r="D18" i="8"/>
  <c r="H15" i="8"/>
  <c r="H17" i="8" s="1"/>
  <c r="D15" i="8"/>
  <c r="D17" i="8" s="1"/>
  <c r="M31" i="15" s="1"/>
  <c r="N31" i="15" s="1"/>
  <c r="P31" i="15" s="1"/>
  <c r="B18" i="7"/>
  <c r="B15" i="7"/>
  <c r="H12" i="7"/>
  <c r="G13" i="7" s="1"/>
  <c r="H13" i="7" s="1"/>
  <c r="C12" i="7"/>
  <c r="B20" i="7" s="1"/>
  <c r="B9" i="7"/>
  <c r="W9" i="15"/>
  <c r="X9" i="15" s="1"/>
  <c r="Z9" i="15" s="1"/>
  <c r="P13" i="15"/>
  <c r="P10" i="15"/>
  <c r="P9" i="15"/>
  <c r="C50" i="4"/>
  <c r="C18" i="15" s="1"/>
  <c r="D18" i="15" s="1"/>
  <c r="F18" i="15" s="1"/>
  <c r="Q3" i="15" s="1"/>
  <c r="C44" i="4"/>
  <c r="C17" i="15" s="1"/>
  <c r="D17" i="15" s="1"/>
  <c r="F17" i="15" s="1"/>
  <c r="P3" i="15" s="1"/>
  <c r="C39" i="4"/>
  <c r="C16" i="15" s="1"/>
  <c r="D16" i="15" s="1"/>
  <c r="F16" i="15" s="1"/>
  <c r="O3" i="15" s="1"/>
  <c r="C34" i="4"/>
  <c r="C15" i="15" s="1"/>
  <c r="D15" i="15" s="1"/>
  <c r="F15" i="15" s="1"/>
  <c r="N3" i="15" s="1"/>
  <c r="C28" i="4"/>
  <c r="C14" i="15" s="1"/>
  <c r="F14" i="15" s="1"/>
  <c r="M3" i="15" s="1"/>
  <c r="C23" i="4"/>
  <c r="C13" i="15" s="1"/>
  <c r="D13" i="15" s="1"/>
  <c r="F13" i="15" s="1"/>
  <c r="L3" i="15" s="1"/>
  <c r="C18" i="4"/>
  <c r="C12" i="15" s="1"/>
  <c r="D12" i="15" s="1"/>
  <c r="F12" i="15" s="1"/>
  <c r="K3" i="15" s="1"/>
  <c r="C13" i="4"/>
  <c r="C11" i="15" s="1"/>
  <c r="D11" i="15" s="1"/>
  <c r="F11" i="15" s="1"/>
  <c r="J3" i="15" s="1"/>
  <c r="C8" i="4"/>
  <c r="C10" i="15" s="1"/>
  <c r="D10" i="15" s="1"/>
  <c r="F10" i="15" s="1"/>
  <c r="I3" i="15" s="1"/>
  <c r="C3" i="4"/>
  <c r="C9" i="15" s="1"/>
  <c r="D9" i="15" s="1"/>
  <c r="F9" i="15" s="1"/>
  <c r="B17" i="2" a="1"/>
  <c r="B17" i="2" s="1"/>
  <c r="B16" i="2" a="1"/>
  <c r="B16" i="2" s="1"/>
  <c r="B15" i="2" a="1"/>
  <c r="B15" i="2" s="1"/>
  <c r="B13" i="2" a="1"/>
  <c r="B13" i="2" s="1"/>
  <c r="B12" i="2" a="1"/>
  <c r="B12" i="2" s="1"/>
  <c r="B10" i="2" a="1"/>
  <c r="B10" i="2" s="1"/>
  <c r="B9" i="2" a="1"/>
  <c r="B9" i="2" s="1"/>
  <c r="B8" i="2" a="1"/>
  <c r="B8" i="2" s="1"/>
  <c r="B6" i="2" a="1"/>
  <c r="B6" i="2" s="1"/>
  <c r="B5" i="2" a="1"/>
  <c r="B5" i="2" s="1"/>
  <c r="B4" i="2" a="1"/>
  <c r="B4" i="2" s="1"/>
  <c r="D2" i="2"/>
  <c r="Z84" i="15" l="1"/>
  <c r="AB3" i="15" s="1"/>
  <c r="G14" i="7"/>
  <c r="H14" i="7" s="1"/>
  <c r="H11" i="10"/>
  <c r="Q93" i="11"/>
  <c r="P22" i="15"/>
  <c r="P23" i="15"/>
  <c r="I17" i="10"/>
  <c r="M32" i="15"/>
  <c r="N32" i="15" s="1"/>
  <c r="P32" i="15" s="1"/>
  <c r="D21" i="8"/>
  <c r="F19" i="15"/>
  <c r="C2" i="15" s="1"/>
  <c r="H3" i="15"/>
  <c r="W32" i="15"/>
  <c r="X32" i="15" s="1"/>
  <c r="Z32" i="15" s="1"/>
  <c r="F12" i="9"/>
  <c r="H10" i="10"/>
  <c r="I15" i="10"/>
  <c r="I20" i="10"/>
  <c r="I23" i="10"/>
  <c r="I26" i="10"/>
  <c r="I29" i="10"/>
  <c r="I32" i="10"/>
  <c r="I35" i="10"/>
  <c r="I38" i="10"/>
  <c r="I41" i="10"/>
  <c r="I44" i="10"/>
  <c r="I47" i="10"/>
  <c r="I50" i="10"/>
  <c r="I53" i="10"/>
  <c r="I56" i="10"/>
  <c r="I59" i="10"/>
  <c r="I62" i="10"/>
  <c r="I65" i="10"/>
  <c r="I68" i="10"/>
  <c r="I71" i="10"/>
  <c r="I74" i="10"/>
  <c r="I77" i="10"/>
  <c r="I80" i="10"/>
  <c r="I83" i="10"/>
  <c r="I86" i="10"/>
  <c r="I89" i="10"/>
  <c r="I92" i="10"/>
  <c r="I95" i="10"/>
  <c r="I98" i="10"/>
  <c r="I101" i="10"/>
  <c r="I104" i="10"/>
  <c r="I107" i="10"/>
  <c r="I110" i="10"/>
  <c r="I113" i="10"/>
  <c r="I116" i="10"/>
  <c r="I119" i="10"/>
  <c r="I122" i="10"/>
  <c r="I125" i="10"/>
  <c r="I128" i="10"/>
  <c r="I131" i="10"/>
  <c r="I134" i="10"/>
  <c r="I137" i="10"/>
  <c r="Q89" i="11"/>
  <c r="C57" i="15"/>
  <c r="D57" i="15" s="1"/>
  <c r="F57" i="15" s="1"/>
  <c r="I16" i="10"/>
  <c r="I12" i="10"/>
  <c r="I138" i="10"/>
  <c r="I135" i="10"/>
  <c r="I132" i="10"/>
  <c r="I129" i="10"/>
  <c r="I126" i="10"/>
  <c r="I123" i="10"/>
  <c r="I120" i="10"/>
  <c r="I117" i="10"/>
  <c r="I114" i="10"/>
  <c r="I111" i="10"/>
  <c r="I108" i="10"/>
  <c r="I105" i="10"/>
  <c r="I102" i="10"/>
  <c r="I99" i="10"/>
  <c r="I96" i="10"/>
  <c r="I93" i="10"/>
  <c r="I90" i="10"/>
  <c r="I87" i="10"/>
  <c r="I84" i="10"/>
  <c r="I81" i="10"/>
  <c r="I78" i="10"/>
  <c r="I75" i="10"/>
  <c r="I72" i="10"/>
  <c r="I69" i="10"/>
  <c r="I66" i="10"/>
  <c r="I63" i="10"/>
  <c r="I60" i="10"/>
  <c r="I57" i="10"/>
  <c r="I54" i="10"/>
  <c r="I51" i="10"/>
  <c r="I48" i="10"/>
  <c r="I45" i="10"/>
  <c r="I42" i="10"/>
  <c r="I39" i="10"/>
  <c r="I36" i="10"/>
  <c r="I33" i="10"/>
  <c r="I30" i="10"/>
  <c r="I27" i="10"/>
  <c r="I24" i="10"/>
  <c r="I21" i="10"/>
  <c r="I18" i="10"/>
  <c r="I14" i="10"/>
  <c r="I11" i="10"/>
  <c r="B18" i="11"/>
  <c r="B21" i="11"/>
  <c r="L27" i="11"/>
  <c r="P11" i="15"/>
  <c r="B13" i="7"/>
  <c r="B16" i="7"/>
  <c r="B19" i="7"/>
  <c r="C16" i="6"/>
  <c r="C13" i="7"/>
  <c r="C14" i="7" s="1"/>
  <c r="C15" i="7" s="1"/>
  <c r="C16" i="7" s="1"/>
  <c r="C17" i="7" s="1"/>
  <c r="C18" i="7" s="1"/>
  <c r="C19" i="7" s="1"/>
  <c r="C20" i="7" s="1"/>
  <c r="C31" i="15" s="1"/>
  <c r="D31" i="15" s="1"/>
  <c r="F31" i="15" s="1"/>
  <c r="B14" i="7"/>
  <c r="B17" i="7"/>
  <c r="B17" i="12"/>
  <c r="B21" i="12"/>
  <c r="C37" i="12"/>
  <c r="L60" i="12"/>
  <c r="L62" i="12"/>
  <c r="L64" i="12"/>
  <c r="L66" i="12"/>
  <c r="L68" i="12"/>
  <c r="L70" i="12"/>
  <c r="L72" i="12"/>
  <c r="L74" i="12"/>
  <c r="L76" i="12"/>
  <c r="L78" i="12"/>
  <c r="L80" i="12"/>
  <c r="L82" i="12"/>
  <c r="L84" i="12"/>
  <c r="L86" i="12"/>
  <c r="L88" i="12"/>
  <c r="L90" i="12"/>
  <c r="L92" i="12"/>
  <c r="L94" i="12"/>
  <c r="L96" i="12"/>
  <c r="L406" i="12"/>
  <c r="L403" i="12"/>
  <c r="L400" i="12"/>
  <c r="L397" i="12"/>
  <c r="L394" i="12"/>
  <c r="L391" i="12"/>
  <c r="L388" i="12"/>
  <c r="L402" i="12"/>
  <c r="L393" i="12"/>
  <c r="L385" i="12"/>
  <c r="L382" i="12"/>
  <c r="L379" i="12"/>
  <c r="L376" i="12"/>
  <c r="L373" i="12"/>
  <c r="L370" i="12"/>
  <c r="L367" i="12"/>
  <c r="L364" i="12"/>
  <c r="L361" i="12"/>
  <c r="L358" i="12"/>
  <c r="L355" i="12"/>
  <c r="L352" i="12"/>
  <c r="L349" i="12"/>
  <c r="L346" i="12"/>
  <c r="L343" i="12"/>
  <c r="L340" i="12"/>
  <c r="L337" i="12"/>
  <c r="L334" i="12"/>
  <c r="L331" i="12"/>
  <c r="L328" i="12"/>
  <c r="L325" i="12"/>
  <c r="L322" i="12"/>
  <c r="L319" i="12"/>
  <c r="L316" i="12"/>
  <c r="L399" i="12"/>
  <c r="L398" i="12"/>
  <c r="L377" i="12"/>
  <c r="L372" i="12"/>
  <c r="L359" i="12"/>
  <c r="L354" i="12"/>
  <c r="L408" i="12"/>
  <c r="L369" i="12"/>
  <c r="L363" i="12"/>
  <c r="L357" i="12"/>
  <c r="L356" i="12"/>
  <c r="L344" i="12"/>
  <c r="L339" i="12"/>
  <c r="L326" i="12"/>
  <c r="L321" i="12"/>
  <c r="L314" i="12"/>
  <c r="L311" i="12"/>
  <c r="L308" i="12"/>
  <c r="L305" i="12"/>
  <c r="L302" i="12"/>
  <c r="L299" i="12"/>
  <c r="L404" i="12"/>
  <c r="L389" i="12"/>
  <c r="L384" i="12"/>
  <c r="L378" i="12"/>
  <c r="L371" i="12"/>
  <c r="L365" i="12"/>
  <c r="L350" i="12"/>
  <c r="L345" i="12"/>
  <c r="L405" i="12"/>
  <c r="L386" i="12"/>
  <c r="L347" i="12"/>
  <c r="L336" i="12"/>
  <c r="L330" i="12"/>
  <c r="L324" i="12"/>
  <c r="L323" i="12"/>
  <c r="L317" i="12"/>
  <c r="L303" i="12"/>
  <c r="L298" i="12"/>
  <c r="L395" i="12"/>
  <c r="L387" i="12"/>
  <c r="L374" i="12"/>
  <c r="L360" i="12"/>
  <c r="L407" i="12"/>
  <c r="L375" i="12"/>
  <c r="L366" i="12"/>
  <c r="L362" i="12"/>
  <c r="L353" i="12"/>
  <c r="L341" i="12"/>
  <c r="L333" i="12"/>
  <c r="L327" i="12"/>
  <c r="L320" i="12"/>
  <c r="L312" i="12"/>
  <c r="L307" i="12"/>
  <c r="L295" i="12"/>
  <c r="L292" i="12"/>
  <c r="L289" i="12"/>
  <c r="L286" i="12"/>
  <c r="L283" i="12"/>
  <c r="L280" i="12"/>
  <c r="L277" i="12"/>
  <c r="L274" i="12"/>
  <c r="L271" i="12"/>
  <c r="L268" i="12"/>
  <c r="L265" i="12"/>
  <c r="L262" i="12"/>
  <c r="L259" i="12"/>
  <c r="L396" i="12"/>
  <c r="L392" i="12"/>
  <c r="L390" i="12"/>
  <c r="L380" i="12"/>
  <c r="L342" i="12"/>
  <c r="L338" i="12"/>
  <c r="L332" i="12"/>
  <c r="L309" i="12"/>
  <c r="L304" i="12"/>
  <c r="L383" i="12"/>
  <c r="L301" i="12"/>
  <c r="L293" i="12"/>
  <c r="L287" i="12"/>
  <c r="L281" i="12"/>
  <c r="L275" i="12"/>
  <c r="L269" i="12"/>
  <c r="L263" i="12"/>
  <c r="L348" i="12"/>
  <c r="L329" i="12"/>
  <c r="L381" i="12"/>
  <c r="L318" i="12"/>
  <c r="L306" i="12"/>
  <c r="L296" i="12"/>
  <c r="L290" i="12"/>
  <c r="L284" i="12"/>
  <c r="L278" i="12"/>
  <c r="L272" i="12"/>
  <c r="L266" i="12"/>
  <c r="L260" i="12"/>
  <c r="L257" i="12"/>
  <c r="L254" i="12"/>
  <c r="L251" i="12"/>
  <c r="L248" i="12"/>
  <c r="L245" i="12"/>
  <c r="L242" i="12"/>
  <c r="L239" i="12"/>
  <c r="L236" i="12"/>
  <c r="L233" i="12"/>
  <c r="L230" i="12"/>
  <c r="L227" i="12"/>
  <c r="L224" i="12"/>
  <c r="L221" i="12"/>
  <c r="L218" i="12"/>
  <c r="L401" i="12"/>
  <c r="L335" i="12"/>
  <c r="L313" i="12"/>
  <c r="L300" i="12"/>
  <c r="L291" i="12"/>
  <c r="L285" i="12"/>
  <c r="L279" i="12"/>
  <c r="L273" i="12"/>
  <c r="L267" i="12"/>
  <c r="L261" i="12"/>
  <c r="L315" i="12"/>
  <c r="L212" i="12"/>
  <c r="L211" i="12"/>
  <c r="L203" i="12"/>
  <c r="L201" i="12"/>
  <c r="L198" i="12"/>
  <c r="L195" i="12"/>
  <c r="L192" i="12"/>
  <c r="L189" i="12"/>
  <c r="L186" i="12"/>
  <c r="L183" i="12"/>
  <c r="L180" i="12"/>
  <c r="L177" i="12"/>
  <c r="L174" i="12"/>
  <c r="L171" i="12"/>
  <c r="L168" i="12"/>
  <c r="L165" i="12"/>
  <c r="L162" i="12"/>
  <c r="L159" i="12"/>
  <c r="L156" i="12"/>
  <c r="L153" i="12"/>
  <c r="L150" i="12"/>
  <c r="L147" i="12"/>
  <c r="L144" i="12"/>
  <c r="L141" i="12"/>
  <c r="L138" i="12"/>
  <c r="L135" i="12"/>
  <c r="L132" i="12"/>
  <c r="L129" i="12"/>
  <c r="L126" i="12"/>
  <c r="L123" i="12"/>
  <c r="L120" i="12"/>
  <c r="L117" i="12"/>
  <c r="L114" i="12"/>
  <c r="L111" i="12"/>
  <c r="L108" i="12"/>
  <c r="L105" i="12"/>
  <c r="L102" i="12"/>
  <c r="L99" i="12"/>
  <c r="L310" i="12"/>
  <c r="L255" i="12"/>
  <c r="L249" i="12"/>
  <c r="L243" i="12"/>
  <c r="L237" i="12"/>
  <c r="L231" i="12"/>
  <c r="L225" i="12"/>
  <c r="L219" i="12"/>
  <c r="L210" i="12"/>
  <c r="L351" i="12"/>
  <c r="L207" i="12"/>
  <c r="L297" i="12"/>
  <c r="L252" i="12"/>
  <c r="L246" i="12"/>
  <c r="L240" i="12"/>
  <c r="L234" i="12"/>
  <c r="L228" i="12"/>
  <c r="L222" i="12"/>
  <c r="L216" i="12"/>
  <c r="L215" i="12"/>
  <c r="L214" i="12"/>
  <c r="L206" i="12"/>
  <c r="L205" i="12"/>
  <c r="L200" i="12"/>
  <c r="L197" i="12"/>
  <c r="L194" i="12"/>
  <c r="L191" i="12"/>
  <c r="L188" i="12"/>
  <c r="L185" i="12"/>
  <c r="L182" i="12"/>
  <c r="L179" i="12"/>
  <c r="L176" i="12"/>
  <c r="L173" i="12"/>
  <c r="L170" i="12"/>
  <c r="L167" i="12"/>
  <c r="L164" i="12"/>
  <c r="L161" i="12"/>
  <c r="L158" i="12"/>
  <c r="L155" i="12"/>
  <c r="L152" i="12"/>
  <c r="L149" i="12"/>
  <c r="L146" i="12"/>
  <c r="L143" i="12"/>
  <c r="L140" i="12"/>
  <c r="L137" i="12"/>
  <c r="L134" i="12"/>
  <c r="L131" i="12"/>
  <c r="L128" i="12"/>
  <c r="L125" i="12"/>
  <c r="L122" i="12"/>
  <c r="L119" i="12"/>
  <c r="L116" i="12"/>
  <c r="L113" i="12"/>
  <c r="L110" i="12"/>
  <c r="L107" i="12"/>
  <c r="L104" i="12"/>
  <c r="L101" i="12"/>
  <c r="L98" i="12"/>
  <c r="L368" i="12"/>
  <c r="L294" i="12"/>
  <c r="L258" i="12"/>
  <c r="L247" i="12"/>
  <c r="L229" i="12"/>
  <c r="L202" i="12"/>
  <c r="L196" i="12"/>
  <c r="L190" i="12"/>
  <c r="L184" i="12"/>
  <c r="L178" i="12"/>
  <c r="L172" i="12"/>
  <c r="L166" i="12"/>
  <c r="L160" i="12"/>
  <c r="L154" i="12"/>
  <c r="L148" i="12"/>
  <c r="L142" i="12"/>
  <c r="L136" i="12"/>
  <c r="L130" i="12"/>
  <c r="L124" i="12"/>
  <c r="L118" i="12"/>
  <c r="L112" i="12"/>
  <c r="L106" i="12"/>
  <c r="L100" i="12"/>
  <c r="L264" i="12"/>
  <c r="L250" i="12"/>
  <c r="L232" i="12"/>
  <c r="L209" i="12"/>
  <c r="L276" i="12"/>
  <c r="L256" i="12"/>
  <c r="L238" i="12"/>
  <c r="L220" i="12"/>
  <c r="L208" i="12"/>
  <c r="L199" i="12"/>
  <c r="L193" i="12"/>
  <c r="L187" i="12"/>
  <c r="L181" i="12"/>
  <c r="L175" i="12"/>
  <c r="L169" i="12"/>
  <c r="L163" i="12"/>
  <c r="L157" i="12"/>
  <c r="L151" i="12"/>
  <c r="L145" i="12"/>
  <c r="L139" i="12"/>
  <c r="L133" i="12"/>
  <c r="L127" i="12"/>
  <c r="L121" i="12"/>
  <c r="L115" i="12"/>
  <c r="L109" i="12"/>
  <c r="L103" i="12"/>
  <c r="L97" i="12"/>
  <c r="L58" i="12"/>
  <c r="L282" i="12"/>
  <c r="L241" i="12"/>
  <c r="L223" i="12"/>
  <c r="L213" i="12"/>
  <c r="L204" i="12"/>
  <c r="L217" i="12"/>
  <c r="L253" i="12"/>
  <c r="L270" i="12"/>
  <c r="L37" i="12"/>
  <c r="M37" i="12" s="1"/>
  <c r="L38" i="12"/>
  <c r="L39" i="12"/>
  <c r="L40" i="12"/>
  <c r="L41" i="12"/>
  <c r="L42" i="12"/>
  <c r="L43" i="12"/>
  <c r="L44" i="12"/>
  <c r="L45" i="12"/>
  <c r="L46" i="12"/>
  <c r="L47" i="12"/>
  <c r="L48" i="12"/>
  <c r="L49" i="12"/>
  <c r="L50" i="12"/>
  <c r="L51" i="12"/>
  <c r="L52" i="12"/>
  <c r="L53" i="12"/>
  <c r="L54" i="12"/>
  <c r="L55" i="12"/>
  <c r="L244" i="12"/>
  <c r="C77" i="15"/>
  <c r="D77" i="15" s="1"/>
  <c r="F77" i="15" s="1"/>
  <c r="B29" i="13"/>
  <c r="B30" i="13" s="1"/>
  <c r="B31" i="13" s="1"/>
  <c r="B32" i="13" s="1"/>
  <c r="B33" i="13" s="1"/>
  <c r="B34" i="13" s="1"/>
  <c r="B35" i="13" s="1"/>
  <c r="B36" i="13" s="1"/>
  <c r="B37" i="13" s="1"/>
  <c r="B38" i="13" s="1"/>
  <c r="P87" i="15"/>
  <c r="AA3" i="15" s="1"/>
  <c r="M38" i="12" l="1"/>
  <c r="K38" i="12"/>
  <c r="G15" i="7"/>
  <c r="H15" i="7" s="1"/>
  <c r="W10" i="15"/>
  <c r="X10" i="15" s="1"/>
  <c r="Z10" i="15" s="1"/>
  <c r="Z12" i="15" s="1"/>
  <c r="S3" i="15" s="1"/>
  <c r="C18" i="6"/>
  <c r="W11" i="15" s="1"/>
  <c r="X11" i="15" s="1"/>
  <c r="Z11" i="15" s="1"/>
  <c r="G10" i="10"/>
  <c r="B39" i="13"/>
  <c r="B40" i="13" s="1"/>
  <c r="B41" i="13" s="1"/>
  <c r="B42" i="13" s="1"/>
  <c r="B43" i="13" s="1"/>
  <c r="B44" i="13" s="1"/>
  <c r="B45" i="13" s="1"/>
  <c r="C81" i="15" s="1"/>
  <c r="C80" i="15"/>
  <c r="D80" i="15" s="1"/>
  <c r="F80" i="15" s="1"/>
  <c r="W34" i="15"/>
  <c r="X34" i="15" s="1"/>
  <c r="Z34" i="15" s="1"/>
  <c r="C37" i="9"/>
  <c r="C34" i="9"/>
  <c r="C31" i="9"/>
  <c r="C28" i="9"/>
  <c r="C25" i="9"/>
  <c r="C22" i="9"/>
  <c r="C19" i="9"/>
  <c r="C39" i="9"/>
  <c r="C36" i="9"/>
  <c r="C33" i="9"/>
  <c r="C30" i="9"/>
  <c r="C27" i="9"/>
  <c r="C24" i="9"/>
  <c r="C21" i="9"/>
  <c r="C18" i="9"/>
  <c r="C38" i="9"/>
  <c r="C35" i="9"/>
  <c r="C32" i="9"/>
  <c r="C29" i="9"/>
  <c r="C26" i="9"/>
  <c r="C23" i="9"/>
  <c r="C20" i="9"/>
  <c r="C17" i="9"/>
  <c r="M34" i="15"/>
  <c r="N34" i="15" s="1"/>
  <c r="P34" i="15" s="1"/>
  <c r="H10" i="8"/>
  <c r="G11" i="10"/>
  <c r="B361" i="11"/>
  <c r="B358" i="11"/>
  <c r="B355" i="11"/>
  <c r="B357" i="11"/>
  <c r="B351" i="11"/>
  <c r="B348" i="11"/>
  <c r="B345" i="11"/>
  <c r="B342" i="11"/>
  <c r="B339" i="11"/>
  <c r="B336" i="11"/>
  <c r="B333" i="11"/>
  <c r="B330" i="11"/>
  <c r="B327" i="11"/>
  <c r="B324" i="11"/>
  <c r="B321" i="11"/>
  <c r="B318" i="11"/>
  <c r="B315" i="11"/>
  <c r="B312" i="11"/>
  <c r="B309" i="11"/>
  <c r="B306" i="11"/>
  <c r="B303" i="11"/>
  <c r="B300" i="11"/>
  <c r="B297" i="11"/>
  <c r="B294" i="11"/>
  <c r="B291" i="11"/>
  <c r="B288" i="11"/>
  <c r="B285" i="11"/>
  <c r="B282" i="11"/>
  <c r="B279" i="11"/>
  <c r="B276" i="11"/>
  <c r="B273" i="11"/>
  <c r="B270" i="11"/>
  <c r="B267" i="11"/>
  <c r="B264" i="11"/>
  <c r="B261" i="11"/>
  <c r="B258" i="11"/>
  <c r="B255" i="11"/>
  <c r="B252" i="11"/>
  <c r="B249" i="11"/>
  <c r="B246" i="11"/>
  <c r="B243" i="11"/>
  <c r="B240" i="11"/>
  <c r="B237" i="11"/>
  <c r="B234" i="11"/>
  <c r="B231" i="11"/>
  <c r="B228" i="11"/>
  <c r="B225" i="11"/>
  <c r="B222" i="11"/>
  <c r="B219" i="11"/>
  <c r="B216" i="11"/>
  <c r="B213" i="11"/>
  <c r="B210" i="11"/>
  <c r="B207" i="11"/>
  <c r="B204" i="11"/>
  <c r="B201" i="11"/>
  <c r="B198" i="11"/>
  <c r="B195" i="11"/>
  <c r="B192" i="11"/>
  <c r="B362" i="11"/>
  <c r="B353" i="11"/>
  <c r="B360" i="11"/>
  <c r="B352" i="11"/>
  <c r="B349" i="11"/>
  <c r="B346" i="11"/>
  <c r="B343" i="11"/>
  <c r="B340" i="11"/>
  <c r="B337" i="11"/>
  <c r="B334" i="11"/>
  <c r="B331" i="11"/>
  <c r="B328" i="11"/>
  <c r="B325" i="11"/>
  <c r="B322" i="11"/>
  <c r="B319" i="11"/>
  <c r="B316" i="11"/>
  <c r="B313" i="11"/>
  <c r="B310" i="11"/>
  <c r="B307" i="11"/>
  <c r="B304" i="11"/>
  <c r="B301" i="11"/>
  <c r="B298" i="11"/>
  <c r="B295" i="11"/>
  <c r="B292" i="11"/>
  <c r="B289" i="11"/>
  <c r="B286" i="11"/>
  <c r="B283" i="11"/>
  <c r="B280" i="11"/>
  <c r="B277" i="11"/>
  <c r="B274" i="11"/>
  <c r="B271" i="11"/>
  <c r="B268" i="11"/>
  <c r="B265" i="11"/>
  <c r="B262" i="11"/>
  <c r="B259" i="11"/>
  <c r="B256" i="11"/>
  <c r="B253" i="11"/>
  <c r="B250" i="11"/>
  <c r="B247" i="11"/>
  <c r="B244" i="11"/>
  <c r="B241" i="11"/>
  <c r="B238" i="11"/>
  <c r="B235" i="11"/>
  <c r="B232" i="11"/>
  <c r="B229" i="11"/>
  <c r="B226" i="11"/>
  <c r="B223" i="11"/>
  <c r="B356" i="11"/>
  <c r="B212" i="11"/>
  <c r="B203" i="11"/>
  <c r="B194" i="11"/>
  <c r="B188" i="11"/>
  <c r="B185" i="11"/>
  <c r="B182" i="11"/>
  <c r="B179" i="11"/>
  <c r="B176" i="11"/>
  <c r="B173" i="11"/>
  <c r="B170" i="11"/>
  <c r="B167" i="11"/>
  <c r="B164" i="11"/>
  <c r="B161" i="11"/>
  <c r="B158" i="11"/>
  <c r="B155" i="11"/>
  <c r="B152" i="11"/>
  <c r="B149" i="11"/>
  <c r="B146" i="11"/>
  <c r="B143" i="11"/>
  <c r="B140" i="11"/>
  <c r="B137" i="11"/>
  <c r="B134" i="11"/>
  <c r="B127" i="11"/>
  <c r="B120" i="11"/>
  <c r="B117" i="11"/>
  <c r="B114" i="11"/>
  <c r="B111" i="11"/>
  <c r="B108" i="11"/>
  <c r="B105" i="11"/>
  <c r="B102" i="11"/>
  <c r="B99" i="11"/>
  <c r="B94" i="11"/>
  <c r="B92" i="11"/>
  <c r="K86" i="11"/>
  <c r="B85" i="11"/>
  <c r="K83" i="11"/>
  <c r="B82" i="11"/>
  <c r="B354" i="11"/>
  <c r="B220" i="11"/>
  <c r="B217" i="11"/>
  <c r="B208" i="11"/>
  <c r="B199" i="11"/>
  <c r="B190" i="11"/>
  <c r="B350" i="11"/>
  <c r="B347" i="11"/>
  <c r="B344" i="11"/>
  <c r="B341" i="11"/>
  <c r="B338" i="11"/>
  <c r="B335" i="11"/>
  <c r="B332" i="11"/>
  <c r="B329" i="11"/>
  <c r="B326" i="11"/>
  <c r="B323" i="11"/>
  <c r="B320" i="11"/>
  <c r="B317" i="11"/>
  <c r="B314" i="11"/>
  <c r="B311" i="11"/>
  <c r="B308" i="11"/>
  <c r="B305" i="11"/>
  <c r="B302" i="11"/>
  <c r="B299" i="11"/>
  <c r="B296" i="11"/>
  <c r="B293" i="11"/>
  <c r="B290" i="11"/>
  <c r="B287" i="11"/>
  <c r="B284" i="11"/>
  <c r="B281" i="11"/>
  <c r="B278" i="11"/>
  <c r="B275" i="11"/>
  <c r="B272" i="11"/>
  <c r="B269" i="11"/>
  <c r="B266" i="11"/>
  <c r="B263" i="11"/>
  <c r="B260" i="11"/>
  <c r="B257" i="11"/>
  <c r="B254" i="11"/>
  <c r="B251" i="11"/>
  <c r="B248" i="11"/>
  <c r="B245" i="11"/>
  <c r="B242" i="11"/>
  <c r="B239" i="11"/>
  <c r="B236" i="11"/>
  <c r="B233" i="11"/>
  <c r="B230" i="11"/>
  <c r="B227" i="11"/>
  <c r="B224" i="11"/>
  <c r="B221" i="11"/>
  <c r="B215" i="11"/>
  <c r="B206" i="11"/>
  <c r="B197" i="11"/>
  <c r="B189" i="11"/>
  <c r="B186" i="11"/>
  <c r="B183" i="11"/>
  <c r="B180" i="11"/>
  <c r="B177" i="11"/>
  <c r="B174" i="11"/>
  <c r="B171" i="11"/>
  <c r="B168" i="11"/>
  <c r="B165" i="11"/>
  <c r="B162" i="11"/>
  <c r="B159" i="11"/>
  <c r="B156" i="11"/>
  <c r="B153" i="11"/>
  <c r="B150" i="11"/>
  <c r="B147" i="11"/>
  <c r="B144" i="11"/>
  <c r="B141" i="11"/>
  <c r="B138" i="11"/>
  <c r="B135" i="11"/>
  <c r="B130" i="11"/>
  <c r="B128" i="11"/>
  <c r="B121" i="11"/>
  <c r="B118" i="11"/>
  <c r="B115" i="11"/>
  <c r="B112" i="11"/>
  <c r="B109" i="11"/>
  <c r="B106" i="11"/>
  <c r="B103" i="11"/>
  <c r="B100" i="11"/>
  <c r="B97" i="11"/>
  <c r="B90" i="11"/>
  <c r="B88" i="11"/>
  <c r="B86" i="11"/>
  <c r="K84" i="11"/>
  <c r="B83" i="11"/>
  <c r="K81" i="11"/>
  <c r="B80" i="11"/>
  <c r="K78" i="11"/>
  <c r="B77" i="11"/>
  <c r="K75" i="11"/>
  <c r="B74" i="11"/>
  <c r="K72" i="11"/>
  <c r="B71" i="11"/>
  <c r="K69" i="11"/>
  <c r="B68" i="11"/>
  <c r="K66" i="11"/>
  <c r="B65" i="11"/>
  <c r="K63" i="11"/>
  <c r="B62" i="11"/>
  <c r="K60" i="11"/>
  <c r="B59" i="11"/>
  <c r="B209" i="11"/>
  <c r="B200" i="11"/>
  <c r="B191" i="11"/>
  <c r="B122" i="11"/>
  <c r="B119" i="11"/>
  <c r="B116" i="11"/>
  <c r="B113" i="11"/>
  <c r="B110" i="11"/>
  <c r="B107" i="11"/>
  <c r="B104" i="11"/>
  <c r="B101" i="11"/>
  <c r="B96" i="11"/>
  <c r="B95" i="11"/>
  <c r="B93" i="11"/>
  <c r="K77" i="11"/>
  <c r="B73" i="11"/>
  <c r="K68" i="11"/>
  <c r="B64" i="11"/>
  <c r="K59" i="11"/>
  <c r="B205" i="11"/>
  <c r="B196" i="11"/>
  <c r="B132" i="11"/>
  <c r="B123" i="11"/>
  <c r="B98" i="11"/>
  <c r="K85" i="11"/>
  <c r="B81" i="11"/>
  <c r="K76" i="11"/>
  <c r="B72" i="11"/>
  <c r="K67" i="11"/>
  <c r="B63" i="11"/>
  <c r="K58" i="11"/>
  <c r="B359" i="11"/>
  <c r="B187" i="11"/>
  <c r="B184" i="11"/>
  <c r="B181" i="11"/>
  <c r="B178" i="11"/>
  <c r="B175" i="11"/>
  <c r="B172" i="11"/>
  <c r="B169" i="11"/>
  <c r="B166" i="11"/>
  <c r="B163" i="11"/>
  <c r="B160" i="11"/>
  <c r="B157" i="11"/>
  <c r="B154" i="11"/>
  <c r="B151" i="11"/>
  <c r="B148" i="11"/>
  <c r="B145" i="11"/>
  <c r="B142" i="11"/>
  <c r="B139" i="11"/>
  <c r="B136" i="11"/>
  <c r="B133" i="11"/>
  <c r="B126" i="11"/>
  <c r="B84" i="11"/>
  <c r="B78" i="11"/>
  <c r="K73" i="11"/>
  <c r="B69" i="11"/>
  <c r="K64" i="11"/>
  <c r="B60" i="11"/>
  <c r="K57" i="11"/>
  <c r="B56" i="11"/>
  <c r="K54" i="11"/>
  <c r="B53" i="11"/>
  <c r="K51" i="11"/>
  <c r="B50" i="11"/>
  <c r="K48" i="11"/>
  <c r="B47" i="11"/>
  <c r="K45" i="11"/>
  <c r="B44" i="11"/>
  <c r="K42" i="11"/>
  <c r="B41" i="11"/>
  <c r="K39" i="11"/>
  <c r="B38" i="11"/>
  <c r="K36" i="11"/>
  <c r="B35" i="11"/>
  <c r="K33" i="11"/>
  <c r="B32" i="11"/>
  <c r="K30" i="11"/>
  <c r="B29" i="11"/>
  <c r="K27" i="11"/>
  <c r="B89" i="11"/>
  <c r="B87" i="11"/>
  <c r="K80" i="11"/>
  <c r="B76" i="11"/>
  <c r="K71" i="11"/>
  <c r="B67" i="11"/>
  <c r="K62" i="11"/>
  <c r="B202" i="11"/>
  <c r="B129" i="11"/>
  <c r="B79" i="11"/>
  <c r="K65" i="11"/>
  <c r="B218" i="11"/>
  <c r="B211" i="11"/>
  <c r="B131" i="11"/>
  <c r="B125" i="11"/>
  <c r="B70" i="11"/>
  <c r="B91" i="11"/>
  <c r="K70" i="11"/>
  <c r="B75" i="11"/>
  <c r="K61" i="11"/>
  <c r="B57" i="11"/>
  <c r="K55" i="11"/>
  <c r="B54" i="11"/>
  <c r="K52" i="11"/>
  <c r="B51" i="11"/>
  <c r="K49" i="11"/>
  <c r="B48" i="11"/>
  <c r="K46" i="11"/>
  <c r="B45" i="11"/>
  <c r="K43" i="11"/>
  <c r="B42" i="11"/>
  <c r="K40" i="11"/>
  <c r="B39" i="11"/>
  <c r="K37" i="11"/>
  <c r="B36" i="11"/>
  <c r="K34" i="11"/>
  <c r="B33" i="11"/>
  <c r="K31" i="11"/>
  <c r="B30" i="11"/>
  <c r="K28" i="11"/>
  <c r="B27" i="11"/>
  <c r="K82" i="11"/>
  <c r="K79" i="11"/>
  <c r="B66" i="11"/>
  <c r="K56" i="11"/>
  <c r="K53" i="11"/>
  <c r="K50" i="11"/>
  <c r="K47" i="11"/>
  <c r="K44" i="11"/>
  <c r="K41" i="11"/>
  <c r="K38" i="11"/>
  <c r="K35" i="11"/>
  <c r="K32" i="11"/>
  <c r="K29" i="11"/>
  <c r="B193" i="11"/>
  <c r="K74" i="11"/>
  <c r="B61" i="11"/>
  <c r="B214" i="11"/>
  <c r="B124" i="11"/>
  <c r="B58" i="11"/>
  <c r="B55" i="11"/>
  <c r="B52" i="11"/>
  <c r="B49" i="11"/>
  <c r="B46" i="11"/>
  <c r="B43" i="11"/>
  <c r="B40" i="11"/>
  <c r="B37" i="11"/>
  <c r="B34" i="11"/>
  <c r="B31" i="11"/>
  <c r="B28" i="11"/>
  <c r="P12" i="15"/>
  <c r="B407" i="12"/>
  <c r="B404" i="12"/>
  <c r="B401" i="12"/>
  <c r="B398" i="12"/>
  <c r="B395" i="12"/>
  <c r="B392" i="12"/>
  <c r="B389" i="12"/>
  <c r="B400" i="12"/>
  <c r="B391" i="12"/>
  <c r="B403" i="12"/>
  <c r="B402" i="12"/>
  <c r="B390" i="12"/>
  <c r="B382" i="12"/>
  <c r="B377" i="12"/>
  <c r="B372" i="12"/>
  <c r="B364" i="12"/>
  <c r="B359" i="12"/>
  <c r="B354" i="12"/>
  <c r="B406" i="12"/>
  <c r="B397" i="12"/>
  <c r="B388" i="12"/>
  <c r="B387" i="12"/>
  <c r="B381" i="12"/>
  <c r="B375" i="12"/>
  <c r="B374" i="12"/>
  <c r="B368" i="12"/>
  <c r="B362" i="12"/>
  <c r="B361" i="12"/>
  <c r="B355" i="12"/>
  <c r="B349" i="12"/>
  <c r="B344" i="12"/>
  <c r="B339" i="12"/>
  <c r="B331" i="12"/>
  <c r="B326" i="12"/>
  <c r="B321" i="12"/>
  <c r="B408" i="12"/>
  <c r="B383" i="12"/>
  <c r="B376" i="12"/>
  <c r="B370" i="12"/>
  <c r="B350" i="12"/>
  <c r="B345" i="12"/>
  <c r="B396" i="12"/>
  <c r="B394" i="12"/>
  <c r="B366" i="12"/>
  <c r="B357" i="12"/>
  <c r="B352" i="12"/>
  <c r="B351" i="12"/>
  <c r="B335" i="12"/>
  <c r="B329" i="12"/>
  <c r="B328" i="12"/>
  <c r="B322" i="12"/>
  <c r="B316" i="12"/>
  <c r="B308" i="12"/>
  <c r="B303" i="12"/>
  <c r="B298" i="12"/>
  <c r="B296" i="12"/>
  <c r="B293" i="12"/>
  <c r="B290" i="12"/>
  <c r="B287" i="12"/>
  <c r="B284" i="12"/>
  <c r="B281" i="12"/>
  <c r="B278" i="12"/>
  <c r="B275" i="12"/>
  <c r="B272" i="12"/>
  <c r="B269" i="12"/>
  <c r="B266" i="12"/>
  <c r="B263" i="12"/>
  <c r="B260" i="12"/>
  <c r="B405" i="12"/>
  <c r="B384" i="12"/>
  <c r="B380" i="12"/>
  <c r="B371" i="12"/>
  <c r="B367" i="12"/>
  <c r="B358" i="12"/>
  <c r="B399" i="12"/>
  <c r="B393" i="12"/>
  <c r="B386" i="12"/>
  <c r="B373" i="12"/>
  <c r="B346" i="12"/>
  <c r="B338" i="12"/>
  <c r="B332" i="12"/>
  <c r="B325" i="12"/>
  <c r="B319" i="12"/>
  <c r="B312" i="12"/>
  <c r="B307" i="12"/>
  <c r="B299" i="12"/>
  <c r="B369" i="12"/>
  <c r="B360" i="12"/>
  <c r="B356" i="12"/>
  <c r="B347" i="12"/>
  <c r="B337" i="12"/>
  <c r="B318" i="12"/>
  <c r="B314" i="12"/>
  <c r="B309" i="12"/>
  <c r="B304" i="12"/>
  <c r="B295" i="12"/>
  <c r="B292" i="12"/>
  <c r="B289" i="12"/>
  <c r="B286" i="12"/>
  <c r="B283" i="12"/>
  <c r="B280" i="12"/>
  <c r="B277" i="12"/>
  <c r="B274" i="12"/>
  <c r="B271" i="12"/>
  <c r="B268" i="12"/>
  <c r="B265" i="12"/>
  <c r="B262" i="12"/>
  <c r="B259" i="12"/>
  <c r="B330" i="12"/>
  <c r="B323" i="12"/>
  <c r="B306" i="12"/>
  <c r="B258" i="12"/>
  <c r="B255" i="12"/>
  <c r="B252" i="12"/>
  <c r="B249" i="12"/>
  <c r="B246" i="12"/>
  <c r="B243" i="12"/>
  <c r="B240" i="12"/>
  <c r="B237" i="12"/>
  <c r="B234" i="12"/>
  <c r="B231" i="12"/>
  <c r="B228" i="12"/>
  <c r="B225" i="12"/>
  <c r="B222" i="12"/>
  <c r="B219" i="12"/>
  <c r="B216" i="12"/>
  <c r="B213" i="12"/>
  <c r="B210" i="12"/>
  <c r="B207" i="12"/>
  <c r="B204" i="12"/>
  <c r="B379" i="12"/>
  <c r="B353" i="12"/>
  <c r="B340" i="12"/>
  <c r="B313" i="12"/>
  <c r="B378" i="12"/>
  <c r="B348" i="12"/>
  <c r="B336" i="12"/>
  <c r="B324" i="12"/>
  <c r="B317" i="12"/>
  <c r="B311" i="12"/>
  <c r="B301" i="12"/>
  <c r="B385" i="12"/>
  <c r="B341" i="12"/>
  <c r="B334" i="12"/>
  <c r="B305" i="12"/>
  <c r="B257" i="12"/>
  <c r="B254" i="12"/>
  <c r="B251" i="12"/>
  <c r="B248" i="12"/>
  <c r="B245" i="12"/>
  <c r="B242" i="12"/>
  <c r="B239" i="12"/>
  <c r="B236" i="12"/>
  <c r="B233" i="12"/>
  <c r="B230" i="12"/>
  <c r="B227" i="12"/>
  <c r="B224" i="12"/>
  <c r="B221" i="12"/>
  <c r="B218" i="12"/>
  <c r="B215" i="12"/>
  <c r="B212" i="12"/>
  <c r="B209" i="12"/>
  <c r="B206" i="12"/>
  <c r="B342" i="12"/>
  <c r="B297" i="12"/>
  <c r="B285" i="12"/>
  <c r="B273" i="12"/>
  <c r="B261" i="12"/>
  <c r="B256" i="12"/>
  <c r="B250" i="12"/>
  <c r="B244" i="12"/>
  <c r="B238" i="12"/>
  <c r="B232" i="12"/>
  <c r="B226" i="12"/>
  <c r="B220" i="12"/>
  <c r="B365" i="12"/>
  <c r="B320" i="12"/>
  <c r="B315" i="12"/>
  <c r="B302" i="12"/>
  <c r="B294" i="12"/>
  <c r="B282" i="12"/>
  <c r="B270" i="12"/>
  <c r="B310" i="12"/>
  <c r="B291" i="12"/>
  <c r="B279" i="12"/>
  <c r="B267" i="12"/>
  <c r="B253" i="12"/>
  <c r="B247" i="12"/>
  <c r="B241" i="12"/>
  <c r="B235" i="12"/>
  <c r="B229" i="12"/>
  <c r="B223" i="12"/>
  <c r="B217" i="12"/>
  <c r="B214" i="12"/>
  <c r="B205" i="12"/>
  <c r="B202" i="12"/>
  <c r="B199" i="12"/>
  <c r="B196" i="12"/>
  <c r="B193" i="12"/>
  <c r="B190" i="12"/>
  <c r="B187" i="12"/>
  <c r="B184" i="12"/>
  <c r="B181" i="12"/>
  <c r="B178" i="12"/>
  <c r="B175" i="12"/>
  <c r="B172" i="12"/>
  <c r="B169" i="12"/>
  <c r="B166" i="12"/>
  <c r="B163" i="12"/>
  <c r="B160" i="12"/>
  <c r="B157" i="12"/>
  <c r="B154" i="12"/>
  <c r="B151" i="12"/>
  <c r="B148" i="12"/>
  <c r="B145" i="12"/>
  <c r="B142" i="12"/>
  <c r="B139" i="12"/>
  <c r="B136" i="12"/>
  <c r="B133" i="12"/>
  <c r="B130" i="12"/>
  <c r="B127" i="12"/>
  <c r="B124" i="12"/>
  <c r="B121" i="12"/>
  <c r="B118" i="12"/>
  <c r="B115" i="12"/>
  <c r="B112" i="12"/>
  <c r="B109" i="12"/>
  <c r="B106" i="12"/>
  <c r="B103" i="12"/>
  <c r="B100"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333" i="12"/>
  <c r="B288" i="12"/>
  <c r="B276" i="12"/>
  <c r="B264" i="12"/>
  <c r="B343" i="12"/>
  <c r="B327" i="12"/>
  <c r="B363" i="12"/>
  <c r="B200" i="12"/>
  <c r="B194" i="12"/>
  <c r="B188" i="12"/>
  <c r="B182" i="12"/>
  <c r="B176" i="12"/>
  <c r="B170" i="12"/>
  <c r="B164" i="12"/>
  <c r="B158" i="12"/>
  <c r="B152" i="12"/>
  <c r="B146" i="12"/>
  <c r="B140" i="12"/>
  <c r="B56" i="12"/>
  <c r="B55" i="12"/>
  <c r="B54" i="12"/>
  <c r="B53" i="12"/>
  <c r="B52" i="12"/>
  <c r="B51" i="12"/>
  <c r="B50" i="12"/>
  <c r="B49" i="12"/>
  <c r="B48" i="12"/>
  <c r="B47" i="12"/>
  <c r="B46" i="12"/>
  <c r="B45" i="12"/>
  <c r="B44" i="12"/>
  <c r="B43" i="12"/>
  <c r="B42" i="12"/>
  <c r="B41" i="12"/>
  <c r="B40" i="12"/>
  <c r="B39" i="12"/>
  <c r="B38" i="12"/>
  <c r="B37" i="12"/>
  <c r="B211" i="12"/>
  <c r="B203" i="12"/>
  <c r="B197" i="12"/>
  <c r="B191" i="12"/>
  <c r="B185" i="12"/>
  <c r="B179" i="12"/>
  <c r="B173" i="12"/>
  <c r="B167" i="12"/>
  <c r="B161" i="12"/>
  <c r="B155" i="12"/>
  <c r="B149" i="12"/>
  <c r="B143" i="12"/>
  <c r="B137" i="12"/>
  <c r="B131" i="12"/>
  <c r="B125" i="12"/>
  <c r="B119" i="12"/>
  <c r="B113" i="12"/>
  <c r="B107" i="12"/>
  <c r="B101" i="12"/>
  <c r="B198" i="12"/>
  <c r="B180" i="12"/>
  <c r="B162" i="12"/>
  <c r="B144" i="12"/>
  <c r="B134" i="12"/>
  <c r="B122" i="12"/>
  <c r="B110" i="12"/>
  <c r="B98" i="12"/>
  <c r="B201" i="12"/>
  <c r="B183" i="12"/>
  <c r="B165" i="12"/>
  <c r="B147" i="12"/>
  <c r="B129" i="12"/>
  <c r="B117" i="12"/>
  <c r="B105" i="12"/>
  <c r="B189" i="12"/>
  <c r="B171" i="12"/>
  <c r="B153" i="12"/>
  <c r="B128" i="12"/>
  <c r="B116" i="12"/>
  <c r="B104" i="12"/>
  <c r="B208" i="12"/>
  <c r="B192" i="12"/>
  <c r="B174" i="12"/>
  <c r="B156" i="12"/>
  <c r="B138" i="12"/>
  <c r="B135" i="12"/>
  <c r="B123" i="12"/>
  <c r="B111" i="12"/>
  <c r="B99" i="12"/>
  <c r="B195" i="12"/>
  <c r="B141" i="12"/>
  <c r="B132" i="12"/>
  <c r="B150" i="12"/>
  <c r="B102" i="12"/>
  <c r="B168" i="12"/>
  <c r="B114" i="12"/>
  <c r="B300" i="12"/>
  <c r="B177" i="12"/>
  <c r="B120" i="12"/>
  <c r="B159" i="12"/>
  <c r="B108" i="12"/>
  <c r="B126" i="12"/>
  <c r="B186" i="12"/>
  <c r="J11" i="10"/>
  <c r="J38" i="12"/>
  <c r="L409" i="12"/>
  <c r="J37" i="12"/>
  <c r="H16" i="7" l="1"/>
  <c r="G16" i="7"/>
  <c r="P16" i="15"/>
  <c r="G126" i="12"/>
  <c r="G128" i="12"/>
  <c r="G167" i="12"/>
  <c r="F47" i="12"/>
  <c r="G47" i="12" s="1"/>
  <c r="G264" i="12"/>
  <c r="F77" i="12"/>
  <c r="G77" i="12" s="1"/>
  <c r="F95" i="12"/>
  <c r="G95" i="12" s="1"/>
  <c r="G127" i="12"/>
  <c r="G199" i="12"/>
  <c r="G232" i="12"/>
  <c r="G248" i="12"/>
  <c r="G379" i="12"/>
  <c r="G255" i="12"/>
  <c r="G304" i="12"/>
  <c r="G319" i="12"/>
  <c r="G269" i="12"/>
  <c r="G351" i="12"/>
  <c r="G321" i="12"/>
  <c r="G402" i="12"/>
  <c r="G150" i="12"/>
  <c r="G208" i="12"/>
  <c r="G183" i="12"/>
  <c r="G113" i="12"/>
  <c r="G185" i="12"/>
  <c r="F44" i="12"/>
  <c r="G44" i="12" s="1"/>
  <c r="F56" i="12"/>
  <c r="G56" i="12" s="1"/>
  <c r="G363" i="12"/>
  <c r="F62" i="12"/>
  <c r="G62" i="12" s="1"/>
  <c r="F74" i="12"/>
  <c r="G74" i="12" s="1"/>
  <c r="F86" i="12"/>
  <c r="G86" i="12" s="1"/>
  <c r="G100" i="12"/>
  <c r="G136" i="12"/>
  <c r="G172" i="12"/>
  <c r="G214" i="12"/>
  <c r="G270" i="12"/>
  <c r="G250" i="12"/>
  <c r="G221" i="12"/>
  <c r="G257" i="12"/>
  <c r="G313" i="12"/>
  <c r="G228" i="12"/>
  <c r="G323" i="12"/>
  <c r="G289" i="12"/>
  <c r="G299" i="12"/>
  <c r="G358" i="12"/>
  <c r="G278" i="12"/>
  <c r="G328" i="12"/>
  <c r="G376" i="12"/>
  <c r="G368" i="12"/>
  <c r="G377" i="12"/>
  <c r="G404" i="12"/>
  <c r="J12" i="10"/>
  <c r="H12" i="10"/>
  <c r="G177" i="12"/>
  <c r="G132" i="12"/>
  <c r="G135" i="12"/>
  <c r="G104" i="12"/>
  <c r="G105" i="12"/>
  <c r="G201" i="12"/>
  <c r="G162" i="12"/>
  <c r="G119" i="12"/>
  <c r="G155" i="12"/>
  <c r="G191" i="12"/>
  <c r="G39" i="12"/>
  <c r="F39" i="12"/>
  <c r="F45" i="12"/>
  <c r="G45" i="12" s="1"/>
  <c r="F51" i="12"/>
  <c r="G51" i="12" s="1"/>
  <c r="G140" i="12"/>
  <c r="G176" i="12"/>
  <c r="G327" i="12"/>
  <c r="G57" i="12"/>
  <c r="F57" i="12"/>
  <c r="F63" i="12"/>
  <c r="G63" i="12" s="1"/>
  <c r="F69" i="12"/>
  <c r="G69" i="12" s="1"/>
  <c r="F75" i="12"/>
  <c r="G75" i="12" s="1"/>
  <c r="F81" i="12"/>
  <c r="G81" i="12" s="1"/>
  <c r="G87" i="12"/>
  <c r="F87" i="12"/>
  <c r="F93" i="12"/>
  <c r="G93" i="12" s="1"/>
  <c r="G103" i="12"/>
  <c r="G121" i="12"/>
  <c r="G139" i="12"/>
  <c r="G157" i="12"/>
  <c r="G175" i="12"/>
  <c r="G193" i="12"/>
  <c r="G217" i="12"/>
  <c r="G253" i="12"/>
  <c r="G282" i="12"/>
  <c r="G220" i="12"/>
  <c r="G256" i="12"/>
  <c r="G206" i="12"/>
  <c r="G224" i="12"/>
  <c r="G242" i="12"/>
  <c r="G305" i="12"/>
  <c r="G317" i="12"/>
  <c r="G340" i="12"/>
  <c r="G213" i="12"/>
  <c r="G231" i="12"/>
  <c r="G249" i="12"/>
  <c r="G330" i="12"/>
  <c r="G274" i="12"/>
  <c r="G292" i="12"/>
  <c r="G337" i="12"/>
  <c r="G307" i="12"/>
  <c r="G346" i="12"/>
  <c r="G367" i="12"/>
  <c r="G263" i="12"/>
  <c r="G281" i="12"/>
  <c r="G298" i="12"/>
  <c r="G329" i="12"/>
  <c r="G394" i="12"/>
  <c r="G383" i="12"/>
  <c r="G344" i="12"/>
  <c r="G374" i="12"/>
  <c r="G406" i="12"/>
  <c r="G382" i="12"/>
  <c r="G389" i="12"/>
  <c r="G407" i="12"/>
  <c r="E17" i="9"/>
  <c r="M39" i="12"/>
  <c r="K39" i="12"/>
  <c r="J39" i="12" s="1"/>
  <c r="N38" i="12"/>
  <c r="O38" i="12" s="1"/>
  <c r="G114" i="12"/>
  <c r="G156" i="12"/>
  <c r="G110" i="12"/>
  <c r="G131" i="12"/>
  <c r="F41" i="12"/>
  <c r="G41" i="12" s="1"/>
  <c r="G188" i="12"/>
  <c r="F59" i="12"/>
  <c r="G59" i="12" s="1"/>
  <c r="G83" i="12"/>
  <c r="F83" i="12"/>
  <c r="G109" i="12"/>
  <c r="G181" i="12"/>
  <c r="G229" i="12"/>
  <c r="G302" i="12"/>
  <c r="G230" i="12"/>
  <c r="G336" i="12"/>
  <c r="G262" i="12"/>
  <c r="G356" i="12"/>
  <c r="G287" i="12"/>
  <c r="G345" i="12"/>
  <c r="G381" i="12"/>
  <c r="G120" i="12"/>
  <c r="G123" i="12"/>
  <c r="G189" i="12"/>
  <c r="G144" i="12"/>
  <c r="G149" i="12"/>
  <c r="F38" i="12"/>
  <c r="G38" i="12" s="1"/>
  <c r="F50" i="12"/>
  <c r="G50" i="12" s="1"/>
  <c r="G170" i="12"/>
  <c r="G333" i="12"/>
  <c r="F68" i="12"/>
  <c r="G68" i="12" s="1"/>
  <c r="F80" i="12"/>
  <c r="G80" i="12" s="1"/>
  <c r="F92" i="12"/>
  <c r="G92" i="12" s="1"/>
  <c r="G118" i="12"/>
  <c r="G154" i="12"/>
  <c r="G190" i="12"/>
  <c r="G247" i="12"/>
  <c r="G365" i="12"/>
  <c r="G342" i="12"/>
  <c r="G239" i="12"/>
  <c r="G311" i="12"/>
  <c r="G210" i="12"/>
  <c r="G246" i="12"/>
  <c r="G271" i="12"/>
  <c r="G318" i="12"/>
  <c r="G338" i="12"/>
  <c r="G260" i="12"/>
  <c r="G296" i="12"/>
  <c r="G366" i="12"/>
  <c r="G339" i="12"/>
  <c r="G397" i="12"/>
  <c r="G400" i="12"/>
  <c r="B363" i="11"/>
  <c r="D27" i="11"/>
  <c r="G186" i="12"/>
  <c r="G300" i="12"/>
  <c r="G141" i="12"/>
  <c r="G138" i="12"/>
  <c r="G116" i="12"/>
  <c r="G117" i="12"/>
  <c r="G98" i="12"/>
  <c r="G180" i="12"/>
  <c r="G125" i="12"/>
  <c r="G161" i="12"/>
  <c r="G197" i="12"/>
  <c r="F40" i="12"/>
  <c r="G40" i="12" s="1"/>
  <c r="F46" i="12"/>
  <c r="G46" i="12" s="1"/>
  <c r="F52" i="12"/>
  <c r="G52" i="12" s="1"/>
  <c r="G146" i="12"/>
  <c r="G182" i="12"/>
  <c r="G343" i="12"/>
  <c r="F58" i="12"/>
  <c r="G58" i="12" s="1"/>
  <c r="F64" i="12"/>
  <c r="G64" i="12" s="1"/>
  <c r="F70" i="12"/>
  <c r="G70" i="12" s="1"/>
  <c r="F76" i="12"/>
  <c r="G76" i="12" s="1"/>
  <c r="F82" i="12"/>
  <c r="G82" i="12" s="1"/>
  <c r="F88" i="12"/>
  <c r="G88" i="12" s="1"/>
  <c r="F94" i="12"/>
  <c r="G94" i="12" s="1"/>
  <c r="G106" i="12"/>
  <c r="G124" i="12"/>
  <c r="G142" i="12"/>
  <c r="G160" i="12"/>
  <c r="G178" i="12"/>
  <c r="G196" i="12"/>
  <c r="G223" i="12"/>
  <c r="G267" i="12"/>
  <c r="G294" i="12"/>
  <c r="G226" i="12"/>
  <c r="G261" i="12"/>
  <c r="G209" i="12"/>
  <c r="G227" i="12"/>
  <c r="G245" i="12"/>
  <c r="G334" i="12"/>
  <c r="G324" i="12"/>
  <c r="G353" i="12"/>
  <c r="G216" i="12"/>
  <c r="G234" i="12"/>
  <c r="G252" i="12"/>
  <c r="G259" i="12"/>
  <c r="G277" i="12"/>
  <c r="G295" i="12"/>
  <c r="G347" i="12"/>
  <c r="G312" i="12"/>
  <c r="G373" i="12"/>
  <c r="G371" i="12"/>
  <c r="G266" i="12"/>
  <c r="G284" i="12"/>
  <c r="G303" i="12"/>
  <c r="G335" i="12"/>
  <c r="G396" i="12"/>
  <c r="G408" i="12"/>
  <c r="G349" i="12"/>
  <c r="G375" i="12"/>
  <c r="G354" i="12"/>
  <c r="G390" i="12"/>
  <c r="G392" i="12"/>
  <c r="F2" i="15"/>
  <c r="Z3" i="15"/>
  <c r="P14" i="15"/>
  <c r="P15" i="15"/>
  <c r="G129" i="12"/>
  <c r="F53" i="12"/>
  <c r="G53" i="12" s="1"/>
  <c r="F71" i="12"/>
  <c r="G71" i="12" s="1"/>
  <c r="G145" i="12"/>
  <c r="G273" i="12"/>
  <c r="G219" i="12"/>
  <c r="G380" i="12"/>
  <c r="G359" i="12"/>
  <c r="G251" i="12"/>
  <c r="G398" i="12"/>
  <c r="G195" i="12"/>
  <c r="G198" i="12"/>
  <c r="G203" i="12"/>
  <c r="G152" i="12"/>
  <c r="G65" i="12"/>
  <c r="F65" i="12"/>
  <c r="G89" i="12"/>
  <c r="F89" i="12"/>
  <c r="G163" i="12"/>
  <c r="G279" i="12"/>
  <c r="G212" i="12"/>
  <c r="G341" i="12"/>
  <c r="G237" i="12"/>
  <c r="G280" i="12"/>
  <c r="G386" i="12"/>
  <c r="G308" i="12"/>
  <c r="G355" i="12"/>
  <c r="G395" i="12"/>
  <c r="N37" i="12"/>
  <c r="O37" i="12" s="1"/>
  <c r="G108" i="12"/>
  <c r="G168" i="12"/>
  <c r="G99" i="12"/>
  <c r="G174" i="12"/>
  <c r="G153" i="12"/>
  <c r="G147" i="12"/>
  <c r="G122" i="12"/>
  <c r="G101" i="12"/>
  <c r="G137" i="12"/>
  <c r="G173" i="12"/>
  <c r="G211" i="12"/>
  <c r="F42" i="12"/>
  <c r="G42" i="12" s="1"/>
  <c r="F48" i="12"/>
  <c r="G48" i="12" s="1"/>
  <c r="F54" i="12"/>
  <c r="G54" i="12" s="1"/>
  <c r="G158" i="12"/>
  <c r="G194" i="12"/>
  <c r="G276" i="12"/>
  <c r="F60" i="12"/>
  <c r="G60" i="12" s="1"/>
  <c r="F66" i="12"/>
  <c r="G66" i="12" s="1"/>
  <c r="G72" i="12"/>
  <c r="F72" i="12"/>
  <c r="F78" i="12"/>
  <c r="G78" i="12" s="1"/>
  <c r="F84" i="12"/>
  <c r="G84" i="12" s="1"/>
  <c r="F90" i="12"/>
  <c r="G90" i="12" s="1"/>
  <c r="G96" i="12"/>
  <c r="F96" i="12"/>
  <c r="G112" i="12"/>
  <c r="G130" i="12"/>
  <c r="G148" i="12"/>
  <c r="G166" i="12"/>
  <c r="G184" i="12"/>
  <c r="G202" i="12"/>
  <c r="G235" i="12"/>
  <c r="G291" i="12"/>
  <c r="G315" i="12"/>
  <c r="G238" i="12"/>
  <c r="G285" i="12"/>
  <c r="G215" i="12"/>
  <c r="G233" i="12"/>
  <c r="G385" i="12"/>
  <c r="G348" i="12"/>
  <c r="G204" i="12"/>
  <c r="G222" i="12"/>
  <c r="G240" i="12"/>
  <c r="G258" i="12"/>
  <c r="G265" i="12"/>
  <c r="G283" i="12"/>
  <c r="G309" i="12"/>
  <c r="G360" i="12"/>
  <c r="G325" i="12"/>
  <c r="G393" i="12"/>
  <c r="G384" i="12"/>
  <c r="G272" i="12"/>
  <c r="G290" i="12"/>
  <c r="G316" i="12"/>
  <c r="G352" i="12"/>
  <c r="G350" i="12"/>
  <c r="G326" i="12"/>
  <c r="G361" i="12"/>
  <c r="G387" i="12"/>
  <c r="G364" i="12"/>
  <c r="G403" i="12"/>
  <c r="G159" i="12"/>
  <c r="G102" i="12"/>
  <c r="G111" i="12"/>
  <c r="G192" i="12"/>
  <c r="G171" i="12"/>
  <c r="G165" i="12"/>
  <c r="G134" i="12"/>
  <c r="G107" i="12"/>
  <c r="G143" i="12"/>
  <c r="G179" i="12"/>
  <c r="B409" i="12"/>
  <c r="D37" i="12"/>
  <c r="G37" i="12"/>
  <c r="F43" i="12"/>
  <c r="G43" i="12" s="1"/>
  <c r="F49" i="12"/>
  <c r="G49" i="12" s="1"/>
  <c r="F55" i="12"/>
  <c r="G55" i="12" s="1"/>
  <c r="G164" i="12"/>
  <c r="G200" i="12"/>
  <c r="G288" i="12"/>
  <c r="F61" i="12"/>
  <c r="G61" i="12" s="1"/>
  <c r="F67" i="12"/>
  <c r="G67" i="12" s="1"/>
  <c r="F73" i="12"/>
  <c r="G73" i="12" s="1"/>
  <c r="F79" i="12"/>
  <c r="G79" i="12" s="1"/>
  <c r="F85" i="12"/>
  <c r="G85" i="12" s="1"/>
  <c r="F91" i="12"/>
  <c r="G91" i="12" s="1"/>
  <c r="G97" i="12"/>
  <c r="W58" i="15" s="1"/>
  <c r="Z58" i="15" s="1"/>
  <c r="G115" i="12"/>
  <c r="G133" i="12"/>
  <c r="G151" i="12"/>
  <c r="G169" i="12"/>
  <c r="G187" i="12"/>
  <c r="G205" i="12"/>
  <c r="G241" i="12"/>
  <c r="G310" i="12"/>
  <c r="G320" i="12"/>
  <c r="G244" i="12"/>
  <c r="G297" i="12"/>
  <c r="G218" i="12"/>
  <c r="G236" i="12"/>
  <c r="G254" i="12"/>
  <c r="G301" i="12"/>
  <c r="G378" i="12"/>
  <c r="G207" i="12"/>
  <c r="G225" i="12"/>
  <c r="G243" i="12"/>
  <c r="G306" i="12"/>
  <c r="G268" i="12"/>
  <c r="G286" i="12"/>
  <c r="G314" i="12"/>
  <c r="G369" i="12"/>
  <c r="G332" i="12"/>
  <c r="G399" i="12"/>
  <c r="G405" i="12"/>
  <c r="G275" i="12"/>
  <c r="G293" i="12"/>
  <c r="G322" i="12"/>
  <c r="G357" i="12"/>
  <c r="G370" i="12"/>
  <c r="G331" i="12"/>
  <c r="G362" i="12"/>
  <c r="G388" i="12"/>
  <c r="G372" i="12"/>
  <c r="G391" i="12"/>
  <c r="G401" i="12"/>
  <c r="M27" i="11"/>
  <c r="M35" i="15"/>
  <c r="N35" i="15" s="1"/>
  <c r="P35" i="15" s="1"/>
  <c r="P37" i="15" s="1"/>
  <c r="U3" i="15" s="1"/>
  <c r="H21" i="8"/>
  <c r="M36" i="15" s="1"/>
  <c r="N36" i="15" s="1"/>
  <c r="P36" i="15" s="1"/>
  <c r="W59" i="15" l="1"/>
  <c r="Z59" i="15" s="1"/>
  <c r="P17" i="15"/>
  <c r="G12" i="10"/>
  <c r="F409" i="12"/>
  <c r="C30" i="12" s="1"/>
  <c r="W55" i="15" s="1"/>
  <c r="Z55" i="15" s="1"/>
  <c r="H13" i="10"/>
  <c r="G13" i="10" s="1"/>
  <c r="J13" i="10"/>
  <c r="N39" i="12"/>
  <c r="F17" i="9"/>
  <c r="E37" i="12"/>
  <c r="G17" i="7"/>
  <c r="H17" i="7" s="1"/>
  <c r="N27" i="11"/>
  <c r="G409" i="12"/>
  <c r="W57" i="15"/>
  <c r="Z57" i="15" s="1"/>
  <c r="E27" i="11"/>
  <c r="M40" i="12"/>
  <c r="K40" i="12"/>
  <c r="G18" i="7" l="1"/>
  <c r="H18" i="7" s="1"/>
  <c r="O39" i="12"/>
  <c r="C38" i="12"/>
  <c r="J14" i="10"/>
  <c r="H14" i="10"/>
  <c r="P19" i="15"/>
  <c r="P20" i="15"/>
  <c r="J40" i="12"/>
  <c r="D18" i="9"/>
  <c r="M41" i="12"/>
  <c r="K41" i="12"/>
  <c r="J41" i="12" s="1"/>
  <c r="L28" i="11"/>
  <c r="C28" i="11"/>
  <c r="G19" i="7" l="1"/>
  <c r="H19" i="7" s="1"/>
  <c r="M42" i="12"/>
  <c r="K42" i="12"/>
  <c r="J42" i="12" s="1"/>
  <c r="D28" i="11"/>
  <c r="E18" i="9"/>
  <c r="G14" i="10"/>
  <c r="N40" i="12"/>
  <c r="O40" i="12" s="1"/>
  <c r="D38" i="12"/>
  <c r="H15" i="10"/>
  <c r="G15" i="10" s="1"/>
  <c r="J15" i="10"/>
  <c r="M28" i="11"/>
  <c r="N41" i="12"/>
  <c r="O41" i="12" s="1"/>
  <c r="G20" i="7" l="1"/>
  <c r="H20" i="7" s="1"/>
  <c r="F18" i="9"/>
  <c r="N28" i="11"/>
  <c r="H16" i="10"/>
  <c r="G16" i="10" s="1"/>
  <c r="J16" i="10"/>
  <c r="P21" i="15"/>
  <c r="P24" i="15"/>
  <c r="P25" i="15" s="1"/>
  <c r="M43" i="12"/>
  <c r="K43" i="12"/>
  <c r="J43" i="12" s="1"/>
  <c r="E38" i="12"/>
  <c r="N42" i="12"/>
  <c r="O42" i="12" s="1"/>
  <c r="E28" i="11"/>
  <c r="C32" i="15" l="1"/>
  <c r="D32" i="15" s="1"/>
  <c r="F32" i="15" s="1"/>
  <c r="C33" i="15"/>
  <c r="D33" i="15" s="1"/>
  <c r="F33" i="15" s="1"/>
  <c r="R3" i="15"/>
  <c r="D19" i="9"/>
  <c r="C29" i="11"/>
  <c r="C39" i="12"/>
  <c r="H17" i="10"/>
  <c r="J17" i="10"/>
  <c r="N43" i="12"/>
  <c r="O43" i="12" s="1"/>
  <c r="M44" i="12"/>
  <c r="K44" i="12"/>
  <c r="J44" i="12" s="1"/>
  <c r="L29" i="11"/>
  <c r="J18" i="10" l="1"/>
  <c r="H18" i="10"/>
  <c r="G18" i="10" s="1"/>
  <c r="N44" i="12"/>
  <c r="O44" i="12" s="1"/>
  <c r="G17" i="10"/>
  <c r="M29" i="11"/>
  <c r="E19" i="9"/>
  <c r="M45" i="12"/>
  <c r="K45" i="12"/>
  <c r="J45" i="12" s="1"/>
  <c r="D39" i="12"/>
  <c r="D29" i="11"/>
  <c r="F34" i="15"/>
  <c r="N45" i="12" l="1"/>
  <c r="O45" i="12" s="1"/>
  <c r="T3" i="15"/>
  <c r="D2" i="15"/>
  <c r="M46" i="12"/>
  <c r="K46" i="12"/>
  <c r="J46" i="12" s="1"/>
  <c r="E29" i="11"/>
  <c r="F19" i="9"/>
  <c r="E39" i="12"/>
  <c r="N29" i="11"/>
  <c r="H19" i="10"/>
  <c r="G19" i="10" s="1"/>
  <c r="J19" i="10"/>
  <c r="N46" i="12" l="1"/>
  <c r="O46" i="12" s="1"/>
  <c r="M47" i="12"/>
  <c r="K47" i="12"/>
  <c r="J47" i="12" s="1"/>
  <c r="D20" i="9"/>
  <c r="C40" i="12"/>
  <c r="J20" i="10"/>
  <c r="H20" i="10"/>
  <c r="G20" i="10" s="1"/>
  <c r="L30" i="11"/>
  <c r="C30" i="11"/>
  <c r="E20" i="9" l="1"/>
  <c r="D40" i="12"/>
  <c r="M30" i="11"/>
  <c r="N47" i="12"/>
  <c r="O47" i="12" s="1"/>
  <c r="H21" i="10"/>
  <c r="G21" i="10" s="1"/>
  <c r="J21" i="10"/>
  <c r="M48" i="12"/>
  <c r="K48" i="12"/>
  <c r="J48" i="12" s="1"/>
  <c r="D30" i="11"/>
  <c r="N48" i="12" l="1"/>
  <c r="O48" i="12" s="1"/>
  <c r="M49" i="12"/>
  <c r="K49" i="12"/>
  <c r="J49" i="12" s="1"/>
  <c r="N30" i="11"/>
  <c r="H22" i="10"/>
  <c r="G22" i="10" s="1"/>
  <c r="J22" i="10"/>
  <c r="E40" i="12"/>
  <c r="E30" i="11"/>
  <c r="F20" i="9"/>
  <c r="N49" i="12" l="1"/>
  <c r="O49" i="12" s="1"/>
  <c r="C31" i="11"/>
  <c r="D31" i="11" s="1"/>
  <c r="E31" i="11" s="1"/>
  <c r="L31" i="11"/>
  <c r="M31" i="11" s="1"/>
  <c r="N31" i="11"/>
  <c r="C41" i="12"/>
  <c r="D41" i="12" s="1"/>
  <c r="M50" i="12"/>
  <c r="K50" i="12"/>
  <c r="J50" i="12" s="1"/>
  <c r="D21" i="9"/>
  <c r="E21" i="9" s="1"/>
  <c r="F21" i="9"/>
  <c r="J23" i="10"/>
  <c r="H23" i="10"/>
  <c r="G23" i="10" s="1"/>
  <c r="C32" i="11" l="1"/>
  <c r="D32" i="11" s="1"/>
  <c r="E32" i="11" s="1"/>
  <c r="L32" i="11"/>
  <c r="M32" i="11" s="1"/>
  <c r="N32" i="11" s="1"/>
  <c r="D22" i="9"/>
  <c r="E22" i="9" s="1"/>
  <c r="F22" i="9" s="1"/>
  <c r="N50" i="12"/>
  <c r="O50" i="12" s="1"/>
  <c r="M51" i="12"/>
  <c r="K51" i="12"/>
  <c r="J51" i="12" s="1"/>
  <c r="H24" i="10"/>
  <c r="G24" i="10" s="1"/>
  <c r="J24" i="10"/>
  <c r="E41" i="12"/>
  <c r="D23" i="9" l="1"/>
  <c r="E23" i="9" s="1"/>
  <c r="F23" i="9" s="1"/>
  <c r="N33" i="11"/>
  <c r="L33" i="11"/>
  <c r="M33" i="11" s="1"/>
  <c r="C33" i="11"/>
  <c r="D33" i="11" s="1"/>
  <c r="E33" i="11"/>
  <c r="N51" i="12"/>
  <c r="O51" i="12" s="1"/>
  <c r="M52" i="12"/>
  <c r="K52" i="12"/>
  <c r="J52" i="12" s="1"/>
  <c r="C42" i="12"/>
  <c r="D42" i="12" s="1"/>
  <c r="E42" i="12" s="1"/>
  <c r="H25" i="10"/>
  <c r="G25" i="10" s="1"/>
  <c r="J25" i="10"/>
  <c r="C43" i="12" l="1"/>
  <c r="D43" i="12" s="1"/>
  <c r="E43" i="12" s="1"/>
  <c r="D24" i="9"/>
  <c r="E24" i="9" s="1"/>
  <c r="F24" i="9" s="1"/>
  <c r="L34" i="11"/>
  <c r="M34" i="11" s="1"/>
  <c r="N34" i="11" s="1"/>
  <c r="C34" i="11"/>
  <c r="D34" i="11" s="1"/>
  <c r="E34" i="11"/>
  <c r="N52" i="12"/>
  <c r="O52" i="12" s="1"/>
  <c r="M53" i="12"/>
  <c r="K53" i="12"/>
  <c r="J53" i="12" s="1"/>
  <c r="J26" i="10"/>
  <c r="H26" i="10"/>
  <c r="G26" i="10" s="1"/>
  <c r="D25" i="9" l="1"/>
  <c r="E25" i="9" s="1"/>
  <c r="F25" i="9" s="1"/>
  <c r="L35" i="11"/>
  <c r="M35" i="11" s="1"/>
  <c r="N35" i="11" s="1"/>
  <c r="C44" i="12"/>
  <c r="D44" i="12" s="1"/>
  <c r="E44" i="12" s="1"/>
  <c r="M54" i="12"/>
  <c r="K54" i="12"/>
  <c r="J54" i="12" s="1"/>
  <c r="N53" i="12"/>
  <c r="O53" i="12" s="1"/>
  <c r="C35" i="11"/>
  <c r="D35" i="11" s="1"/>
  <c r="E35" i="11" s="1"/>
  <c r="H27" i="10"/>
  <c r="G27" i="10" s="1"/>
  <c r="J27" i="10"/>
  <c r="C36" i="11" l="1"/>
  <c r="D36" i="11" s="1"/>
  <c r="E36" i="11" s="1"/>
  <c r="C45" i="12"/>
  <c r="D45" i="12" s="1"/>
  <c r="E45" i="12" s="1"/>
  <c r="L36" i="11"/>
  <c r="M36" i="11" s="1"/>
  <c r="N36" i="11" s="1"/>
  <c r="D26" i="9"/>
  <c r="E26" i="9" s="1"/>
  <c r="F26" i="9" s="1"/>
  <c r="N54" i="12"/>
  <c r="O54" i="12" s="1"/>
  <c r="H28" i="10"/>
  <c r="G28" i="10" s="1"/>
  <c r="J28" i="10"/>
  <c r="M55" i="12"/>
  <c r="K55" i="12"/>
  <c r="J55" i="12" s="1"/>
  <c r="L37" i="11" l="1"/>
  <c r="M37" i="11" s="1"/>
  <c r="N37" i="11"/>
  <c r="C46" i="12"/>
  <c r="D46" i="12" s="1"/>
  <c r="E46" i="12" s="1"/>
  <c r="D27" i="9"/>
  <c r="E27" i="9" s="1"/>
  <c r="F27" i="9"/>
  <c r="C37" i="11"/>
  <c r="D37" i="11" s="1"/>
  <c r="E37" i="11"/>
  <c r="J29" i="10"/>
  <c r="H29" i="10"/>
  <c r="G29" i="10" s="1"/>
  <c r="N55" i="12"/>
  <c r="O55" i="12" s="1"/>
  <c r="K56" i="12"/>
  <c r="J56" i="12" s="1"/>
  <c r="M56" i="12"/>
  <c r="C47" i="12" l="1"/>
  <c r="D47" i="12" s="1"/>
  <c r="E47" i="12" s="1"/>
  <c r="F28" i="9"/>
  <c r="D28" i="9"/>
  <c r="E28" i="9" s="1"/>
  <c r="H30" i="10"/>
  <c r="G30" i="10" s="1"/>
  <c r="J30" i="10"/>
  <c r="M57" i="12"/>
  <c r="K57" i="12"/>
  <c r="J57" i="12" s="1"/>
  <c r="E38" i="11"/>
  <c r="C38" i="11"/>
  <c r="D38" i="11" s="1"/>
  <c r="L38" i="11"/>
  <c r="M38" i="11" s="1"/>
  <c r="N38" i="11"/>
  <c r="N56" i="12"/>
  <c r="O56" i="12" s="1"/>
  <c r="C48" i="12" l="1"/>
  <c r="D48" i="12" s="1"/>
  <c r="E48" i="12" s="1"/>
  <c r="N39" i="11"/>
  <c r="L39" i="11"/>
  <c r="M39" i="11" s="1"/>
  <c r="C39" i="11"/>
  <c r="D39" i="11" s="1"/>
  <c r="E39" i="11"/>
  <c r="H31" i="10"/>
  <c r="G31" i="10" s="1"/>
  <c r="J31" i="10"/>
  <c r="F29" i="9"/>
  <c r="D29" i="9"/>
  <c r="E29" i="9" s="1"/>
  <c r="N57" i="12"/>
  <c r="O57" i="12" s="1"/>
  <c r="M58" i="12"/>
  <c r="K58" i="12"/>
  <c r="J58" i="12" s="1"/>
  <c r="C49" i="12" l="1"/>
  <c r="D49" i="12" s="1"/>
  <c r="E49" i="12" s="1"/>
  <c r="C40" i="11"/>
  <c r="D40" i="11" s="1"/>
  <c r="E40" i="11" s="1"/>
  <c r="L40" i="11"/>
  <c r="M40" i="11" s="1"/>
  <c r="N40" i="11"/>
  <c r="D30" i="9"/>
  <c r="E30" i="9" s="1"/>
  <c r="F30" i="9"/>
  <c r="N58" i="12"/>
  <c r="O58" i="12" s="1"/>
  <c r="J32" i="10"/>
  <c r="H32" i="10"/>
  <c r="G32" i="10" s="1"/>
  <c r="M59" i="12"/>
  <c r="K59" i="12"/>
  <c r="J59" i="12" s="1"/>
  <c r="C41" i="11" l="1"/>
  <c r="D41" i="11" s="1"/>
  <c r="E41" i="11" s="1"/>
  <c r="E50" i="12"/>
  <c r="C50" i="12"/>
  <c r="D50" i="12" s="1"/>
  <c r="N59" i="12"/>
  <c r="O59" i="12" s="1"/>
  <c r="L41" i="11"/>
  <c r="M41" i="11" s="1"/>
  <c r="N41" i="11"/>
  <c r="H33" i="10"/>
  <c r="G33" i="10" s="1"/>
  <c r="J33" i="10"/>
  <c r="D31" i="9"/>
  <c r="E31" i="9" s="1"/>
  <c r="F31" i="9" s="1"/>
  <c r="M60" i="12"/>
  <c r="K60" i="12"/>
  <c r="J60" i="12" s="1"/>
  <c r="D32" i="9" l="1"/>
  <c r="E32" i="9" s="1"/>
  <c r="F32" i="9" s="1"/>
  <c r="C42" i="11"/>
  <c r="D42" i="11" s="1"/>
  <c r="E42" i="11" s="1"/>
  <c r="N60" i="12"/>
  <c r="O60" i="12" s="1"/>
  <c r="M61" i="12"/>
  <c r="K61" i="12"/>
  <c r="J61" i="12" s="1"/>
  <c r="H34" i="10"/>
  <c r="G34" i="10" s="1"/>
  <c r="J34" i="10"/>
  <c r="C51" i="12"/>
  <c r="D51" i="12" s="1"/>
  <c r="E51" i="12" s="1"/>
  <c r="L42" i="11"/>
  <c r="M42" i="11" s="1"/>
  <c r="N42" i="11" s="1"/>
  <c r="L43" i="11" l="1"/>
  <c r="M43" i="11" s="1"/>
  <c r="N43" i="11" s="1"/>
  <c r="E52" i="12"/>
  <c r="C52" i="12"/>
  <c r="D52" i="12" s="1"/>
  <c r="C43" i="11"/>
  <c r="D43" i="11" s="1"/>
  <c r="E43" i="11"/>
  <c r="D33" i="9"/>
  <c r="E33" i="9" s="1"/>
  <c r="F33" i="9" s="1"/>
  <c r="J35" i="10"/>
  <c r="H35" i="10"/>
  <c r="G35" i="10" s="1"/>
  <c r="N61" i="12"/>
  <c r="O61" i="12" s="1"/>
  <c r="M62" i="12"/>
  <c r="K62" i="12"/>
  <c r="J62" i="12" s="1"/>
  <c r="D34" i="9" l="1"/>
  <c r="E34" i="9" s="1"/>
  <c r="F34" i="9" s="1"/>
  <c r="L44" i="11"/>
  <c r="M44" i="11" s="1"/>
  <c r="N44" i="11" s="1"/>
  <c r="C53" i="12"/>
  <c r="D53" i="12" s="1"/>
  <c r="E53" i="12" s="1"/>
  <c r="C44" i="11"/>
  <c r="D44" i="11" s="1"/>
  <c r="E44" i="11" s="1"/>
  <c r="H36" i="10"/>
  <c r="G36" i="10" s="1"/>
  <c r="J36" i="10"/>
  <c r="M63" i="12"/>
  <c r="K63" i="12"/>
  <c r="J63" i="12" s="1"/>
  <c r="N62" i="12"/>
  <c r="O62" i="12" s="1"/>
  <c r="L45" i="11" l="1"/>
  <c r="M45" i="11" s="1"/>
  <c r="N45" i="11" s="1"/>
  <c r="C45" i="11"/>
  <c r="D45" i="11" s="1"/>
  <c r="E45" i="11" s="1"/>
  <c r="C54" i="12"/>
  <c r="D54" i="12" s="1"/>
  <c r="E54" i="12" s="1"/>
  <c r="D35" i="9"/>
  <c r="E35" i="9" s="1"/>
  <c r="F35" i="9" s="1"/>
  <c r="M64" i="12"/>
  <c r="K64" i="12"/>
  <c r="J64" i="12" s="1"/>
  <c r="N63" i="12"/>
  <c r="O63" i="12" s="1"/>
  <c r="H37" i="10"/>
  <c r="G37" i="10" s="1"/>
  <c r="J37" i="10"/>
  <c r="C55" i="12" l="1"/>
  <c r="D55" i="12" s="1"/>
  <c r="E55" i="12" s="1"/>
  <c r="D36" i="9"/>
  <c r="E36" i="9" s="1"/>
  <c r="F36" i="9" s="1"/>
  <c r="C46" i="11"/>
  <c r="D46" i="11" s="1"/>
  <c r="E46" i="11" s="1"/>
  <c r="L46" i="11"/>
  <c r="M46" i="11" s="1"/>
  <c r="N46" i="11"/>
  <c r="N64" i="12"/>
  <c r="O64" i="12" s="1"/>
  <c r="M65" i="12"/>
  <c r="K65" i="12"/>
  <c r="J65" i="12" s="1"/>
  <c r="J38" i="10"/>
  <c r="H38" i="10"/>
  <c r="G38" i="10" s="1"/>
  <c r="C47" i="11" l="1"/>
  <c r="D47" i="11" s="1"/>
  <c r="E47" i="11" s="1"/>
  <c r="D37" i="9"/>
  <c r="E37" i="9" s="1"/>
  <c r="F37" i="9" s="1"/>
  <c r="C56" i="12"/>
  <c r="D56" i="12" s="1"/>
  <c r="E56" i="12" s="1"/>
  <c r="N65" i="12"/>
  <c r="O65" i="12" s="1"/>
  <c r="M66" i="12"/>
  <c r="K66" i="12"/>
  <c r="J66" i="12" s="1"/>
  <c r="L47" i="11"/>
  <c r="M47" i="11" s="1"/>
  <c r="N47" i="11"/>
  <c r="H39" i="10"/>
  <c r="G39" i="10" s="1"/>
  <c r="J39" i="10"/>
  <c r="C57" i="12" l="1"/>
  <c r="D57" i="12" s="1"/>
  <c r="E57" i="12" s="1"/>
  <c r="F38" i="9"/>
  <c r="D38" i="9"/>
  <c r="E38" i="9" s="1"/>
  <c r="C48" i="11"/>
  <c r="D48" i="11" s="1"/>
  <c r="E48" i="11"/>
  <c r="L48" i="11"/>
  <c r="M48" i="11" s="1"/>
  <c r="N48" i="11" s="1"/>
  <c r="N66" i="12"/>
  <c r="O66" i="12" s="1"/>
  <c r="M67" i="12"/>
  <c r="K67" i="12"/>
  <c r="J67" i="12" s="1"/>
  <c r="H40" i="10"/>
  <c r="G40" i="10" s="1"/>
  <c r="J40" i="10"/>
  <c r="L49" i="11" l="1"/>
  <c r="M49" i="11" s="1"/>
  <c r="N49" i="11" s="1"/>
  <c r="E58" i="12"/>
  <c r="C58" i="12"/>
  <c r="D58" i="12" s="1"/>
  <c r="D39" i="9"/>
  <c r="E39" i="9" s="1"/>
  <c r="F39" i="9"/>
  <c r="J41" i="10"/>
  <c r="H41" i="10"/>
  <c r="G41" i="10" s="1"/>
  <c r="O67" i="12"/>
  <c r="N67" i="12"/>
  <c r="C49" i="11"/>
  <c r="D49" i="11" s="1"/>
  <c r="E49" i="11"/>
  <c r="M68" i="12"/>
  <c r="K68" i="12"/>
  <c r="J68" i="12" s="1"/>
  <c r="L50" i="11" l="1"/>
  <c r="M50" i="11" s="1"/>
  <c r="N50" i="11"/>
  <c r="F40" i="9"/>
  <c r="X36" i="15" s="1"/>
  <c r="Z36" i="15" s="1"/>
  <c r="E40" i="9"/>
  <c r="E41" i="9" s="1"/>
  <c r="D40" i="9"/>
  <c r="E50" i="11"/>
  <c r="C50" i="11"/>
  <c r="D50" i="11" s="1"/>
  <c r="C59" i="12"/>
  <c r="D59" i="12" s="1"/>
  <c r="E59" i="12" s="1"/>
  <c r="N68" i="12"/>
  <c r="O68" i="12" s="1"/>
  <c r="M69" i="12"/>
  <c r="K69" i="12"/>
  <c r="J69" i="12" s="1"/>
  <c r="H42" i="10"/>
  <c r="G42" i="10" s="1"/>
  <c r="J42" i="10"/>
  <c r="C60" i="12" l="1"/>
  <c r="D60" i="12" s="1"/>
  <c r="E60" i="12" s="1"/>
  <c r="M70" i="12"/>
  <c r="K70" i="12"/>
  <c r="J70" i="12" s="1"/>
  <c r="C51" i="11"/>
  <c r="D51" i="11" s="1"/>
  <c r="E51" i="11" s="1"/>
  <c r="C40" i="9"/>
  <c r="D41" i="9"/>
  <c r="L51" i="11"/>
  <c r="M51" i="11" s="1"/>
  <c r="N51" i="11" s="1"/>
  <c r="H43" i="10"/>
  <c r="G43" i="10" s="1"/>
  <c r="J43" i="10"/>
  <c r="N69" i="12"/>
  <c r="O69" i="12" s="1"/>
  <c r="C52" i="11" l="1"/>
  <c r="D52" i="11" s="1"/>
  <c r="E52" i="11"/>
  <c r="L52" i="11"/>
  <c r="M52" i="11" s="1"/>
  <c r="N52" i="11"/>
  <c r="C61" i="12"/>
  <c r="D61" i="12" s="1"/>
  <c r="E61" i="12" s="1"/>
  <c r="N70" i="12"/>
  <c r="O70" i="12" s="1"/>
  <c r="M71" i="12"/>
  <c r="K71" i="12"/>
  <c r="J71" i="12" s="1"/>
  <c r="Z37" i="15"/>
  <c r="C41" i="9"/>
  <c r="J44" i="10"/>
  <c r="H44" i="10"/>
  <c r="G44" i="10" s="1"/>
  <c r="C62" i="12" l="1"/>
  <c r="D62" i="12" s="1"/>
  <c r="E62" i="12" s="1"/>
  <c r="V3" i="15"/>
  <c r="L53" i="11"/>
  <c r="M53" i="11" s="1"/>
  <c r="N53" i="11"/>
  <c r="N71" i="12"/>
  <c r="O71" i="12" s="1"/>
  <c r="M72" i="12"/>
  <c r="K72" i="12"/>
  <c r="J72" i="12" s="1"/>
  <c r="C53" i="11"/>
  <c r="D53" i="11" s="1"/>
  <c r="E53" i="11" s="1"/>
  <c r="H45" i="10"/>
  <c r="G45" i="10" s="1"/>
  <c r="J45" i="10"/>
  <c r="C54" i="11" l="1"/>
  <c r="D54" i="11" s="1"/>
  <c r="E54" i="11"/>
  <c r="C63" i="12"/>
  <c r="D63" i="12" s="1"/>
  <c r="E63" i="12" s="1"/>
  <c r="N72" i="12"/>
  <c r="O72" i="12" s="1"/>
  <c r="L54" i="11"/>
  <c r="M54" i="11" s="1"/>
  <c r="N54" i="11" s="1"/>
  <c r="M73" i="12"/>
  <c r="K73" i="12"/>
  <c r="J73" i="12" s="1"/>
  <c r="H46" i="10"/>
  <c r="G46" i="10" s="1"/>
  <c r="J46" i="10"/>
  <c r="L55" i="11" l="1"/>
  <c r="M55" i="11" s="1"/>
  <c r="N55" i="11"/>
  <c r="C64" i="12"/>
  <c r="D64" i="12" s="1"/>
  <c r="E64" i="12" s="1"/>
  <c r="J47" i="10"/>
  <c r="H47" i="10"/>
  <c r="G47" i="10" s="1"/>
  <c r="N73" i="12"/>
  <c r="O73" i="12" s="1"/>
  <c r="M74" i="12"/>
  <c r="K74" i="12"/>
  <c r="J74" i="12" s="1"/>
  <c r="C55" i="11"/>
  <c r="D55" i="11" s="1"/>
  <c r="E55" i="11"/>
  <c r="C65" i="12" l="1"/>
  <c r="D65" i="12" s="1"/>
  <c r="E65" i="12" s="1"/>
  <c r="N74" i="12"/>
  <c r="O74" i="12" s="1"/>
  <c r="C56" i="11"/>
  <c r="D56" i="11" s="1"/>
  <c r="E56" i="11" s="1"/>
  <c r="H48" i="10"/>
  <c r="G48" i="10" s="1"/>
  <c r="J48" i="10"/>
  <c r="M75" i="12"/>
  <c r="K75" i="12"/>
  <c r="J75" i="12" s="1"/>
  <c r="L56" i="11"/>
  <c r="M56" i="11" s="1"/>
  <c r="N56" i="11"/>
  <c r="C57" i="11" l="1"/>
  <c r="D57" i="11" s="1"/>
  <c r="E57" i="11" s="1"/>
  <c r="E66" i="12"/>
  <c r="C66" i="12"/>
  <c r="D66" i="12" s="1"/>
  <c r="N75" i="12"/>
  <c r="O75" i="12" s="1"/>
  <c r="L57" i="11"/>
  <c r="M57" i="11" s="1"/>
  <c r="N57" i="11" s="1"/>
  <c r="M76" i="12"/>
  <c r="K76" i="12"/>
  <c r="J76" i="12" s="1"/>
  <c r="H49" i="10"/>
  <c r="G49" i="10" s="1"/>
  <c r="J49" i="10"/>
  <c r="C58" i="11" l="1"/>
  <c r="D58" i="11" s="1"/>
  <c r="E58" i="11"/>
  <c r="L58" i="11"/>
  <c r="M58" i="11" s="1"/>
  <c r="N58" i="11"/>
  <c r="J50" i="10"/>
  <c r="H50" i="10"/>
  <c r="G50" i="10" s="1"/>
  <c r="N76" i="12"/>
  <c r="O76" i="12" s="1"/>
  <c r="M77" i="12"/>
  <c r="K77" i="12"/>
  <c r="J77" i="12" s="1"/>
  <c r="C67" i="12"/>
  <c r="D67" i="12" s="1"/>
  <c r="E67" i="12" s="1"/>
  <c r="C68" i="12" l="1"/>
  <c r="D68" i="12" s="1"/>
  <c r="E68" i="12" s="1"/>
  <c r="H51" i="10"/>
  <c r="G51" i="10" s="1"/>
  <c r="J51" i="10"/>
  <c r="L59" i="11"/>
  <c r="M59" i="11" s="1"/>
  <c r="N59" i="11" s="1"/>
  <c r="N77" i="12"/>
  <c r="O77" i="12" s="1"/>
  <c r="M78" i="12"/>
  <c r="K78" i="12"/>
  <c r="J78" i="12" s="1"/>
  <c r="C59" i="11"/>
  <c r="D59" i="11" s="1"/>
  <c r="E59" i="11" s="1"/>
  <c r="L60" i="11" l="1"/>
  <c r="M60" i="11" s="1"/>
  <c r="N60" i="11" s="1"/>
  <c r="C60" i="11"/>
  <c r="D60" i="11" s="1"/>
  <c r="E60" i="11" s="1"/>
  <c r="C69" i="12"/>
  <c r="D69" i="12" s="1"/>
  <c r="E69" i="12" s="1"/>
  <c r="H52" i="10"/>
  <c r="G52" i="10" s="1"/>
  <c r="J52" i="10"/>
  <c r="M79" i="12"/>
  <c r="K79" i="12"/>
  <c r="J79" i="12" s="1"/>
  <c r="N78" i="12"/>
  <c r="O78" i="12" s="1"/>
  <c r="C70" i="12" l="1"/>
  <c r="D70" i="12" s="1"/>
  <c r="E70" i="12" s="1"/>
  <c r="C61" i="11"/>
  <c r="D61" i="11" s="1"/>
  <c r="E61" i="11" s="1"/>
  <c r="L61" i="11"/>
  <c r="M61" i="11" s="1"/>
  <c r="N61" i="11"/>
  <c r="N79" i="12"/>
  <c r="O79" i="12" s="1"/>
  <c r="M80" i="12"/>
  <c r="K80" i="12"/>
  <c r="J80" i="12" s="1"/>
  <c r="J53" i="10"/>
  <c r="H53" i="10"/>
  <c r="G53" i="10" s="1"/>
  <c r="C62" i="11" l="1"/>
  <c r="D62" i="11" s="1"/>
  <c r="E62" i="11" s="1"/>
  <c r="C71" i="12"/>
  <c r="D71" i="12" s="1"/>
  <c r="E71" i="12" s="1"/>
  <c r="L62" i="11"/>
  <c r="M62" i="11" s="1"/>
  <c r="N62" i="11" s="1"/>
  <c r="H54" i="10"/>
  <c r="G54" i="10" s="1"/>
  <c r="J54" i="10"/>
  <c r="N80" i="12"/>
  <c r="O80" i="12" s="1"/>
  <c r="M81" i="12"/>
  <c r="K81" i="12"/>
  <c r="J81" i="12" s="1"/>
  <c r="L63" i="11" l="1"/>
  <c r="M63" i="11" s="1"/>
  <c r="N63" i="11" s="1"/>
  <c r="C72" i="12"/>
  <c r="D72" i="12" s="1"/>
  <c r="E72" i="12" s="1"/>
  <c r="C63" i="11"/>
  <c r="D63" i="11" s="1"/>
  <c r="E63" i="11"/>
  <c r="N81" i="12"/>
  <c r="O81" i="12" s="1"/>
  <c r="M82" i="12"/>
  <c r="K82" i="12"/>
  <c r="J82" i="12" s="1"/>
  <c r="H55" i="10"/>
  <c r="G55" i="10" s="1"/>
  <c r="J55" i="10"/>
  <c r="C73" i="12" l="1"/>
  <c r="D73" i="12" s="1"/>
  <c r="E73" i="12" s="1"/>
  <c r="L64" i="11"/>
  <c r="M64" i="11" s="1"/>
  <c r="N64" i="11" s="1"/>
  <c r="J56" i="10"/>
  <c r="H56" i="10"/>
  <c r="G56" i="10" s="1"/>
  <c r="N82" i="12"/>
  <c r="O82" i="12" s="1"/>
  <c r="M83" i="12"/>
  <c r="K83" i="12"/>
  <c r="J83" i="12" s="1"/>
  <c r="C64" i="11"/>
  <c r="D64" i="11" s="1"/>
  <c r="E64" i="11" s="1"/>
  <c r="L65" i="11" l="1"/>
  <c r="M65" i="11" s="1"/>
  <c r="N65" i="11" s="1"/>
  <c r="E65" i="11"/>
  <c r="C65" i="11"/>
  <c r="D65" i="11" s="1"/>
  <c r="C74" i="12"/>
  <c r="D74" i="12" s="1"/>
  <c r="E74" i="12" s="1"/>
  <c r="H57" i="10"/>
  <c r="G57" i="10" s="1"/>
  <c r="J57" i="10"/>
  <c r="N83" i="12"/>
  <c r="O83" i="12" s="1"/>
  <c r="M84" i="12"/>
  <c r="K84" i="12"/>
  <c r="J84" i="12" s="1"/>
  <c r="C75" i="12" l="1"/>
  <c r="D75" i="12" s="1"/>
  <c r="E75" i="12" s="1"/>
  <c r="L66" i="11"/>
  <c r="M66" i="11" s="1"/>
  <c r="N66" i="11" s="1"/>
  <c r="H58" i="10"/>
  <c r="G58" i="10" s="1"/>
  <c r="J58" i="10"/>
  <c r="N84" i="12"/>
  <c r="O84" i="12" s="1"/>
  <c r="M85" i="12"/>
  <c r="K85" i="12"/>
  <c r="J85" i="12" s="1"/>
  <c r="C66" i="11"/>
  <c r="D66" i="11" s="1"/>
  <c r="E66" i="11"/>
  <c r="L67" i="11" l="1"/>
  <c r="M67" i="11" s="1"/>
  <c r="N67" i="11"/>
  <c r="E76" i="12"/>
  <c r="C76" i="12"/>
  <c r="D76" i="12" s="1"/>
  <c r="N85" i="12"/>
  <c r="O85" i="12" s="1"/>
  <c r="J59" i="10"/>
  <c r="H59" i="10"/>
  <c r="G59" i="10" s="1"/>
  <c r="M86" i="12"/>
  <c r="K86" i="12"/>
  <c r="J86" i="12" s="1"/>
  <c r="C67" i="11"/>
  <c r="D67" i="11" s="1"/>
  <c r="E67" i="11"/>
  <c r="C68" i="11" l="1"/>
  <c r="D68" i="11" s="1"/>
  <c r="E68" i="11" s="1"/>
  <c r="N86" i="12"/>
  <c r="O86" i="12" s="1"/>
  <c r="M87" i="12"/>
  <c r="K87" i="12"/>
  <c r="J87" i="12" s="1"/>
  <c r="L68" i="11"/>
  <c r="M68" i="11" s="1"/>
  <c r="N68" i="11" s="1"/>
  <c r="E77" i="12"/>
  <c r="C77" i="12"/>
  <c r="D77" i="12" s="1"/>
  <c r="H60" i="10"/>
  <c r="G60" i="10" s="1"/>
  <c r="J60" i="10"/>
  <c r="L69" i="11" l="1"/>
  <c r="M69" i="11" s="1"/>
  <c r="N69" i="11" s="1"/>
  <c r="C69" i="11"/>
  <c r="D69" i="11" s="1"/>
  <c r="E69" i="11" s="1"/>
  <c r="M88" i="12"/>
  <c r="K88" i="12"/>
  <c r="J88" i="12" s="1"/>
  <c r="H61" i="10"/>
  <c r="G61" i="10" s="1"/>
  <c r="J61" i="10"/>
  <c r="N87" i="12"/>
  <c r="O87" i="12" s="1"/>
  <c r="C78" i="12"/>
  <c r="D78" i="12" s="1"/>
  <c r="E78" i="12" s="1"/>
  <c r="C79" i="12" l="1"/>
  <c r="D79" i="12" s="1"/>
  <c r="E79" i="12" s="1"/>
  <c r="C70" i="11"/>
  <c r="D70" i="11" s="1"/>
  <c r="E70" i="11" s="1"/>
  <c r="L70" i="11"/>
  <c r="M70" i="11" s="1"/>
  <c r="N70" i="11" s="1"/>
  <c r="N88" i="12"/>
  <c r="O88" i="12" s="1"/>
  <c r="M89" i="12"/>
  <c r="K89" i="12"/>
  <c r="J89" i="12" s="1"/>
  <c r="J62" i="10"/>
  <c r="H62" i="10"/>
  <c r="G62" i="10" s="1"/>
  <c r="L71" i="11" l="1"/>
  <c r="M71" i="11" s="1"/>
  <c r="N71" i="11" s="1"/>
  <c r="C71" i="11"/>
  <c r="D71" i="11" s="1"/>
  <c r="E71" i="11" s="1"/>
  <c r="C80" i="12"/>
  <c r="D80" i="12" s="1"/>
  <c r="E80" i="12" s="1"/>
  <c r="H63" i="10"/>
  <c r="G63" i="10" s="1"/>
  <c r="J63" i="10"/>
  <c r="N89" i="12"/>
  <c r="O89" i="12" s="1"/>
  <c r="M90" i="12"/>
  <c r="K90" i="12"/>
  <c r="J90" i="12" s="1"/>
  <c r="C81" i="12" l="1"/>
  <c r="D81" i="12" s="1"/>
  <c r="E81" i="12" s="1"/>
  <c r="C72" i="11"/>
  <c r="D72" i="11" s="1"/>
  <c r="E72" i="11" s="1"/>
  <c r="L72" i="11"/>
  <c r="M72" i="11" s="1"/>
  <c r="N72" i="11" s="1"/>
  <c r="M91" i="12"/>
  <c r="K91" i="12"/>
  <c r="J91" i="12" s="1"/>
  <c r="N90" i="12"/>
  <c r="O90" i="12" s="1"/>
  <c r="H64" i="10"/>
  <c r="G64" i="10" s="1"/>
  <c r="J64" i="10"/>
  <c r="L73" i="11" l="1"/>
  <c r="M73" i="11" s="1"/>
  <c r="N73" i="11" s="1"/>
  <c r="C73" i="11"/>
  <c r="D73" i="11" s="1"/>
  <c r="E73" i="11" s="1"/>
  <c r="C82" i="12"/>
  <c r="D82" i="12" s="1"/>
  <c r="E82" i="12" s="1"/>
  <c r="J65" i="10"/>
  <c r="H65" i="10"/>
  <c r="G65" i="10" s="1"/>
  <c r="N91" i="12"/>
  <c r="O91" i="12" s="1"/>
  <c r="M92" i="12"/>
  <c r="K92" i="12"/>
  <c r="J92" i="12" s="1"/>
  <c r="C83" i="12" l="1"/>
  <c r="D83" i="12" s="1"/>
  <c r="E83" i="12" s="1"/>
  <c r="C74" i="11"/>
  <c r="D74" i="11" s="1"/>
  <c r="E74" i="11" s="1"/>
  <c r="L74" i="11"/>
  <c r="M74" i="11" s="1"/>
  <c r="N74" i="11" s="1"/>
  <c r="N92" i="12"/>
  <c r="O92" i="12" s="1"/>
  <c r="M93" i="12"/>
  <c r="K93" i="12"/>
  <c r="J93" i="12" s="1"/>
  <c r="H66" i="10"/>
  <c r="G66" i="10" s="1"/>
  <c r="J66" i="10"/>
  <c r="L75" i="11" l="1"/>
  <c r="M75" i="11" s="1"/>
  <c r="N75" i="11"/>
  <c r="C75" i="11"/>
  <c r="D75" i="11" s="1"/>
  <c r="E75" i="11" s="1"/>
  <c r="C84" i="12"/>
  <c r="D84" i="12" s="1"/>
  <c r="E84" i="12" s="1"/>
  <c r="H67" i="10"/>
  <c r="G67" i="10" s="1"/>
  <c r="J67" i="10"/>
  <c r="N93" i="12"/>
  <c r="O93" i="12" s="1"/>
  <c r="M94" i="12"/>
  <c r="K94" i="12"/>
  <c r="J94" i="12" s="1"/>
  <c r="C85" i="12" l="1"/>
  <c r="D85" i="12" s="1"/>
  <c r="E85" i="12" s="1"/>
  <c r="C76" i="11"/>
  <c r="D76" i="11" s="1"/>
  <c r="E76" i="11"/>
  <c r="M95" i="12"/>
  <c r="K95" i="12"/>
  <c r="J95" i="12" s="1"/>
  <c r="N94" i="12"/>
  <c r="O94" i="12" s="1"/>
  <c r="L76" i="11"/>
  <c r="M76" i="11" s="1"/>
  <c r="N76" i="11"/>
  <c r="J68" i="10"/>
  <c r="H68" i="10"/>
  <c r="G68" i="10" s="1"/>
  <c r="C86" i="12" l="1"/>
  <c r="D86" i="12" s="1"/>
  <c r="E86" i="12" s="1"/>
  <c r="N95" i="12"/>
  <c r="O95" i="12" s="1"/>
  <c r="H69" i="10"/>
  <c r="G69" i="10" s="1"/>
  <c r="J69" i="10"/>
  <c r="M96" i="12"/>
  <c r="K96" i="12"/>
  <c r="J96" i="12" s="1"/>
  <c r="L77" i="11"/>
  <c r="M77" i="11" s="1"/>
  <c r="N77" i="11" s="1"/>
  <c r="C77" i="11"/>
  <c r="D77" i="11" s="1"/>
  <c r="E77" i="11" s="1"/>
  <c r="L78" i="11" l="1"/>
  <c r="M78" i="11" s="1"/>
  <c r="N78" i="11" s="1"/>
  <c r="C78" i="11"/>
  <c r="D78" i="11" s="1"/>
  <c r="E78" i="11" s="1"/>
  <c r="C87" i="12"/>
  <c r="D87" i="12" s="1"/>
  <c r="E87" i="12" s="1"/>
  <c r="H70" i="10"/>
  <c r="G70" i="10" s="1"/>
  <c r="J70" i="10"/>
  <c r="N96" i="12"/>
  <c r="N409" i="12" s="1"/>
  <c r="C31" i="12" s="1"/>
  <c r="W56" i="15" s="1"/>
  <c r="Z56" i="15" s="1"/>
  <c r="K97" i="12"/>
  <c r="J97" i="12" s="1"/>
  <c r="O97" i="12" s="1"/>
  <c r="W60" i="15" s="1"/>
  <c r="Z60" i="15" s="1"/>
  <c r="M97" i="12"/>
  <c r="Z61" i="15" l="1"/>
  <c r="Y3" i="15" s="1"/>
  <c r="C79" i="11"/>
  <c r="D79" i="11" s="1"/>
  <c r="E79" i="11" s="1"/>
  <c r="E88" i="12"/>
  <c r="C88" i="12"/>
  <c r="D88" i="12" s="1"/>
  <c r="L79" i="11"/>
  <c r="M79" i="11" s="1"/>
  <c r="N79" i="11"/>
  <c r="M98" i="12"/>
  <c r="K98" i="12"/>
  <c r="J98" i="12" s="1"/>
  <c r="O98" i="12" s="1"/>
  <c r="O96" i="12"/>
  <c r="J71" i="10"/>
  <c r="H71" i="10"/>
  <c r="G71" i="10" s="1"/>
  <c r="C80" i="11" l="1"/>
  <c r="D80" i="11" s="1"/>
  <c r="E80" i="11"/>
  <c r="C89" i="12"/>
  <c r="D89" i="12" s="1"/>
  <c r="E89" i="12" s="1"/>
  <c r="L80" i="11"/>
  <c r="M80" i="11" s="1"/>
  <c r="N80" i="11"/>
  <c r="H72" i="10"/>
  <c r="G72" i="10" s="1"/>
  <c r="J72" i="10"/>
  <c r="M99" i="12"/>
  <c r="K99" i="12"/>
  <c r="J99" i="12" s="1"/>
  <c r="O99" i="12" s="1"/>
  <c r="C90" i="12" l="1"/>
  <c r="D90" i="12" s="1"/>
  <c r="E90" i="12" s="1"/>
  <c r="L81" i="11"/>
  <c r="M81" i="11" s="1"/>
  <c r="N81" i="11"/>
  <c r="K100" i="12"/>
  <c r="J100" i="12" s="1"/>
  <c r="O100" i="12" s="1"/>
  <c r="M100" i="12"/>
  <c r="H73" i="10"/>
  <c r="G73" i="10" s="1"/>
  <c r="J73" i="10"/>
  <c r="C81" i="11"/>
  <c r="D81" i="11" s="1"/>
  <c r="E81" i="11"/>
  <c r="C91" i="12" l="1"/>
  <c r="D91" i="12" s="1"/>
  <c r="E91" i="12" s="1"/>
  <c r="M101" i="12"/>
  <c r="K101" i="12"/>
  <c r="J101" i="12" s="1"/>
  <c r="O101" i="12" s="1"/>
  <c r="L82" i="11"/>
  <c r="M82" i="11" s="1"/>
  <c r="N82" i="11" s="1"/>
  <c r="C82" i="11"/>
  <c r="D82" i="11" s="1"/>
  <c r="E82" i="11" s="1"/>
  <c r="J74" i="10"/>
  <c r="H74" i="10"/>
  <c r="G74" i="10" s="1"/>
  <c r="C83" i="11" l="1"/>
  <c r="D83" i="11" s="1"/>
  <c r="E83" i="11" s="1"/>
  <c r="L83" i="11"/>
  <c r="M83" i="11" s="1"/>
  <c r="N83" i="11" s="1"/>
  <c r="C92" i="12"/>
  <c r="D92" i="12" s="1"/>
  <c r="E92" i="12" s="1"/>
  <c r="H75" i="10"/>
  <c r="G75" i="10" s="1"/>
  <c r="J75" i="10"/>
  <c r="M102" i="12"/>
  <c r="K102" i="12"/>
  <c r="J102" i="12" s="1"/>
  <c r="O102" i="12" s="1"/>
  <c r="C93" i="12" l="1"/>
  <c r="D93" i="12" s="1"/>
  <c r="E93" i="12" s="1"/>
  <c r="L84" i="11"/>
  <c r="M84" i="11" s="1"/>
  <c r="N84" i="11"/>
  <c r="C84" i="11"/>
  <c r="D84" i="11" s="1"/>
  <c r="E84" i="11" s="1"/>
  <c r="K103" i="12"/>
  <c r="J103" i="12" s="1"/>
  <c r="O103" i="12" s="1"/>
  <c r="M103" i="12"/>
  <c r="H76" i="10"/>
  <c r="G76" i="10" s="1"/>
  <c r="J76" i="10"/>
  <c r="C85" i="11" l="1"/>
  <c r="D85" i="11" s="1"/>
  <c r="E85" i="11"/>
  <c r="C94" i="12"/>
  <c r="D94" i="12" s="1"/>
  <c r="E94" i="12" s="1"/>
  <c r="L85" i="11"/>
  <c r="M85" i="11" s="1"/>
  <c r="N85" i="11" s="1"/>
  <c r="J77" i="10"/>
  <c r="H77" i="10"/>
  <c r="G77" i="10" s="1"/>
  <c r="M104" i="12"/>
  <c r="K104" i="12"/>
  <c r="J104" i="12" s="1"/>
  <c r="O104" i="12" s="1"/>
  <c r="N86" i="11" l="1"/>
  <c r="L86" i="11"/>
  <c r="M86" i="11" s="1"/>
  <c r="C95" i="12"/>
  <c r="D95" i="12" s="1"/>
  <c r="E95" i="12" s="1"/>
  <c r="M105" i="12"/>
  <c r="K105" i="12"/>
  <c r="J105" i="12" s="1"/>
  <c r="O105" i="12" s="1"/>
  <c r="C86" i="11"/>
  <c r="D86" i="11" s="1"/>
  <c r="E86" i="11" s="1"/>
  <c r="H78" i="10"/>
  <c r="G78" i="10" s="1"/>
  <c r="J78" i="10"/>
  <c r="C96" i="12" l="1"/>
  <c r="D96" i="12" s="1"/>
  <c r="E96" i="12" s="1"/>
  <c r="C87" i="11"/>
  <c r="D87" i="11" s="1"/>
  <c r="E87" i="11"/>
  <c r="K106" i="12"/>
  <c r="J106" i="12" s="1"/>
  <c r="O106" i="12" s="1"/>
  <c r="M106" i="12"/>
  <c r="H79" i="10"/>
  <c r="G79" i="10" s="1"/>
  <c r="J79" i="10"/>
  <c r="L87" i="11"/>
  <c r="Q86" i="11"/>
  <c r="Q96" i="11" s="1"/>
  <c r="C97" i="12" l="1"/>
  <c r="D97" i="12" s="1"/>
  <c r="E97" i="12" s="1"/>
  <c r="M107" i="12"/>
  <c r="K107" i="12"/>
  <c r="J107" i="12" s="1"/>
  <c r="O107" i="12" s="1"/>
  <c r="C88" i="11"/>
  <c r="D88" i="11" s="1"/>
  <c r="E88" i="11" s="1"/>
  <c r="P55" i="15"/>
  <c r="K121" i="11"/>
  <c r="K118" i="11"/>
  <c r="K115" i="11"/>
  <c r="K112" i="11"/>
  <c r="K109" i="11"/>
  <c r="K106" i="11"/>
  <c r="K103" i="11"/>
  <c r="K100" i="11"/>
  <c r="K97" i="11"/>
  <c r="K90" i="11"/>
  <c r="K88" i="11"/>
  <c r="K122" i="11"/>
  <c r="K119" i="11"/>
  <c r="K116" i="11"/>
  <c r="K113" i="11"/>
  <c r="K110" i="11"/>
  <c r="K107" i="11"/>
  <c r="K104" i="11"/>
  <c r="K101" i="11"/>
  <c r="K98" i="11"/>
  <c r="K91" i="11"/>
  <c r="K120" i="11"/>
  <c r="K117" i="11"/>
  <c r="K114" i="11"/>
  <c r="K111" i="11"/>
  <c r="K108" i="11"/>
  <c r="K105" i="11"/>
  <c r="K102" i="11"/>
  <c r="K99" i="11"/>
  <c r="K95" i="11"/>
  <c r="K94" i="11"/>
  <c r="K93" i="11"/>
  <c r="K92" i="11"/>
  <c r="K96" i="11"/>
  <c r="K87" i="11"/>
  <c r="K89" i="11"/>
  <c r="J80" i="10"/>
  <c r="H80" i="10"/>
  <c r="G80" i="10" s="1"/>
  <c r="C89" i="11" l="1"/>
  <c r="D89" i="11" s="1"/>
  <c r="E89" i="11" s="1"/>
  <c r="C98" i="12"/>
  <c r="D98" i="12" s="1"/>
  <c r="E98" i="12" s="1"/>
  <c r="M87" i="11"/>
  <c r="N87" i="11" s="1"/>
  <c r="H81" i="10"/>
  <c r="G81" i="10" s="1"/>
  <c r="J81" i="10"/>
  <c r="M108" i="12"/>
  <c r="K108" i="12"/>
  <c r="J108" i="12" s="1"/>
  <c r="O108" i="12" s="1"/>
  <c r="C99" i="12" l="1"/>
  <c r="D99" i="12" s="1"/>
  <c r="E99" i="12"/>
  <c r="C90" i="11"/>
  <c r="D90" i="11" s="1"/>
  <c r="E90" i="11" s="1"/>
  <c r="L88" i="11"/>
  <c r="M88" i="11" s="1"/>
  <c r="N88" i="11" s="1"/>
  <c r="K109" i="12"/>
  <c r="J109" i="12" s="1"/>
  <c r="O109" i="12" s="1"/>
  <c r="M109" i="12"/>
  <c r="H82" i="10"/>
  <c r="G82" i="10" s="1"/>
  <c r="J82" i="10"/>
  <c r="N89" i="11" l="1"/>
  <c r="L89" i="11"/>
  <c r="M89" i="11" s="1"/>
  <c r="C91" i="11"/>
  <c r="D91" i="11" s="1"/>
  <c r="E91" i="11" s="1"/>
  <c r="M110" i="12"/>
  <c r="K110" i="12"/>
  <c r="J110" i="12" s="1"/>
  <c r="O110" i="12" s="1"/>
  <c r="E100" i="12"/>
  <c r="C100" i="12"/>
  <c r="D100" i="12" s="1"/>
  <c r="J83" i="10"/>
  <c r="H83" i="10"/>
  <c r="G83" i="10" s="1"/>
  <c r="C92" i="11" l="1"/>
  <c r="D92" i="11" s="1"/>
  <c r="E92" i="11" s="1"/>
  <c r="M111" i="12"/>
  <c r="K111" i="12"/>
  <c r="J111" i="12" s="1"/>
  <c r="O111" i="12" s="1"/>
  <c r="H84" i="10"/>
  <c r="G84" i="10" s="1"/>
  <c r="J84" i="10"/>
  <c r="C101" i="12"/>
  <c r="D101" i="12" s="1"/>
  <c r="E101" i="12"/>
  <c r="L90" i="11"/>
  <c r="M90" i="11" s="1"/>
  <c r="N90" i="11" s="1"/>
  <c r="L91" i="11" l="1"/>
  <c r="M91" i="11" s="1"/>
  <c r="N91" i="11" s="1"/>
  <c r="C93" i="11"/>
  <c r="D93" i="11" s="1"/>
  <c r="E93" i="11" s="1"/>
  <c r="C102" i="12"/>
  <c r="D102" i="12" s="1"/>
  <c r="E102" i="12" s="1"/>
  <c r="H85" i="10"/>
  <c r="G85" i="10" s="1"/>
  <c r="J85" i="10"/>
  <c r="K112" i="12"/>
  <c r="J112" i="12" s="1"/>
  <c r="O112" i="12" s="1"/>
  <c r="M112" i="12"/>
  <c r="C103" i="12" l="1"/>
  <c r="D103" i="12" s="1"/>
  <c r="E103" i="12" s="1"/>
  <c r="E94" i="11"/>
  <c r="C94" i="11"/>
  <c r="D94" i="11" s="1"/>
  <c r="L92" i="11"/>
  <c r="M92" i="11" s="1"/>
  <c r="N92" i="11" s="1"/>
  <c r="M113" i="12"/>
  <c r="K113" i="12"/>
  <c r="J113" i="12" s="1"/>
  <c r="O113" i="12" s="1"/>
  <c r="J86" i="10"/>
  <c r="H86" i="10"/>
  <c r="G86" i="10" s="1"/>
  <c r="L93" i="11" l="1"/>
  <c r="M93" i="11" s="1"/>
  <c r="N93" i="11"/>
  <c r="C104" i="12"/>
  <c r="D104" i="12" s="1"/>
  <c r="E104" i="12" s="1"/>
  <c r="E95" i="11"/>
  <c r="C95" i="11"/>
  <c r="D95" i="11" s="1"/>
  <c r="H87" i="10"/>
  <c r="G87" i="10" s="1"/>
  <c r="J87" i="10"/>
  <c r="M114" i="12"/>
  <c r="K114" i="12"/>
  <c r="J114" i="12" s="1"/>
  <c r="O114" i="12" s="1"/>
  <c r="C105" i="12" l="1"/>
  <c r="D105" i="12" s="1"/>
  <c r="E105" i="12"/>
  <c r="K115" i="12"/>
  <c r="J115" i="12" s="1"/>
  <c r="O115" i="12" s="1"/>
  <c r="M115" i="12"/>
  <c r="H88" i="10"/>
  <c r="G88" i="10" s="1"/>
  <c r="J88" i="10"/>
  <c r="C96" i="11"/>
  <c r="D96" i="11" s="1"/>
  <c r="E96" i="11" s="1"/>
  <c r="N94" i="11"/>
  <c r="L94" i="11"/>
  <c r="M94" i="11" s="1"/>
  <c r="C97" i="11" l="1"/>
  <c r="D97" i="11" s="1"/>
  <c r="E97" i="11" s="1"/>
  <c r="L95" i="11"/>
  <c r="M95" i="11" s="1"/>
  <c r="N95" i="11" s="1"/>
  <c r="E106" i="12"/>
  <c r="C106" i="12"/>
  <c r="D106" i="12" s="1"/>
  <c r="J89" i="10"/>
  <c r="H89" i="10"/>
  <c r="G89" i="10" s="1"/>
  <c r="M116" i="12"/>
  <c r="K116" i="12"/>
  <c r="J116" i="12" s="1"/>
  <c r="O116" i="12" s="1"/>
  <c r="L96" i="11" l="1"/>
  <c r="M96" i="11" s="1"/>
  <c r="N96" i="11" s="1"/>
  <c r="C98" i="11"/>
  <c r="D98" i="11" s="1"/>
  <c r="E98" i="11" s="1"/>
  <c r="M117" i="12"/>
  <c r="K117" i="12"/>
  <c r="J117" i="12" s="1"/>
  <c r="O117" i="12" s="1"/>
  <c r="H90" i="10"/>
  <c r="G90" i="10" s="1"/>
  <c r="J90" i="10"/>
  <c r="C107" i="12"/>
  <c r="D107" i="12" s="1"/>
  <c r="E107" i="12" s="1"/>
  <c r="C99" i="11" l="1"/>
  <c r="D99" i="11" s="1"/>
  <c r="E99" i="11" s="1"/>
  <c r="C108" i="12"/>
  <c r="D108" i="12" s="1"/>
  <c r="E108" i="12"/>
  <c r="L97" i="11"/>
  <c r="M97" i="11" s="1"/>
  <c r="N97" i="11"/>
  <c r="H91" i="10"/>
  <c r="G91" i="10" s="1"/>
  <c r="J91" i="10"/>
  <c r="K118" i="12"/>
  <c r="J118" i="12" s="1"/>
  <c r="O118" i="12" s="1"/>
  <c r="M118" i="12"/>
  <c r="C100" i="11" l="1"/>
  <c r="D100" i="11" s="1"/>
  <c r="E100" i="11"/>
  <c r="L98" i="11"/>
  <c r="M98" i="11" s="1"/>
  <c r="N98" i="11"/>
  <c r="C109" i="12"/>
  <c r="D109" i="12" s="1"/>
  <c r="E109" i="12" s="1"/>
  <c r="M119" i="12"/>
  <c r="K119" i="12"/>
  <c r="J119" i="12" s="1"/>
  <c r="O119" i="12" s="1"/>
  <c r="J92" i="10"/>
  <c r="H92" i="10"/>
  <c r="G92" i="10" s="1"/>
  <c r="C110" i="12" l="1"/>
  <c r="D110" i="12" s="1"/>
  <c r="E110" i="12" s="1"/>
  <c r="L99" i="11"/>
  <c r="M99" i="11" s="1"/>
  <c r="N99" i="11" s="1"/>
  <c r="C101" i="11"/>
  <c r="D101" i="11" s="1"/>
  <c r="E101" i="11" s="1"/>
  <c r="H93" i="10"/>
  <c r="G93" i="10" s="1"/>
  <c r="J93" i="10"/>
  <c r="M120" i="12"/>
  <c r="K120" i="12"/>
  <c r="J120" i="12" s="1"/>
  <c r="O120" i="12" s="1"/>
  <c r="C102" i="11" l="1"/>
  <c r="D102" i="11" s="1"/>
  <c r="E102" i="11" s="1"/>
  <c r="L100" i="11"/>
  <c r="M100" i="11" s="1"/>
  <c r="N100" i="11" s="1"/>
  <c r="C111" i="12"/>
  <c r="D111" i="12" s="1"/>
  <c r="E111" i="12" s="1"/>
  <c r="K121" i="12"/>
  <c r="J121" i="12" s="1"/>
  <c r="O121" i="12" s="1"/>
  <c r="M121" i="12"/>
  <c r="H94" i="10"/>
  <c r="G94" i="10" s="1"/>
  <c r="J94" i="10"/>
  <c r="C112" i="12" l="1"/>
  <c r="D112" i="12" s="1"/>
  <c r="E112" i="12" s="1"/>
  <c r="L101" i="11"/>
  <c r="M101" i="11" s="1"/>
  <c r="N101" i="11" s="1"/>
  <c r="C103" i="11"/>
  <c r="D103" i="11" s="1"/>
  <c r="E103" i="11" s="1"/>
  <c r="J95" i="10"/>
  <c r="H95" i="10"/>
  <c r="G95" i="10" s="1"/>
  <c r="M122" i="12"/>
  <c r="K122" i="12"/>
  <c r="J122" i="12" s="1"/>
  <c r="O122" i="12" s="1"/>
  <c r="N102" i="11" l="1"/>
  <c r="L102" i="11"/>
  <c r="M102" i="11" s="1"/>
  <c r="C104" i="11"/>
  <c r="D104" i="11" s="1"/>
  <c r="E104" i="11" s="1"/>
  <c r="C113" i="12"/>
  <c r="D113" i="12" s="1"/>
  <c r="E113" i="12"/>
  <c r="M123" i="12"/>
  <c r="K123" i="12"/>
  <c r="J123" i="12" s="1"/>
  <c r="O123" i="12" s="1"/>
  <c r="H96" i="10"/>
  <c r="G96" i="10" s="1"/>
  <c r="J96" i="10"/>
  <c r="C105" i="11" l="1"/>
  <c r="D105" i="11" s="1"/>
  <c r="E105" i="11" s="1"/>
  <c r="H97" i="10"/>
  <c r="G97" i="10" s="1"/>
  <c r="J97" i="10"/>
  <c r="C114" i="12"/>
  <c r="D114" i="12" s="1"/>
  <c r="E114" i="12" s="1"/>
  <c r="K124" i="12"/>
  <c r="J124" i="12" s="1"/>
  <c r="O124" i="12" s="1"/>
  <c r="M124" i="12"/>
  <c r="L103" i="11"/>
  <c r="M103" i="11" s="1"/>
  <c r="N103" i="11" s="1"/>
  <c r="C115" i="12" l="1"/>
  <c r="D115" i="12" s="1"/>
  <c r="E115" i="12" s="1"/>
  <c r="L104" i="11"/>
  <c r="M104" i="11" s="1"/>
  <c r="N104" i="11" s="1"/>
  <c r="C106" i="11"/>
  <c r="D106" i="11" s="1"/>
  <c r="E106" i="11"/>
  <c r="J98" i="10"/>
  <c r="H98" i="10"/>
  <c r="G98" i="10" s="1"/>
  <c r="M125" i="12"/>
  <c r="K125" i="12"/>
  <c r="J125" i="12" s="1"/>
  <c r="O125" i="12" s="1"/>
  <c r="L105" i="11" l="1"/>
  <c r="M105" i="11" s="1"/>
  <c r="N105" i="11" s="1"/>
  <c r="C116" i="12"/>
  <c r="D116" i="12" s="1"/>
  <c r="E116" i="12" s="1"/>
  <c r="C107" i="11"/>
  <c r="D107" i="11" s="1"/>
  <c r="E107" i="11" s="1"/>
  <c r="M126" i="12"/>
  <c r="K126" i="12"/>
  <c r="J126" i="12" s="1"/>
  <c r="O126" i="12" s="1"/>
  <c r="H99" i="10"/>
  <c r="G99" i="10" s="1"/>
  <c r="J99" i="10"/>
  <c r="C108" i="11" l="1"/>
  <c r="D108" i="11" s="1"/>
  <c r="E108" i="11" s="1"/>
  <c r="C117" i="12"/>
  <c r="D117" i="12" s="1"/>
  <c r="E117" i="12" s="1"/>
  <c r="L106" i="11"/>
  <c r="M106" i="11" s="1"/>
  <c r="N106" i="11" s="1"/>
  <c r="H100" i="10"/>
  <c r="G100" i="10" s="1"/>
  <c r="J100" i="10"/>
  <c r="K127" i="12"/>
  <c r="J127" i="12" s="1"/>
  <c r="O127" i="12" s="1"/>
  <c r="M127" i="12"/>
  <c r="L107" i="11" l="1"/>
  <c r="M107" i="11" s="1"/>
  <c r="N107" i="11" s="1"/>
  <c r="C118" i="12"/>
  <c r="D118" i="12" s="1"/>
  <c r="E118" i="12" s="1"/>
  <c r="C109" i="11"/>
  <c r="D109" i="11" s="1"/>
  <c r="E109" i="11"/>
  <c r="M128" i="12"/>
  <c r="K128" i="12"/>
  <c r="J128" i="12" s="1"/>
  <c r="O128" i="12" s="1"/>
  <c r="J101" i="10"/>
  <c r="H101" i="10"/>
  <c r="G101" i="10" s="1"/>
  <c r="C119" i="12" l="1"/>
  <c r="D119" i="12" s="1"/>
  <c r="E119" i="12" s="1"/>
  <c r="L108" i="11"/>
  <c r="M108" i="11" s="1"/>
  <c r="N108" i="11" s="1"/>
  <c r="C110" i="11"/>
  <c r="D110" i="11" s="1"/>
  <c r="E110" i="11" s="1"/>
  <c r="H102" i="10"/>
  <c r="G102" i="10" s="1"/>
  <c r="J102" i="10"/>
  <c r="M129" i="12"/>
  <c r="K129" i="12"/>
  <c r="J129" i="12" s="1"/>
  <c r="O129" i="12" s="1"/>
  <c r="E111" i="11" l="1"/>
  <c r="C111" i="11"/>
  <c r="D111" i="11" s="1"/>
  <c r="L109" i="11"/>
  <c r="M109" i="11" s="1"/>
  <c r="N109" i="11" s="1"/>
  <c r="C120" i="12"/>
  <c r="D120" i="12" s="1"/>
  <c r="E120" i="12"/>
  <c r="K130" i="12"/>
  <c r="J130" i="12" s="1"/>
  <c r="O130" i="12" s="1"/>
  <c r="M130" i="12"/>
  <c r="H103" i="10"/>
  <c r="G103" i="10" s="1"/>
  <c r="J103" i="10"/>
  <c r="L110" i="11" l="1"/>
  <c r="M110" i="11" s="1"/>
  <c r="N110" i="11"/>
  <c r="C121" i="12"/>
  <c r="D121" i="12" s="1"/>
  <c r="E121" i="12" s="1"/>
  <c r="J104" i="10"/>
  <c r="H104" i="10"/>
  <c r="G104" i="10" s="1"/>
  <c r="M131" i="12"/>
  <c r="K131" i="12"/>
  <c r="J131" i="12" s="1"/>
  <c r="O131" i="12" s="1"/>
  <c r="C112" i="11"/>
  <c r="D112" i="11" s="1"/>
  <c r="E112" i="11"/>
  <c r="C122" i="12" l="1"/>
  <c r="D122" i="12" s="1"/>
  <c r="E122" i="12" s="1"/>
  <c r="H105" i="10"/>
  <c r="G105" i="10" s="1"/>
  <c r="J105" i="10"/>
  <c r="L111" i="11"/>
  <c r="M111" i="11" s="1"/>
  <c r="N111" i="11" s="1"/>
  <c r="E113" i="11"/>
  <c r="C113" i="11"/>
  <c r="D113" i="11" s="1"/>
  <c r="M132" i="12"/>
  <c r="K132" i="12"/>
  <c r="J132" i="12" s="1"/>
  <c r="O132" i="12" s="1"/>
  <c r="L112" i="11" l="1"/>
  <c r="M112" i="11" s="1"/>
  <c r="N112" i="11" s="1"/>
  <c r="C123" i="12"/>
  <c r="D123" i="12" s="1"/>
  <c r="E123" i="12" s="1"/>
  <c r="C114" i="11"/>
  <c r="D114" i="11" s="1"/>
  <c r="E114" i="11" s="1"/>
  <c r="H106" i="10"/>
  <c r="G106" i="10" s="1"/>
  <c r="J106" i="10"/>
  <c r="K133" i="12"/>
  <c r="J133" i="12" s="1"/>
  <c r="O133" i="12" s="1"/>
  <c r="M133" i="12"/>
  <c r="C124" i="12" l="1"/>
  <c r="D124" i="12" s="1"/>
  <c r="E124" i="12" s="1"/>
  <c r="C115" i="11"/>
  <c r="D115" i="11" s="1"/>
  <c r="E115" i="11" s="1"/>
  <c r="L113" i="11"/>
  <c r="M113" i="11" s="1"/>
  <c r="N113" i="11" s="1"/>
  <c r="M134" i="12"/>
  <c r="K134" i="12"/>
  <c r="J134" i="12" s="1"/>
  <c r="O134" i="12" s="1"/>
  <c r="J107" i="10"/>
  <c r="H107" i="10"/>
  <c r="G107" i="10" s="1"/>
  <c r="L114" i="11" l="1"/>
  <c r="M114" i="11" s="1"/>
  <c r="N114" i="11" s="1"/>
  <c r="C116" i="11"/>
  <c r="D116" i="11" s="1"/>
  <c r="E116" i="11" s="1"/>
  <c r="C125" i="12"/>
  <c r="D125" i="12" s="1"/>
  <c r="E125" i="12" s="1"/>
  <c r="H108" i="10"/>
  <c r="G108" i="10" s="1"/>
  <c r="J108" i="10"/>
  <c r="M135" i="12"/>
  <c r="K135" i="12"/>
  <c r="J135" i="12" s="1"/>
  <c r="O135" i="12" s="1"/>
  <c r="C117" i="11" l="1"/>
  <c r="D117" i="11" s="1"/>
  <c r="E117" i="11" s="1"/>
  <c r="C126" i="12"/>
  <c r="D126" i="12" s="1"/>
  <c r="E126" i="12" s="1"/>
  <c r="L115" i="11"/>
  <c r="M115" i="11" s="1"/>
  <c r="N115" i="11" s="1"/>
  <c r="H109" i="10"/>
  <c r="G109" i="10" s="1"/>
  <c r="J109" i="10"/>
  <c r="K136" i="12"/>
  <c r="J136" i="12" s="1"/>
  <c r="O136" i="12" s="1"/>
  <c r="M136" i="12"/>
  <c r="C127" i="12" l="1"/>
  <c r="D127" i="12" s="1"/>
  <c r="E127" i="12" s="1"/>
  <c r="L116" i="11"/>
  <c r="M116" i="11" s="1"/>
  <c r="N116" i="11" s="1"/>
  <c r="C118" i="11"/>
  <c r="D118" i="11" s="1"/>
  <c r="E118" i="11" s="1"/>
  <c r="M137" i="12"/>
  <c r="K137" i="12"/>
  <c r="J137" i="12" s="1"/>
  <c r="O137" i="12" s="1"/>
  <c r="J110" i="10"/>
  <c r="H110" i="10"/>
  <c r="G110" i="10" s="1"/>
  <c r="C119" i="11" l="1"/>
  <c r="D119" i="11" s="1"/>
  <c r="E119" i="11" s="1"/>
  <c r="L117" i="11"/>
  <c r="M117" i="11" s="1"/>
  <c r="N117" i="11" s="1"/>
  <c r="C128" i="12"/>
  <c r="D128" i="12" s="1"/>
  <c r="E128" i="12" s="1"/>
  <c r="H111" i="10"/>
  <c r="G111" i="10" s="1"/>
  <c r="J111" i="10"/>
  <c r="M138" i="12"/>
  <c r="K138" i="12"/>
  <c r="J138" i="12" s="1"/>
  <c r="O138" i="12" s="1"/>
  <c r="C129" i="12" l="1"/>
  <c r="D129" i="12" s="1"/>
  <c r="E129" i="12" s="1"/>
  <c r="L118" i="11"/>
  <c r="M118" i="11" s="1"/>
  <c r="N118" i="11" s="1"/>
  <c r="C120" i="11"/>
  <c r="D120" i="11" s="1"/>
  <c r="E120" i="11" s="1"/>
  <c r="H112" i="10"/>
  <c r="G112" i="10" s="1"/>
  <c r="J112" i="10"/>
  <c r="K139" i="12"/>
  <c r="J139" i="12" s="1"/>
  <c r="O139" i="12" s="1"/>
  <c r="M139" i="12"/>
  <c r="C121" i="11" l="1"/>
  <c r="D121" i="11" s="1"/>
  <c r="E121" i="11" s="1"/>
  <c r="L119" i="11"/>
  <c r="M119" i="11" s="1"/>
  <c r="N119" i="11"/>
  <c r="C130" i="12"/>
  <c r="D130" i="12" s="1"/>
  <c r="E130" i="12" s="1"/>
  <c r="M140" i="12"/>
  <c r="K140" i="12"/>
  <c r="J140" i="12" s="1"/>
  <c r="O140" i="12" s="1"/>
  <c r="J113" i="10"/>
  <c r="H113" i="10"/>
  <c r="G113" i="10" s="1"/>
  <c r="C131" i="12" l="1"/>
  <c r="D131" i="12" s="1"/>
  <c r="E131" i="12"/>
  <c r="C122" i="11"/>
  <c r="D122" i="11" s="1"/>
  <c r="E122" i="11" s="1"/>
  <c r="H114" i="10"/>
  <c r="G114" i="10" s="1"/>
  <c r="J114" i="10"/>
  <c r="L120" i="11"/>
  <c r="M120" i="11" s="1"/>
  <c r="N120" i="11" s="1"/>
  <c r="M141" i="12"/>
  <c r="K141" i="12"/>
  <c r="J141" i="12" s="1"/>
  <c r="O141" i="12" s="1"/>
  <c r="L121" i="11" l="1"/>
  <c r="M121" i="11" s="1"/>
  <c r="N121" i="11" s="1"/>
  <c r="C123" i="11"/>
  <c r="D123" i="11" s="1"/>
  <c r="E123" i="11" s="1"/>
  <c r="H115" i="10"/>
  <c r="G115" i="10" s="1"/>
  <c r="J115" i="10"/>
  <c r="C132" i="12"/>
  <c r="D132" i="12" s="1"/>
  <c r="E132" i="12"/>
  <c r="K142" i="12"/>
  <c r="J142" i="12" s="1"/>
  <c r="O142" i="12" s="1"/>
  <c r="M142" i="12"/>
  <c r="E124" i="11" l="1"/>
  <c r="C124" i="11"/>
  <c r="D124" i="11" s="1"/>
  <c r="L122" i="11"/>
  <c r="M122" i="11" s="1"/>
  <c r="N122" i="11" s="1"/>
  <c r="J116" i="10"/>
  <c r="H116" i="10"/>
  <c r="G116" i="10" s="1"/>
  <c r="M143" i="12"/>
  <c r="K143" i="12"/>
  <c r="J143" i="12" s="1"/>
  <c r="O143" i="12" s="1"/>
  <c r="C133" i="12"/>
  <c r="D133" i="12" s="1"/>
  <c r="E133" i="12" s="1"/>
  <c r="L123" i="11" l="1"/>
  <c r="Q122" i="11"/>
  <c r="Q132" i="11" s="1"/>
  <c r="C134" i="12"/>
  <c r="D134" i="12" s="1"/>
  <c r="E134" i="12" s="1"/>
  <c r="C125" i="11"/>
  <c r="D125" i="11" s="1"/>
  <c r="E125" i="11" s="1"/>
  <c r="H117" i="10"/>
  <c r="G117" i="10" s="1"/>
  <c r="J117" i="10"/>
  <c r="M144" i="12"/>
  <c r="K144" i="12"/>
  <c r="J144" i="12" s="1"/>
  <c r="O144" i="12" s="1"/>
  <c r="C126" i="11" l="1"/>
  <c r="D126" i="11" s="1"/>
  <c r="E126" i="11" s="1"/>
  <c r="C135" i="12"/>
  <c r="D135" i="12" s="1"/>
  <c r="E135" i="12" s="1"/>
  <c r="P56" i="15"/>
  <c r="K362" i="11"/>
  <c r="K359" i="11"/>
  <c r="K356" i="11"/>
  <c r="K353" i="11"/>
  <c r="K407" i="11"/>
  <c r="K399" i="11"/>
  <c r="K397" i="11"/>
  <c r="K390" i="11"/>
  <c r="K388" i="11"/>
  <c r="K381" i="11"/>
  <c r="K379" i="11"/>
  <c r="K372" i="11"/>
  <c r="K370" i="11"/>
  <c r="K363" i="11"/>
  <c r="K361" i="11"/>
  <c r="K352" i="11"/>
  <c r="K349" i="11"/>
  <c r="K346" i="11"/>
  <c r="K343" i="11"/>
  <c r="K340" i="11"/>
  <c r="K337" i="11"/>
  <c r="K334" i="11"/>
  <c r="K331" i="11"/>
  <c r="K328" i="11"/>
  <c r="K325" i="11"/>
  <c r="K322" i="11"/>
  <c r="K319" i="11"/>
  <c r="K316" i="11"/>
  <c r="K313" i="11"/>
  <c r="K310" i="11"/>
  <c r="K307" i="11"/>
  <c r="K304" i="11"/>
  <c r="K301" i="11"/>
  <c r="K298" i="11"/>
  <c r="K295" i="11"/>
  <c r="K292" i="11"/>
  <c r="K289" i="11"/>
  <c r="K286" i="11"/>
  <c r="K283" i="11"/>
  <c r="K280" i="11"/>
  <c r="K277" i="11"/>
  <c r="K274" i="11"/>
  <c r="K271" i="11"/>
  <c r="K268" i="11"/>
  <c r="K265" i="11"/>
  <c r="K262" i="11"/>
  <c r="K259" i="11"/>
  <c r="K256" i="11"/>
  <c r="K253" i="11"/>
  <c r="K250" i="11"/>
  <c r="K247" i="11"/>
  <c r="K244" i="11"/>
  <c r="K241" i="11"/>
  <c r="K238" i="11"/>
  <c r="K235" i="11"/>
  <c r="K232" i="11"/>
  <c r="K229" i="11"/>
  <c r="K226" i="11"/>
  <c r="K223" i="11"/>
  <c r="K220" i="11"/>
  <c r="K217" i="11"/>
  <c r="K214" i="11"/>
  <c r="K211" i="11"/>
  <c r="K208" i="11"/>
  <c r="K205" i="11"/>
  <c r="K202" i="11"/>
  <c r="K199" i="11"/>
  <c r="K196" i="11"/>
  <c r="K193" i="11"/>
  <c r="K190" i="11"/>
  <c r="K398" i="11"/>
  <c r="K389" i="11"/>
  <c r="K380" i="11"/>
  <c r="K371" i="11"/>
  <c r="K357" i="11"/>
  <c r="K405" i="11"/>
  <c r="K403" i="11"/>
  <c r="K396" i="11"/>
  <c r="K394" i="11"/>
  <c r="K387" i="11"/>
  <c r="K385" i="11"/>
  <c r="K378" i="11"/>
  <c r="K376" i="11"/>
  <c r="K369" i="11"/>
  <c r="K367" i="11"/>
  <c r="K355" i="11"/>
  <c r="K350" i="11"/>
  <c r="K347" i="11"/>
  <c r="K344" i="11"/>
  <c r="K341" i="11"/>
  <c r="K338" i="11"/>
  <c r="K335" i="11"/>
  <c r="K332" i="11"/>
  <c r="K329" i="11"/>
  <c r="K326" i="11"/>
  <c r="K323" i="11"/>
  <c r="K320" i="11"/>
  <c r="K317" i="11"/>
  <c r="K314" i="11"/>
  <c r="K311" i="11"/>
  <c r="K308" i="11"/>
  <c r="K305" i="11"/>
  <c r="K302" i="11"/>
  <c r="K299" i="11"/>
  <c r="K296" i="11"/>
  <c r="K293" i="11"/>
  <c r="K290" i="11"/>
  <c r="K287" i="11"/>
  <c r="K284" i="11"/>
  <c r="K281" i="11"/>
  <c r="K278" i="11"/>
  <c r="K275" i="11"/>
  <c r="K272" i="11"/>
  <c r="K269" i="11"/>
  <c r="K266" i="11"/>
  <c r="K263" i="11"/>
  <c r="K260" i="11"/>
  <c r="K257" i="11"/>
  <c r="K254" i="11"/>
  <c r="K251" i="11"/>
  <c r="K248" i="11"/>
  <c r="K245" i="11"/>
  <c r="K242" i="11"/>
  <c r="K239" i="11"/>
  <c r="K236" i="11"/>
  <c r="K233" i="11"/>
  <c r="K230" i="11"/>
  <c r="K227" i="11"/>
  <c r="K224" i="11"/>
  <c r="K221" i="11"/>
  <c r="K406" i="11"/>
  <c r="K395" i="11"/>
  <c r="K377" i="11"/>
  <c r="K219" i="11"/>
  <c r="K216" i="11"/>
  <c r="K207" i="11"/>
  <c r="K198" i="11"/>
  <c r="K189" i="11"/>
  <c r="K186" i="11"/>
  <c r="K183" i="11"/>
  <c r="K180" i="11"/>
  <c r="K177" i="11"/>
  <c r="K174" i="11"/>
  <c r="K171" i="11"/>
  <c r="K168" i="11"/>
  <c r="K165" i="11"/>
  <c r="K162" i="11"/>
  <c r="K159" i="11"/>
  <c r="K156" i="11"/>
  <c r="K153" i="11"/>
  <c r="K150" i="11"/>
  <c r="K147" i="11"/>
  <c r="K144" i="11"/>
  <c r="K141" i="11"/>
  <c r="K138" i="11"/>
  <c r="K135" i="11"/>
  <c r="K130" i="11"/>
  <c r="K128" i="11"/>
  <c r="K402" i="11"/>
  <c r="K391" i="11"/>
  <c r="K384" i="11"/>
  <c r="K373" i="11"/>
  <c r="K366" i="11"/>
  <c r="K215" i="11"/>
  <c r="K404" i="11"/>
  <c r="K386" i="11"/>
  <c r="K368" i="11"/>
  <c r="K360" i="11"/>
  <c r="K212" i="11"/>
  <c r="K203" i="11"/>
  <c r="K194" i="11"/>
  <c r="K131" i="11"/>
  <c r="K129" i="11"/>
  <c r="K408" i="11"/>
  <c r="K400" i="11"/>
  <c r="K393" i="11"/>
  <c r="K382" i="11"/>
  <c r="K375" i="11"/>
  <c r="K364" i="11"/>
  <c r="K358" i="11"/>
  <c r="K351" i="11"/>
  <c r="K348" i="11"/>
  <c r="K345" i="11"/>
  <c r="K342" i="11"/>
  <c r="K339" i="11"/>
  <c r="K336" i="11"/>
  <c r="K333" i="11"/>
  <c r="K330" i="11"/>
  <c r="K327" i="11"/>
  <c r="K324" i="11"/>
  <c r="K321" i="11"/>
  <c r="K318" i="11"/>
  <c r="K315" i="11"/>
  <c r="K312" i="11"/>
  <c r="K309" i="11"/>
  <c r="K306" i="11"/>
  <c r="K303" i="11"/>
  <c r="K300" i="11"/>
  <c r="K297" i="11"/>
  <c r="K294" i="11"/>
  <c r="K291" i="11"/>
  <c r="K288" i="11"/>
  <c r="K285" i="11"/>
  <c r="K282" i="11"/>
  <c r="K279" i="11"/>
  <c r="K276" i="11"/>
  <c r="K273" i="11"/>
  <c r="K270" i="11"/>
  <c r="K267" i="11"/>
  <c r="K264" i="11"/>
  <c r="K261" i="11"/>
  <c r="K258" i="11"/>
  <c r="K255" i="11"/>
  <c r="K252" i="11"/>
  <c r="K249" i="11"/>
  <c r="K246" i="11"/>
  <c r="K243" i="11"/>
  <c r="K240" i="11"/>
  <c r="K237" i="11"/>
  <c r="K234" i="11"/>
  <c r="K231" i="11"/>
  <c r="K228" i="11"/>
  <c r="K225" i="11"/>
  <c r="K222" i="11"/>
  <c r="K210" i="11"/>
  <c r="K201" i="11"/>
  <c r="K192" i="11"/>
  <c r="K187" i="11"/>
  <c r="K184" i="11"/>
  <c r="K181" i="11"/>
  <c r="K178" i="11"/>
  <c r="K175" i="11"/>
  <c r="K172" i="11"/>
  <c r="K169" i="11"/>
  <c r="K166" i="11"/>
  <c r="K163" i="11"/>
  <c r="K160" i="11"/>
  <c r="K157" i="11"/>
  <c r="K154" i="11"/>
  <c r="K151" i="11"/>
  <c r="K148" i="11"/>
  <c r="K145" i="11"/>
  <c r="K142" i="11"/>
  <c r="K139" i="11"/>
  <c r="K136" i="11"/>
  <c r="K133" i="11"/>
  <c r="K126" i="11"/>
  <c r="K124" i="11"/>
  <c r="K392" i="11"/>
  <c r="K125" i="11"/>
  <c r="K401" i="11"/>
  <c r="K409" i="11"/>
  <c r="K365" i="11"/>
  <c r="K213" i="11"/>
  <c r="K204" i="11"/>
  <c r="K195" i="11"/>
  <c r="K188" i="11"/>
  <c r="K185" i="11"/>
  <c r="K182" i="11"/>
  <c r="K179" i="11"/>
  <c r="K176" i="11"/>
  <c r="K173" i="11"/>
  <c r="K170" i="11"/>
  <c r="K167" i="11"/>
  <c r="K164" i="11"/>
  <c r="K161" i="11"/>
  <c r="K158" i="11"/>
  <c r="K155" i="11"/>
  <c r="K152" i="11"/>
  <c r="K149" i="11"/>
  <c r="K146" i="11"/>
  <c r="K143" i="11"/>
  <c r="K140" i="11"/>
  <c r="K137" i="11"/>
  <c r="K134" i="11"/>
  <c r="K127" i="11"/>
  <c r="K374" i="11"/>
  <c r="K218" i="11"/>
  <c r="K209" i="11"/>
  <c r="K200" i="11"/>
  <c r="K191" i="11"/>
  <c r="K383" i="11"/>
  <c r="K132" i="11"/>
  <c r="K354" i="11"/>
  <c r="K206" i="11"/>
  <c r="K123" i="11"/>
  <c r="K197" i="11"/>
  <c r="K145" i="12"/>
  <c r="J145" i="12" s="1"/>
  <c r="O145" i="12" s="1"/>
  <c r="M145" i="12"/>
  <c r="H118" i="10"/>
  <c r="G118" i="10" s="1"/>
  <c r="J118" i="10"/>
  <c r="C136" i="12" l="1"/>
  <c r="D136" i="12" s="1"/>
  <c r="E136" i="12" s="1"/>
  <c r="C127" i="11"/>
  <c r="D127" i="11" s="1"/>
  <c r="E127" i="11" s="1"/>
  <c r="M123" i="11"/>
  <c r="N123" i="11" s="1"/>
  <c r="M146" i="12"/>
  <c r="K146" i="12"/>
  <c r="J146" i="12" s="1"/>
  <c r="O146" i="12" s="1"/>
  <c r="J119" i="10"/>
  <c r="H119" i="10"/>
  <c r="G119" i="10" s="1"/>
  <c r="C137" i="12" l="1"/>
  <c r="D137" i="12" s="1"/>
  <c r="E137" i="12" s="1"/>
  <c r="C128" i="11"/>
  <c r="D128" i="11" s="1"/>
  <c r="E128" i="11" s="1"/>
  <c r="H120" i="10"/>
  <c r="G120" i="10" s="1"/>
  <c r="J120" i="10"/>
  <c r="L124" i="11"/>
  <c r="M124" i="11" s="1"/>
  <c r="N124" i="11" s="1"/>
  <c r="M147" i="12"/>
  <c r="K147" i="12"/>
  <c r="J147" i="12" s="1"/>
  <c r="O147" i="12" s="1"/>
  <c r="L125" i="11" l="1"/>
  <c r="M125" i="11" s="1"/>
  <c r="N125" i="11"/>
  <c r="C129" i="11"/>
  <c r="D129" i="11" s="1"/>
  <c r="E129" i="11"/>
  <c r="C138" i="12"/>
  <c r="D138" i="12" s="1"/>
  <c r="E138" i="12" s="1"/>
  <c r="K148" i="12"/>
  <c r="J148" i="12" s="1"/>
  <c r="O148" i="12" s="1"/>
  <c r="M148" i="12"/>
  <c r="H121" i="10"/>
  <c r="G121" i="10" s="1"/>
  <c r="J121" i="10"/>
  <c r="C139" i="12" l="1"/>
  <c r="D139" i="12" s="1"/>
  <c r="E139" i="12" s="1"/>
  <c r="C130" i="11"/>
  <c r="D130" i="11" s="1"/>
  <c r="E130" i="11" s="1"/>
  <c r="J122" i="10"/>
  <c r="H122" i="10"/>
  <c r="G122" i="10" s="1"/>
  <c r="L126" i="11"/>
  <c r="M126" i="11" s="1"/>
  <c r="N126" i="11"/>
  <c r="M149" i="12"/>
  <c r="K149" i="12"/>
  <c r="J149" i="12" s="1"/>
  <c r="O149" i="12" s="1"/>
  <c r="C140" i="12" l="1"/>
  <c r="D140" i="12" s="1"/>
  <c r="E140" i="12" s="1"/>
  <c r="C131" i="11"/>
  <c r="D131" i="11" s="1"/>
  <c r="E131" i="11" s="1"/>
  <c r="H123" i="10"/>
  <c r="G123" i="10" s="1"/>
  <c r="J123" i="10"/>
  <c r="L127" i="11"/>
  <c r="M127" i="11" s="1"/>
  <c r="N127" i="11" s="1"/>
  <c r="M150" i="12"/>
  <c r="K150" i="12"/>
  <c r="J150" i="12" s="1"/>
  <c r="O150" i="12" s="1"/>
  <c r="L128" i="11" l="1"/>
  <c r="M128" i="11" s="1"/>
  <c r="N128" i="11" s="1"/>
  <c r="C132" i="11"/>
  <c r="D132" i="11" s="1"/>
  <c r="E132" i="11"/>
  <c r="C141" i="12"/>
  <c r="D141" i="12" s="1"/>
  <c r="E141" i="12" s="1"/>
  <c r="H124" i="10"/>
  <c r="G124" i="10" s="1"/>
  <c r="J124" i="10"/>
  <c r="K151" i="12"/>
  <c r="J151" i="12" s="1"/>
  <c r="O151" i="12" s="1"/>
  <c r="M151" i="12"/>
  <c r="C142" i="12" l="1"/>
  <c r="D142" i="12" s="1"/>
  <c r="E142" i="12" s="1"/>
  <c r="L129" i="11"/>
  <c r="M129" i="11" s="1"/>
  <c r="N129" i="11" s="1"/>
  <c r="M152" i="12"/>
  <c r="K152" i="12"/>
  <c r="J152" i="12" s="1"/>
  <c r="O152" i="12" s="1"/>
  <c r="J125" i="10"/>
  <c r="H125" i="10"/>
  <c r="G125" i="10" s="1"/>
  <c r="C133" i="11"/>
  <c r="D133" i="11" s="1"/>
  <c r="E133" i="11" s="1"/>
  <c r="L130" i="11" l="1"/>
  <c r="M130" i="11" s="1"/>
  <c r="N130" i="11" s="1"/>
  <c r="C134" i="11"/>
  <c r="D134" i="11" s="1"/>
  <c r="E134" i="11" s="1"/>
  <c r="C143" i="12"/>
  <c r="D143" i="12" s="1"/>
  <c r="E143" i="12" s="1"/>
  <c r="M153" i="12"/>
  <c r="K153" i="12"/>
  <c r="J153" i="12" s="1"/>
  <c r="O153" i="12" s="1"/>
  <c r="H126" i="10"/>
  <c r="G126" i="10" s="1"/>
  <c r="J126" i="10"/>
  <c r="C144" i="12" l="1"/>
  <c r="D144" i="12" s="1"/>
  <c r="E144" i="12"/>
  <c r="C135" i="11"/>
  <c r="D135" i="11" s="1"/>
  <c r="E135" i="11" s="1"/>
  <c r="L131" i="11"/>
  <c r="M131" i="11" s="1"/>
  <c r="N131" i="11" s="1"/>
  <c r="H127" i="10"/>
  <c r="G127" i="10" s="1"/>
  <c r="J127" i="10"/>
  <c r="K154" i="12"/>
  <c r="J154" i="12" s="1"/>
  <c r="O154" i="12" s="1"/>
  <c r="M154" i="12"/>
  <c r="L132" i="11" l="1"/>
  <c r="M132" i="11" s="1"/>
  <c r="N132" i="11"/>
  <c r="E136" i="11"/>
  <c r="C136" i="11"/>
  <c r="D136" i="11" s="1"/>
  <c r="M155" i="12"/>
  <c r="K155" i="12"/>
  <c r="J155" i="12" s="1"/>
  <c r="O155" i="12" s="1"/>
  <c r="C145" i="12"/>
  <c r="D145" i="12" s="1"/>
  <c r="E145" i="12" s="1"/>
  <c r="J128" i="10"/>
  <c r="H128" i="10"/>
  <c r="G128" i="10" s="1"/>
  <c r="C146" i="12" l="1"/>
  <c r="D146" i="12" s="1"/>
  <c r="E146" i="12"/>
  <c r="M156" i="12"/>
  <c r="K156" i="12"/>
  <c r="J156" i="12" s="1"/>
  <c r="O156" i="12" s="1"/>
  <c r="L133" i="11"/>
  <c r="M133" i="11" s="1"/>
  <c r="N133" i="11" s="1"/>
  <c r="H129" i="10"/>
  <c r="G129" i="10" s="1"/>
  <c r="J129" i="10"/>
  <c r="E137" i="11"/>
  <c r="C137" i="11"/>
  <c r="D137" i="11" s="1"/>
  <c r="L134" i="11" l="1"/>
  <c r="M134" i="11" s="1"/>
  <c r="N134" i="11" s="1"/>
  <c r="C138" i="11"/>
  <c r="D138" i="11" s="1"/>
  <c r="E138" i="11"/>
  <c r="K157" i="12"/>
  <c r="J157" i="12" s="1"/>
  <c r="O157" i="12" s="1"/>
  <c r="M157" i="12"/>
  <c r="H130" i="10"/>
  <c r="G130" i="10" s="1"/>
  <c r="J130" i="10"/>
  <c r="C147" i="12"/>
  <c r="D147" i="12" s="1"/>
  <c r="E147" i="12"/>
  <c r="L135" i="11" l="1"/>
  <c r="M135" i="11" s="1"/>
  <c r="N135" i="11" s="1"/>
  <c r="M158" i="12"/>
  <c r="K158" i="12"/>
  <c r="J158" i="12" s="1"/>
  <c r="O158" i="12" s="1"/>
  <c r="C148" i="12"/>
  <c r="D148" i="12" s="1"/>
  <c r="E148" i="12" s="1"/>
  <c r="C139" i="11"/>
  <c r="D139" i="11" s="1"/>
  <c r="E139" i="11" s="1"/>
  <c r="J131" i="10"/>
  <c r="H131" i="10"/>
  <c r="G131" i="10" s="1"/>
  <c r="C140" i="11" l="1"/>
  <c r="D140" i="11" s="1"/>
  <c r="E140" i="11" s="1"/>
  <c r="C149" i="12"/>
  <c r="D149" i="12" s="1"/>
  <c r="E149" i="12"/>
  <c r="L136" i="11"/>
  <c r="M136" i="11" s="1"/>
  <c r="N136" i="11" s="1"/>
  <c r="H132" i="10"/>
  <c r="G132" i="10" s="1"/>
  <c r="J132" i="10"/>
  <c r="M159" i="12"/>
  <c r="K159" i="12"/>
  <c r="J159" i="12" s="1"/>
  <c r="O159" i="12" s="1"/>
  <c r="L137" i="11" l="1"/>
  <c r="M137" i="11" s="1"/>
  <c r="N137" i="11" s="1"/>
  <c r="C141" i="11"/>
  <c r="D141" i="11" s="1"/>
  <c r="E141" i="11"/>
  <c r="C150" i="12"/>
  <c r="D150" i="12" s="1"/>
  <c r="E150" i="12"/>
  <c r="H133" i="10"/>
  <c r="G133" i="10" s="1"/>
  <c r="J133" i="10"/>
  <c r="K160" i="12"/>
  <c r="J160" i="12" s="1"/>
  <c r="O160" i="12" s="1"/>
  <c r="M160" i="12"/>
  <c r="L138" i="11" l="1"/>
  <c r="M138" i="11" s="1"/>
  <c r="N138" i="11" s="1"/>
  <c r="M161" i="12"/>
  <c r="K161" i="12"/>
  <c r="J161" i="12" s="1"/>
  <c r="O161" i="12" s="1"/>
  <c r="C151" i="12"/>
  <c r="D151" i="12" s="1"/>
  <c r="E151" i="12" s="1"/>
  <c r="C142" i="11"/>
  <c r="D142" i="11" s="1"/>
  <c r="E142" i="11" s="1"/>
  <c r="J134" i="10"/>
  <c r="H134" i="10"/>
  <c r="G134" i="10" s="1"/>
  <c r="C152" i="12" l="1"/>
  <c r="D152" i="12" s="1"/>
  <c r="E152" i="12" s="1"/>
  <c r="C143" i="11"/>
  <c r="D143" i="11" s="1"/>
  <c r="E143" i="11" s="1"/>
  <c r="L139" i="11"/>
  <c r="M139" i="11" s="1"/>
  <c r="N139" i="11" s="1"/>
  <c r="H135" i="10"/>
  <c r="G135" i="10" s="1"/>
  <c r="J135" i="10"/>
  <c r="M162" i="12"/>
  <c r="K162" i="12"/>
  <c r="J162" i="12" s="1"/>
  <c r="O162" i="12" s="1"/>
  <c r="C144" i="11" l="1"/>
  <c r="D144" i="11" s="1"/>
  <c r="E144" i="11" s="1"/>
  <c r="L140" i="11"/>
  <c r="M140" i="11" s="1"/>
  <c r="N140" i="11" s="1"/>
  <c r="C153" i="12"/>
  <c r="D153" i="12" s="1"/>
  <c r="E153" i="12"/>
  <c r="H136" i="10"/>
  <c r="G136" i="10" s="1"/>
  <c r="J136" i="10"/>
  <c r="K163" i="12"/>
  <c r="J163" i="12" s="1"/>
  <c r="O163" i="12" s="1"/>
  <c r="M163" i="12"/>
  <c r="L141" i="11" l="1"/>
  <c r="M141" i="11" s="1"/>
  <c r="N141" i="11" s="1"/>
  <c r="C145" i="11"/>
  <c r="D145" i="11" s="1"/>
  <c r="E145" i="11" s="1"/>
  <c r="M164" i="12"/>
  <c r="K164" i="12"/>
  <c r="J164" i="12" s="1"/>
  <c r="O164" i="12" s="1"/>
  <c r="J137" i="10"/>
  <c r="H137" i="10"/>
  <c r="G137" i="10" s="1"/>
  <c r="C154" i="12"/>
  <c r="D154" i="12" s="1"/>
  <c r="E154" i="12" s="1"/>
  <c r="C146" i="11" l="1"/>
  <c r="D146" i="11" s="1"/>
  <c r="E146" i="11" s="1"/>
  <c r="C155" i="12"/>
  <c r="D155" i="12" s="1"/>
  <c r="E155" i="12"/>
  <c r="L142" i="11"/>
  <c r="M142" i="11" s="1"/>
  <c r="N142" i="11"/>
  <c r="M165" i="12"/>
  <c r="K165" i="12"/>
  <c r="J165" i="12" s="1"/>
  <c r="O165" i="12" s="1"/>
  <c r="H138" i="10"/>
  <c r="G138" i="10" s="1"/>
  <c r="J138" i="10"/>
  <c r="C147" i="11" l="1"/>
  <c r="D147" i="11" s="1"/>
  <c r="E147" i="11" s="1"/>
  <c r="L143" i="11"/>
  <c r="M143" i="11" s="1"/>
  <c r="N143" i="11" s="1"/>
  <c r="H139" i="10"/>
  <c r="G139" i="10" s="1"/>
  <c r="J139" i="10"/>
  <c r="C156" i="12"/>
  <c r="D156" i="12" s="1"/>
  <c r="E156" i="12" s="1"/>
  <c r="K166" i="12"/>
  <c r="J166" i="12" s="1"/>
  <c r="O166" i="12" s="1"/>
  <c r="M166" i="12"/>
  <c r="L144" i="11" l="1"/>
  <c r="M144" i="11" s="1"/>
  <c r="N144" i="11" s="1"/>
  <c r="C157" i="12"/>
  <c r="D157" i="12" s="1"/>
  <c r="E157" i="12" s="1"/>
  <c r="C148" i="11"/>
  <c r="D148" i="11" s="1"/>
  <c r="E148" i="11" s="1"/>
  <c r="M167" i="12"/>
  <c r="K167" i="12"/>
  <c r="J167" i="12" s="1"/>
  <c r="O167" i="12" s="1"/>
  <c r="J140" i="10"/>
  <c r="H140" i="10"/>
  <c r="G140" i="10" s="1"/>
  <c r="C158" i="12" l="1"/>
  <c r="D158" i="12" s="1"/>
  <c r="E158" i="12" s="1"/>
  <c r="C149" i="11"/>
  <c r="D149" i="11" s="1"/>
  <c r="E149" i="11" s="1"/>
  <c r="L145" i="11"/>
  <c r="M145" i="11" s="1"/>
  <c r="N145" i="11"/>
  <c r="C58" i="15"/>
  <c r="F58" i="15" s="1"/>
  <c r="I141" i="10"/>
  <c r="I142" i="10" s="1"/>
  <c r="H141" i="10"/>
  <c r="J141" i="10"/>
  <c r="D59" i="15" s="1"/>
  <c r="F59" i="15" s="1"/>
  <c r="M168" i="12"/>
  <c r="K168" i="12"/>
  <c r="J168" i="12" s="1"/>
  <c r="O168" i="12" s="1"/>
  <c r="C150" i="11" l="1"/>
  <c r="D150" i="11" s="1"/>
  <c r="E150" i="11"/>
  <c r="C159" i="12"/>
  <c r="D159" i="12" s="1"/>
  <c r="E159" i="12"/>
  <c r="K169" i="12"/>
  <c r="J169" i="12" s="1"/>
  <c r="O169" i="12" s="1"/>
  <c r="M169" i="12"/>
  <c r="G141" i="10"/>
  <c r="G142" i="10" s="1"/>
  <c r="H142" i="10"/>
  <c r="L146" i="11"/>
  <c r="M146" i="11" s="1"/>
  <c r="N146" i="11" s="1"/>
  <c r="F60" i="15"/>
  <c r="L147" i="11" l="1"/>
  <c r="M147" i="11" s="1"/>
  <c r="N147" i="11" s="1"/>
  <c r="E160" i="12"/>
  <c r="C160" i="12"/>
  <c r="D160" i="12" s="1"/>
  <c r="C151" i="11"/>
  <c r="D151" i="11" s="1"/>
  <c r="E151" i="11" s="1"/>
  <c r="M170" i="12"/>
  <c r="K170" i="12"/>
  <c r="J170" i="12" s="1"/>
  <c r="O170" i="12" s="1"/>
  <c r="W3" i="15"/>
  <c r="C152" i="11" l="1"/>
  <c r="D152" i="11" s="1"/>
  <c r="E152" i="11" s="1"/>
  <c r="L148" i="11"/>
  <c r="M148" i="11" s="1"/>
  <c r="N148" i="11" s="1"/>
  <c r="C161" i="12"/>
  <c r="D161" i="12" s="1"/>
  <c r="E161" i="12" s="1"/>
  <c r="M171" i="12"/>
  <c r="K171" i="12"/>
  <c r="J171" i="12" s="1"/>
  <c r="O171" i="12" s="1"/>
  <c r="C162" i="12" l="1"/>
  <c r="D162" i="12" s="1"/>
  <c r="E162" i="12"/>
  <c r="L149" i="11"/>
  <c r="M149" i="11" s="1"/>
  <c r="N149" i="11" s="1"/>
  <c r="C153" i="11"/>
  <c r="D153" i="11" s="1"/>
  <c r="E153" i="11"/>
  <c r="K172" i="12"/>
  <c r="J172" i="12" s="1"/>
  <c r="O172" i="12" s="1"/>
  <c r="M172" i="12"/>
  <c r="L150" i="11" l="1"/>
  <c r="M150" i="11" s="1"/>
  <c r="N150" i="11" s="1"/>
  <c r="C154" i="11"/>
  <c r="D154" i="11" s="1"/>
  <c r="E154" i="11" s="1"/>
  <c r="M173" i="12"/>
  <c r="K173" i="12"/>
  <c r="J173" i="12" s="1"/>
  <c r="O173" i="12" s="1"/>
  <c r="C163" i="12"/>
  <c r="D163" i="12" s="1"/>
  <c r="E163" i="12" s="1"/>
  <c r="C155" i="11" l="1"/>
  <c r="D155" i="11" s="1"/>
  <c r="E155" i="11" s="1"/>
  <c r="C164" i="12"/>
  <c r="D164" i="12" s="1"/>
  <c r="E164" i="12"/>
  <c r="L151" i="11"/>
  <c r="M151" i="11" s="1"/>
  <c r="N151" i="11"/>
  <c r="M174" i="12"/>
  <c r="K174" i="12"/>
  <c r="J174" i="12" s="1"/>
  <c r="O174" i="12" s="1"/>
  <c r="C156" i="11" l="1"/>
  <c r="D156" i="11" s="1"/>
  <c r="E156" i="11" s="1"/>
  <c r="L152" i="11"/>
  <c r="M152" i="11" s="1"/>
  <c r="N152" i="11" s="1"/>
  <c r="C165" i="12"/>
  <c r="D165" i="12" s="1"/>
  <c r="E165" i="12"/>
  <c r="K175" i="12"/>
  <c r="J175" i="12" s="1"/>
  <c r="O175" i="12" s="1"/>
  <c r="M175" i="12"/>
  <c r="L153" i="11" l="1"/>
  <c r="M153" i="11" s="1"/>
  <c r="N153" i="11" s="1"/>
  <c r="C157" i="11"/>
  <c r="D157" i="11" s="1"/>
  <c r="E157" i="11" s="1"/>
  <c r="M176" i="12"/>
  <c r="K176" i="12"/>
  <c r="J176" i="12" s="1"/>
  <c r="O176" i="12" s="1"/>
  <c r="C166" i="12"/>
  <c r="D166" i="12" s="1"/>
  <c r="E166" i="12" s="1"/>
  <c r="C167" i="12" l="1"/>
  <c r="D167" i="12" s="1"/>
  <c r="E167" i="12"/>
  <c r="C158" i="11"/>
  <c r="D158" i="11" s="1"/>
  <c r="E158" i="11" s="1"/>
  <c r="L154" i="11"/>
  <c r="M154" i="11" s="1"/>
  <c r="N154" i="11" s="1"/>
  <c r="M177" i="12"/>
  <c r="K177" i="12"/>
  <c r="J177" i="12" s="1"/>
  <c r="O177" i="12" s="1"/>
  <c r="L155" i="11" l="1"/>
  <c r="M155" i="11" s="1"/>
  <c r="N155" i="11" s="1"/>
  <c r="C159" i="11"/>
  <c r="D159" i="11" s="1"/>
  <c r="E159" i="11" s="1"/>
  <c r="C168" i="12"/>
  <c r="D168" i="12" s="1"/>
  <c r="E168" i="12"/>
  <c r="K178" i="12"/>
  <c r="J178" i="12" s="1"/>
  <c r="O178" i="12" s="1"/>
  <c r="M178" i="12"/>
  <c r="C160" i="11" l="1"/>
  <c r="D160" i="11" s="1"/>
  <c r="E160" i="11" s="1"/>
  <c r="L156" i="11"/>
  <c r="M156" i="11" s="1"/>
  <c r="N156" i="11" s="1"/>
  <c r="M179" i="12"/>
  <c r="K179" i="12"/>
  <c r="J179" i="12" s="1"/>
  <c r="O179" i="12" s="1"/>
  <c r="C169" i="12"/>
  <c r="D169" i="12" s="1"/>
  <c r="E169" i="12" s="1"/>
  <c r="L157" i="11" l="1"/>
  <c r="M157" i="11" s="1"/>
  <c r="N157" i="11"/>
  <c r="C170" i="12"/>
  <c r="D170" i="12" s="1"/>
  <c r="E170" i="12" s="1"/>
  <c r="C161" i="11"/>
  <c r="D161" i="11" s="1"/>
  <c r="E161" i="11" s="1"/>
  <c r="M180" i="12"/>
  <c r="K180" i="12"/>
  <c r="J180" i="12" s="1"/>
  <c r="O180" i="12" s="1"/>
  <c r="C162" i="11" l="1"/>
  <c r="D162" i="11" s="1"/>
  <c r="E162" i="11"/>
  <c r="C171" i="12"/>
  <c r="D171" i="12" s="1"/>
  <c r="E171" i="12"/>
  <c r="L158" i="11"/>
  <c r="M158" i="11" s="1"/>
  <c r="N158" i="11" s="1"/>
  <c r="K181" i="12"/>
  <c r="J181" i="12" s="1"/>
  <c r="O181" i="12" s="1"/>
  <c r="M181" i="12"/>
  <c r="L159" i="11" l="1"/>
  <c r="M159" i="11" s="1"/>
  <c r="N159" i="11" s="1"/>
  <c r="C172" i="12"/>
  <c r="D172" i="12" s="1"/>
  <c r="E172" i="12" s="1"/>
  <c r="C163" i="11"/>
  <c r="D163" i="11" s="1"/>
  <c r="E163" i="11" s="1"/>
  <c r="M182" i="12"/>
  <c r="K182" i="12"/>
  <c r="J182" i="12" s="1"/>
  <c r="O182" i="12" s="1"/>
  <c r="C164" i="11" l="1"/>
  <c r="D164" i="11" s="1"/>
  <c r="E164" i="11" s="1"/>
  <c r="C173" i="12"/>
  <c r="D173" i="12" s="1"/>
  <c r="E173" i="12" s="1"/>
  <c r="L160" i="11"/>
  <c r="M160" i="11" s="1"/>
  <c r="N160" i="11" s="1"/>
  <c r="M183" i="12"/>
  <c r="K183" i="12"/>
  <c r="J183" i="12" s="1"/>
  <c r="O183" i="12" s="1"/>
  <c r="L161" i="11" l="1"/>
  <c r="M161" i="11" s="1"/>
  <c r="N161" i="11" s="1"/>
  <c r="C174" i="12"/>
  <c r="D174" i="12" s="1"/>
  <c r="E174" i="12" s="1"/>
  <c r="C165" i="11"/>
  <c r="D165" i="11" s="1"/>
  <c r="E165" i="11"/>
  <c r="K184" i="12"/>
  <c r="J184" i="12" s="1"/>
  <c r="O184" i="12" s="1"/>
  <c r="M184" i="12"/>
  <c r="C175" i="12" l="1"/>
  <c r="D175" i="12" s="1"/>
  <c r="E175" i="12" s="1"/>
  <c r="L162" i="11"/>
  <c r="M162" i="11" s="1"/>
  <c r="N162" i="11" s="1"/>
  <c r="C166" i="11"/>
  <c r="D166" i="11" s="1"/>
  <c r="E166" i="11" s="1"/>
  <c r="M185" i="12"/>
  <c r="K185" i="12"/>
  <c r="J185" i="12" s="1"/>
  <c r="O185" i="12" s="1"/>
  <c r="C167" i="11" l="1"/>
  <c r="D167" i="11" s="1"/>
  <c r="E167" i="11" s="1"/>
  <c r="C176" i="12"/>
  <c r="D176" i="12" s="1"/>
  <c r="E176" i="12" s="1"/>
  <c r="L163" i="11"/>
  <c r="M163" i="11" s="1"/>
  <c r="N163" i="11"/>
  <c r="M186" i="12"/>
  <c r="K186" i="12"/>
  <c r="J186" i="12" s="1"/>
  <c r="O186" i="12" s="1"/>
  <c r="C177" i="12" l="1"/>
  <c r="D177" i="12" s="1"/>
  <c r="E177" i="12"/>
  <c r="C168" i="11"/>
  <c r="D168" i="11" s="1"/>
  <c r="E168" i="11" s="1"/>
  <c r="L164" i="11"/>
  <c r="M164" i="11" s="1"/>
  <c r="N164" i="11" s="1"/>
  <c r="K187" i="12"/>
  <c r="J187" i="12" s="1"/>
  <c r="O187" i="12" s="1"/>
  <c r="M187" i="12"/>
  <c r="L165" i="11" l="1"/>
  <c r="M165" i="11" s="1"/>
  <c r="N165" i="11" s="1"/>
  <c r="C169" i="11"/>
  <c r="D169" i="11" s="1"/>
  <c r="E169" i="11" s="1"/>
  <c r="M188" i="12"/>
  <c r="K188" i="12"/>
  <c r="J188" i="12" s="1"/>
  <c r="O188" i="12" s="1"/>
  <c r="C178" i="12"/>
  <c r="D178" i="12" s="1"/>
  <c r="E178" i="12" s="1"/>
  <c r="L166" i="11" l="1"/>
  <c r="M166" i="11" s="1"/>
  <c r="N166" i="11" s="1"/>
  <c r="C179" i="12"/>
  <c r="D179" i="12" s="1"/>
  <c r="E179" i="12" s="1"/>
  <c r="C170" i="11"/>
  <c r="D170" i="11" s="1"/>
  <c r="E170" i="11" s="1"/>
  <c r="M189" i="12"/>
  <c r="K189" i="12"/>
  <c r="J189" i="12" s="1"/>
  <c r="O189" i="12" s="1"/>
  <c r="C171" i="11" l="1"/>
  <c r="D171" i="11" s="1"/>
  <c r="E171" i="11"/>
  <c r="C180" i="12"/>
  <c r="D180" i="12" s="1"/>
  <c r="E180" i="12" s="1"/>
  <c r="L167" i="11"/>
  <c r="M167" i="11" s="1"/>
  <c r="N167" i="11" s="1"/>
  <c r="K190" i="12"/>
  <c r="J190" i="12" s="1"/>
  <c r="O190" i="12" s="1"/>
  <c r="M190" i="12"/>
  <c r="L168" i="11" l="1"/>
  <c r="M168" i="11" s="1"/>
  <c r="N168" i="11" s="1"/>
  <c r="E181" i="12"/>
  <c r="C181" i="12"/>
  <c r="D181" i="12" s="1"/>
  <c r="M191" i="12"/>
  <c r="K191" i="12"/>
  <c r="J191" i="12" s="1"/>
  <c r="O191" i="12" s="1"/>
  <c r="C172" i="11"/>
  <c r="D172" i="11" s="1"/>
  <c r="E172" i="11" s="1"/>
  <c r="C173" i="11" l="1"/>
  <c r="D173" i="11" s="1"/>
  <c r="E173" i="11" s="1"/>
  <c r="L169" i="11"/>
  <c r="M169" i="11" s="1"/>
  <c r="N169" i="11" s="1"/>
  <c r="M192" i="12"/>
  <c r="K192" i="12"/>
  <c r="J192" i="12" s="1"/>
  <c r="O192" i="12" s="1"/>
  <c r="C182" i="12"/>
  <c r="D182" i="12" s="1"/>
  <c r="E182" i="12"/>
  <c r="L170" i="11" l="1"/>
  <c r="M170" i="11" s="1"/>
  <c r="N170" i="11" s="1"/>
  <c r="C174" i="11"/>
  <c r="D174" i="11" s="1"/>
  <c r="E174" i="11" s="1"/>
  <c r="K193" i="12"/>
  <c r="J193" i="12" s="1"/>
  <c r="O193" i="12" s="1"/>
  <c r="M193" i="12"/>
  <c r="C183" i="12"/>
  <c r="D183" i="12" s="1"/>
  <c r="E183" i="12"/>
  <c r="C175" i="11" l="1"/>
  <c r="D175" i="11" s="1"/>
  <c r="E175" i="11" s="1"/>
  <c r="L171" i="11"/>
  <c r="M171" i="11" s="1"/>
  <c r="N171" i="11" s="1"/>
  <c r="M194" i="12"/>
  <c r="K194" i="12"/>
  <c r="J194" i="12" s="1"/>
  <c r="O194" i="12" s="1"/>
  <c r="C184" i="12"/>
  <c r="D184" i="12" s="1"/>
  <c r="E184" i="12" s="1"/>
  <c r="C185" i="12" l="1"/>
  <c r="D185" i="12" s="1"/>
  <c r="E185" i="12"/>
  <c r="L172" i="11"/>
  <c r="M172" i="11" s="1"/>
  <c r="N172" i="11"/>
  <c r="C176" i="11"/>
  <c r="D176" i="11" s="1"/>
  <c r="E176" i="11" s="1"/>
  <c r="M195" i="12"/>
  <c r="K195" i="12"/>
  <c r="J195" i="12" s="1"/>
  <c r="O195" i="12" s="1"/>
  <c r="C177" i="11" l="1"/>
  <c r="D177" i="11" s="1"/>
  <c r="E177" i="11"/>
  <c r="L173" i="11"/>
  <c r="M173" i="11" s="1"/>
  <c r="N173" i="11" s="1"/>
  <c r="C186" i="12"/>
  <c r="D186" i="12" s="1"/>
  <c r="E186" i="12" s="1"/>
  <c r="K196" i="12"/>
  <c r="J196" i="12" s="1"/>
  <c r="O196" i="12" s="1"/>
  <c r="M196" i="12"/>
  <c r="C187" i="12" l="1"/>
  <c r="D187" i="12" s="1"/>
  <c r="E187" i="12" s="1"/>
  <c r="L174" i="11"/>
  <c r="M174" i="11" s="1"/>
  <c r="N174" i="11" s="1"/>
  <c r="M197" i="12"/>
  <c r="K197" i="12"/>
  <c r="J197" i="12" s="1"/>
  <c r="O197" i="12" s="1"/>
  <c r="C178" i="11"/>
  <c r="D178" i="11" s="1"/>
  <c r="E178" i="11" s="1"/>
  <c r="C179" i="11" l="1"/>
  <c r="D179" i="11" s="1"/>
  <c r="E179" i="11" s="1"/>
  <c r="L175" i="11"/>
  <c r="M175" i="11" s="1"/>
  <c r="N175" i="11" s="1"/>
  <c r="C188" i="12"/>
  <c r="D188" i="12" s="1"/>
  <c r="E188" i="12" s="1"/>
  <c r="M198" i="12"/>
  <c r="K198" i="12"/>
  <c r="J198" i="12" s="1"/>
  <c r="O198" i="12" s="1"/>
  <c r="C189" i="12" l="1"/>
  <c r="D189" i="12" s="1"/>
  <c r="E189" i="12"/>
  <c r="L176" i="11"/>
  <c r="M176" i="11" s="1"/>
  <c r="N176" i="11" s="1"/>
  <c r="C180" i="11"/>
  <c r="D180" i="11" s="1"/>
  <c r="E180" i="11"/>
  <c r="K199" i="12"/>
  <c r="J199" i="12" s="1"/>
  <c r="O199" i="12" s="1"/>
  <c r="M199" i="12"/>
  <c r="L177" i="11" l="1"/>
  <c r="M177" i="11" s="1"/>
  <c r="N177" i="11" s="1"/>
  <c r="C181" i="11"/>
  <c r="D181" i="11" s="1"/>
  <c r="E181" i="11" s="1"/>
  <c r="C190" i="12"/>
  <c r="D190" i="12" s="1"/>
  <c r="E190" i="12" s="1"/>
  <c r="M200" i="12"/>
  <c r="K200" i="12"/>
  <c r="J200" i="12" s="1"/>
  <c r="O200" i="12" s="1"/>
  <c r="C191" i="12" l="1"/>
  <c r="D191" i="12" s="1"/>
  <c r="E191" i="12"/>
  <c r="C182" i="11"/>
  <c r="D182" i="11" s="1"/>
  <c r="E182" i="11" s="1"/>
  <c r="L178" i="11"/>
  <c r="M178" i="11" s="1"/>
  <c r="N178" i="11" s="1"/>
  <c r="M201" i="12"/>
  <c r="K201" i="12"/>
  <c r="J201" i="12" s="1"/>
  <c r="O201" i="12" s="1"/>
  <c r="L179" i="11" l="1"/>
  <c r="M179" i="11" s="1"/>
  <c r="N179" i="11" s="1"/>
  <c r="C183" i="11"/>
  <c r="D183" i="11" s="1"/>
  <c r="E183" i="11" s="1"/>
  <c r="C192" i="12"/>
  <c r="D192" i="12" s="1"/>
  <c r="E192" i="12" s="1"/>
  <c r="K202" i="12"/>
  <c r="J202" i="12" s="1"/>
  <c r="O202" i="12" s="1"/>
  <c r="M202" i="12"/>
  <c r="L180" i="11" l="1"/>
  <c r="M180" i="11" s="1"/>
  <c r="N180" i="11" s="1"/>
  <c r="C193" i="12"/>
  <c r="D193" i="12" s="1"/>
  <c r="E193" i="12" s="1"/>
  <c r="C184" i="11"/>
  <c r="D184" i="11" s="1"/>
  <c r="E184" i="11" s="1"/>
  <c r="K203" i="12"/>
  <c r="J203" i="12" s="1"/>
  <c r="O203" i="12" s="1"/>
  <c r="M203" i="12"/>
  <c r="C185" i="11" l="1"/>
  <c r="D185" i="11" s="1"/>
  <c r="E185" i="11" s="1"/>
  <c r="C194" i="12"/>
  <c r="D194" i="12" s="1"/>
  <c r="E194" i="12" s="1"/>
  <c r="L181" i="11"/>
  <c r="M181" i="11" s="1"/>
  <c r="N181" i="11" s="1"/>
  <c r="K204" i="12"/>
  <c r="J204" i="12" s="1"/>
  <c r="O204" i="12" s="1"/>
  <c r="M204" i="12"/>
  <c r="L182" i="11" l="1"/>
  <c r="M182" i="11" s="1"/>
  <c r="N182" i="11" s="1"/>
  <c r="C195" i="12"/>
  <c r="D195" i="12" s="1"/>
  <c r="E195" i="12" s="1"/>
  <c r="C186" i="11"/>
  <c r="D186" i="11" s="1"/>
  <c r="E186" i="11" s="1"/>
  <c r="M205" i="12"/>
  <c r="K205" i="12"/>
  <c r="J205" i="12" s="1"/>
  <c r="O205" i="12" s="1"/>
  <c r="C187" i="11" l="1"/>
  <c r="D187" i="11" s="1"/>
  <c r="E187" i="11" s="1"/>
  <c r="C196" i="12"/>
  <c r="D196" i="12" s="1"/>
  <c r="E196" i="12" s="1"/>
  <c r="L183" i="11"/>
  <c r="M183" i="11" s="1"/>
  <c r="N183" i="11" s="1"/>
  <c r="K206" i="12"/>
  <c r="J206" i="12" s="1"/>
  <c r="O206" i="12" s="1"/>
  <c r="M206" i="12"/>
  <c r="L184" i="11" l="1"/>
  <c r="M184" i="11" s="1"/>
  <c r="N184" i="11"/>
  <c r="C197" i="12"/>
  <c r="D197" i="12" s="1"/>
  <c r="E197" i="12" s="1"/>
  <c r="C188" i="11"/>
  <c r="D188" i="11" s="1"/>
  <c r="E188" i="11" s="1"/>
  <c r="K207" i="12"/>
  <c r="J207" i="12" s="1"/>
  <c r="O207" i="12" s="1"/>
  <c r="M207" i="12"/>
  <c r="C189" i="11" l="1"/>
  <c r="D189" i="11" s="1"/>
  <c r="E189" i="11"/>
  <c r="C198" i="12"/>
  <c r="D198" i="12" s="1"/>
  <c r="E198" i="12" s="1"/>
  <c r="L185" i="11"/>
  <c r="M185" i="11" s="1"/>
  <c r="N185" i="11" s="1"/>
  <c r="M208" i="12"/>
  <c r="K208" i="12"/>
  <c r="J208" i="12" s="1"/>
  <c r="O208" i="12" s="1"/>
  <c r="L186" i="11" l="1"/>
  <c r="M186" i="11" s="1"/>
  <c r="N186" i="11" s="1"/>
  <c r="C199" i="12"/>
  <c r="D199" i="12" s="1"/>
  <c r="E199" i="12" s="1"/>
  <c r="C190" i="11"/>
  <c r="D190" i="11" s="1"/>
  <c r="E190" i="11" s="1"/>
  <c r="K209" i="12"/>
  <c r="J209" i="12" s="1"/>
  <c r="O209" i="12" s="1"/>
  <c r="M209" i="12"/>
  <c r="C191" i="11" l="1"/>
  <c r="D191" i="11" s="1"/>
  <c r="E191" i="11" s="1"/>
  <c r="C200" i="12"/>
  <c r="D200" i="12" s="1"/>
  <c r="E200" i="12" s="1"/>
  <c r="L187" i="11"/>
  <c r="M187" i="11" s="1"/>
  <c r="N187" i="11" s="1"/>
  <c r="K210" i="12"/>
  <c r="J210" i="12" s="1"/>
  <c r="O210" i="12" s="1"/>
  <c r="M210" i="12"/>
  <c r="L188" i="11" l="1"/>
  <c r="M188" i="11" s="1"/>
  <c r="N188" i="11" s="1"/>
  <c r="C201" i="12"/>
  <c r="D201" i="12" s="1"/>
  <c r="E201" i="12" s="1"/>
  <c r="C192" i="11"/>
  <c r="D192" i="11" s="1"/>
  <c r="E192" i="11" s="1"/>
  <c r="M211" i="12"/>
  <c r="K211" i="12"/>
  <c r="J211" i="12" s="1"/>
  <c r="O211" i="12" s="1"/>
  <c r="L189" i="11" l="1"/>
  <c r="M189" i="11" s="1"/>
  <c r="N189" i="11" s="1"/>
  <c r="C193" i="11"/>
  <c r="D193" i="11" s="1"/>
  <c r="E193" i="11" s="1"/>
  <c r="C202" i="12"/>
  <c r="D202" i="12" s="1"/>
  <c r="E202" i="12" s="1"/>
  <c r="K212" i="12"/>
  <c r="J212" i="12" s="1"/>
  <c r="O212" i="12" s="1"/>
  <c r="M212" i="12"/>
  <c r="C203" i="12" l="1"/>
  <c r="D203" i="12" s="1"/>
  <c r="E203" i="12"/>
  <c r="C194" i="11"/>
  <c r="D194" i="11" s="1"/>
  <c r="E194" i="11" s="1"/>
  <c r="L190" i="11"/>
  <c r="M190" i="11" s="1"/>
  <c r="N190" i="11" s="1"/>
  <c r="K213" i="12"/>
  <c r="J213" i="12" s="1"/>
  <c r="O213" i="12" s="1"/>
  <c r="M213" i="12"/>
  <c r="L191" i="11" l="1"/>
  <c r="M191" i="11" s="1"/>
  <c r="N191" i="11" s="1"/>
  <c r="C195" i="11"/>
  <c r="D195" i="11" s="1"/>
  <c r="E195" i="11" s="1"/>
  <c r="C204" i="12"/>
  <c r="D204" i="12" s="1"/>
  <c r="E204" i="12" s="1"/>
  <c r="M214" i="12"/>
  <c r="K214" i="12"/>
  <c r="J214" i="12" s="1"/>
  <c r="O214" i="12" s="1"/>
  <c r="C205" i="12" l="1"/>
  <c r="D205" i="12" s="1"/>
  <c r="E205" i="12"/>
  <c r="C196" i="11"/>
  <c r="D196" i="11" s="1"/>
  <c r="E196" i="11" s="1"/>
  <c r="L192" i="11"/>
  <c r="M192" i="11" s="1"/>
  <c r="N192" i="11"/>
  <c r="K215" i="12"/>
  <c r="J215" i="12" s="1"/>
  <c r="O215" i="12" s="1"/>
  <c r="M215" i="12"/>
  <c r="C197" i="11" l="1"/>
  <c r="D197" i="11" s="1"/>
  <c r="E197" i="11"/>
  <c r="K216" i="12"/>
  <c r="J216" i="12" s="1"/>
  <c r="O216" i="12" s="1"/>
  <c r="M216" i="12"/>
  <c r="C206" i="12"/>
  <c r="D206" i="12" s="1"/>
  <c r="E206" i="12" s="1"/>
  <c r="L193" i="11"/>
  <c r="M193" i="11" s="1"/>
  <c r="N193" i="11"/>
  <c r="C207" i="12" l="1"/>
  <c r="D207" i="12" s="1"/>
  <c r="E207" i="12" s="1"/>
  <c r="M217" i="12"/>
  <c r="K217" i="12"/>
  <c r="J217" i="12" s="1"/>
  <c r="O217" i="12" s="1"/>
  <c r="L194" i="11"/>
  <c r="M194" i="11" s="1"/>
  <c r="N194" i="11" s="1"/>
  <c r="C198" i="11"/>
  <c r="D198" i="11" s="1"/>
  <c r="E198" i="11"/>
  <c r="L195" i="11" l="1"/>
  <c r="M195" i="11" s="1"/>
  <c r="N195" i="11" s="1"/>
  <c r="C208" i="12"/>
  <c r="D208" i="12" s="1"/>
  <c r="E208" i="12"/>
  <c r="K218" i="12"/>
  <c r="J218" i="12" s="1"/>
  <c r="O218" i="12" s="1"/>
  <c r="M218" i="12"/>
  <c r="C199" i="11"/>
  <c r="D199" i="11" s="1"/>
  <c r="E199" i="11" s="1"/>
  <c r="C200" i="11" l="1"/>
  <c r="D200" i="11" s="1"/>
  <c r="E200" i="11" s="1"/>
  <c r="N196" i="11"/>
  <c r="L196" i="11"/>
  <c r="M196" i="11" s="1"/>
  <c r="K219" i="12"/>
  <c r="J219" i="12" s="1"/>
  <c r="O219" i="12" s="1"/>
  <c r="M219" i="12"/>
  <c r="C209" i="12"/>
  <c r="D209" i="12" s="1"/>
  <c r="E209" i="12"/>
  <c r="C201" i="11" l="1"/>
  <c r="D201" i="11" s="1"/>
  <c r="E201" i="11" s="1"/>
  <c r="M220" i="12"/>
  <c r="K220" i="12"/>
  <c r="J220" i="12" s="1"/>
  <c r="O220" i="12" s="1"/>
  <c r="L197" i="11"/>
  <c r="M197" i="11" s="1"/>
  <c r="N197" i="11" s="1"/>
  <c r="C210" i="12"/>
  <c r="D210" i="12" s="1"/>
  <c r="E210" i="12" s="1"/>
  <c r="C211" i="12" l="1"/>
  <c r="D211" i="12" s="1"/>
  <c r="E211" i="12" s="1"/>
  <c r="N198" i="11"/>
  <c r="L198" i="11"/>
  <c r="M198" i="11" s="1"/>
  <c r="C202" i="11"/>
  <c r="D202" i="11" s="1"/>
  <c r="E202" i="11"/>
  <c r="K221" i="12"/>
  <c r="J221" i="12" s="1"/>
  <c r="O221" i="12" s="1"/>
  <c r="M221" i="12"/>
  <c r="C212" i="12" l="1"/>
  <c r="D212" i="12" s="1"/>
  <c r="E212" i="12"/>
  <c r="C203" i="11"/>
  <c r="D203" i="11" s="1"/>
  <c r="E203" i="11" s="1"/>
  <c r="L199" i="11"/>
  <c r="M199" i="11" s="1"/>
  <c r="N199" i="11" s="1"/>
  <c r="K222" i="12"/>
  <c r="J222" i="12" s="1"/>
  <c r="O222" i="12" s="1"/>
  <c r="M222" i="12"/>
  <c r="L200" i="11" l="1"/>
  <c r="M200" i="11" s="1"/>
  <c r="N200" i="11"/>
  <c r="C204" i="11"/>
  <c r="D204" i="11" s="1"/>
  <c r="E204" i="11" s="1"/>
  <c r="C213" i="12"/>
  <c r="D213" i="12" s="1"/>
  <c r="E213" i="12"/>
  <c r="M223" i="12"/>
  <c r="K223" i="12"/>
  <c r="J223" i="12" s="1"/>
  <c r="O223" i="12" s="1"/>
  <c r="C205" i="11" l="1"/>
  <c r="D205" i="11" s="1"/>
  <c r="E205" i="11"/>
  <c r="C214" i="12"/>
  <c r="D214" i="12" s="1"/>
  <c r="E214" i="12" s="1"/>
  <c r="L201" i="11"/>
  <c r="M201" i="11" s="1"/>
  <c r="N201" i="11"/>
  <c r="K224" i="12"/>
  <c r="J224" i="12" s="1"/>
  <c r="O224" i="12" s="1"/>
  <c r="M224" i="12"/>
  <c r="C215" i="12" l="1"/>
  <c r="D215" i="12" s="1"/>
  <c r="E215" i="12" s="1"/>
  <c r="L202" i="11"/>
  <c r="M202" i="11" s="1"/>
  <c r="N202" i="11" s="1"/>
  <c r="K225" i="12"/>
  <c r="J225" i="12" s="1"/>
  <c r="O225" i="12" s="1"/>
  <c r="M225" i="12"/>
  <c r="C206" i="11"/>
  <c r="D206" i="11" s="1"/>
  <c r="E206" i="11" s="1"/>
  <c r="C207" i="11" l="1"/>
  <c r="D207" i="11" s="1"/>
  <c r="E207" i="11"/>
  <c r="L203" i="11"/>
  <c r="M203" i="11" s="1"/>
  <c r="N203" i="11" s="1"/>
  <c r="C216" i="12"/>
  <c r="D216" i="12" s="1"/>
  <c r="E216" i="12" s="1"/>
  <c r="M226" i="12"/>
  <c r="K226" i="12"/>
  <c r="J226" i="12" s="1"/>
  <c r="O226" i="12" s="1"/>
  <c r="C217" i="12" l="1"/>
  <c r="D217" i="12" s="1"/>
  <c r="E217" i="12" s="1"/>
  <c r="L204" i="11"/>
  <c r="M204" i="11" s="1"/>
  <c r="N204" i="11" s="1"/>
  <c r="C208" i="11"/>
  <c r="D208" i="11" s="1"/>
  <c r="E208" i="11" s="1"/>
  <c r="K227" i="12"/>
  <c r="J227" i="12" s="1"/>
  <c r="O227" i="12" s="1"/>
  <c r="M227" i="12"/>
  <c r="C209" i="11" l="1"/>
  <c r="D209" i="11" s="1"/>
  <c r="E209" i="11" s="1"/>
  <c r="L205" i="11"/>
  <c r="M205" i="11" s="1"/>
  <c r="N205" i="11" s="1"/>
  <c r="C218" i="12"/>
  <c r="D218" i="12" s="1"/>
  <c r="E218" i="12" s="1"/>
  <c r="K228" i="12"/>
  <c r="J228" i="12" s="1"/>
  <c r="O228" i="12" s="1"/>
  <c r="M228" i="12"/>
  <c r="C219" i="12" l="1"/>
  <c r="D219" i="12" s="1"/>
  <c r="E219" i="12" s="1"/>
  <c r="L206" i="11"/>
  <c r="M206" i="11" s="1"/>
  <c r="N206" i="11" s="1"/>
  <c r="C210" i="11"/>
  <c r="D210" i="11" s="1"/>
  <c r="E210" i="11" s="1"/>
  <c r="M229" i="12"/>
  <c r="K229" i="12"/>
  <c r="J229" i="12" s="1"/>
  <c r="O229" i="12" s="1"/>
  <c r="C211" i="11" l="1"/>
  <c r="D211" i="11" s="1"/>
  <c r="E211" i="11"/>
  <c r="L207" i="11"/>
  <c r="M207" i="11" s="1"/>
  <c r="N207" i="11" s="1"/>
  <c r="C220" i="12"/>
  <c r="D220" i="12" s="1"/>
  <c r="E220" i="12" s="1"/>
  <c r="K230" i="12"/>
  <c r="J230" i="12" s="1"/>
  <c r="O230" i="12" s="1"/>
  <c r="M230" i="12"/>
  <c r="C221" i="12" l="1"/>
  <c r="D221" i="12" s="1"/>
  <c r="E221" i="12"/>
  <c r="L208" i="11"/>
  <c r="M208" i="11" s="1"/>
  <c r="N208" i="11" s="1"/>
  <c r="C212" i="11"/>
  <c r="D212" i="11" s="1"/>
  <c r="E212" i="11" s="1"/>
  <c r="K231" i="12"/>
  <c r="J231" i="12" s="1"/>
  <c r="O231" i="12" s="1"/>
  <c r="M231" i="12"/>
  <c r="E213" i="11" l="1"/>
  <c r="C213" i="11"/>
  <c r="D213" i="11" s="1"/>
  <c r="L209" i="11"/>
  <c r="M209" i="11" s="1"/>
  <c r="N209" i="11" s="1"/>
  <c r="C222" i="12"/>
  <c r="D222" i="12" s="1"/>
  <c r="E222" i="12" s="1"/>
  <c r="M232" i="12"/>
  <c r="K232" i="12"/>
  <c r="J232" i="12" s="1"/>
  <c r="O232" i="12" s="1"/>
  <c r="L210" i="11" l="1"/>
  <c r="M210" i="11" s="1"/>
  <c r="N210" i="11"/>
  <c r="C223" i="12"/>
  <c r="D223" i="12" s="1"/>
  <c r="E223" i="12" s="1"/>
  <c r="K233" i="12"/>
  <c r="J233" i="12" s="1"/>
  <c r="O233" i="12" s="1"/>
  <c r="M233" i="12"/>
  <c r="C214" i="11"/>
  <c r="D214" i="11" s="1"/>
  <c r="E214" i="11"/>
  <c r="C224" i="12" l="1"/>
  <c r="D224" i="12" s="1"/>
  <c r="E224" i="12"/>
  <c r="K234" i="12"/>
  <c r="J234" i="12" s="1"/>
  <c r="O234" i="12" s="1"/>
  <c r="M234" i="12"/>
  <c r="L211" i="11"/>
  <c r="M211" i="11" s="1"/>
  <c r="N211" i="11" s="1"/>
  <c r="C215" i="11"/>
  <c r="D215" i="11" s="1"/>
  <c r="E215" i="11"/>
  <c r="N212" i="11" l="1"/>
  <c r="L212" i="11"/>
  <c r="M212" i="11" s="1"/>
  <c r="C225" i="12"/>
  <c r="D225" i="12" s="1"/>
  <c r="E225" i="12" s="1"/>
  <c r="M235" i="12"/>
  <c r="K235" i="12"/>
  <c r="J235" i="12" s="1"/>
  <c r="O235" i="12" s="1"/>
  <c r="E216" i="11"/>
  <c r="C216" i="11"/>
  <c r="D216" i="11" s="1"/>
  <c r="C226" i="12" l="1"/>
  <c r="D226" i="12" s="1"/>
  <c r="E226" i="12" s="1"/>
  <c r="K236" i="12"/>
  <c r="J236" i="12" s="1"/>
  <c r="O236" i="12" s="1"/>
  <c r="M236" i="12"/>
  <c r="C217" i="11"/>
  <c r="D217" i="11" s="1"/>
  <c r="E217" i="11" s="1"/>
  <c r="L213" i="11"/>
  <c r="M213" i="11" s="1"/>
  <c r="N213" i="11" s="1"/>
  <c r="L214" i="11" l="1"/>
  <c r="M214" i="11" s="1"/>
  <c r="N214" i="11" s="1"/>
  <c r="C218" i="11"/>
  <c r="D218" i="11" s="1"/>
  <c r="E218" i="11" s="1"/>
  <c r="C227" i="12"/>
  <c r="D227" i="12" s="1"/>
  <c r="E227" i="12"/>
  <c r="K237" i="12"/>
  <c r="J237" i="12" s="1"/>
  <c r="O237" i="12" s="1"/>
  <c r="M237" i="12"/>
  <c r="C219" i="11" l="1"/>
  <c r="D219" i="11" s="1"/>
  <c r="E219" i="11" s="1"/>
  <c r="L215" i="11"/>
  <c r="M215" i="11" s="1"/>
  <c r="N215" i="11"/>
  <c r="C228" i="12"/>
  <c r="D228" i="12" s="1"/>
  <c r="E228" i="12" s="1"/>
  <c r="M238" i="12"/>
  <c r="K238" i="12"/>
  <c r="J238" i="12" s="1"/>
  <c r="O238" i="12" s="1"/>
  <c r="C229" i="12" l="1"/>
  <c r="D229" i="12" s="1"/>
  <c r="E229" i="12" s="1"/>
  <c r="C220" i="11"/>
  <c r="D220" i="11" s="1"/>
  <c r="E220" i="11" s="1"/>
  <c r="L216" i="11"/>
  <c r="M216" i="11" s="1"/>
  <c r="N216" i="11" s="1"/>
  <c r="K239" i="12"/>
  <c r="J239" i="12" s="1"/>
  <c r="O239" i="12" s="1"/>
  <c r="M239" i="12"/>
  <c r="L217" i="11" l="1"/>
  <c r="M217" i="11" s="1"/>
  <c r="N217" i="11" s="1"/>
  <c r="C221" i="11"/>
  <c r="D221" i="11" s="1"/>
  <c r="E221" i="11" s="1"/>
  <c r="C230" i="12"/>
  <c r="D230" i="12" s="1"/>
  <c r="E230" i="12" s="1"/>
  <c r="K240" i="12"/>
  <c r="J240" i="12" s="1"/>
  <c r="O240" i="12" s="1"/>
  <c r="M240" i="12"/>
  <c r="C231" i="12" l="1"/>
  <c r="D231" i="12" s="1"/>
  <c r="E231" i="12" s="1"/>
  <c r="C222" i="11"/>
  <c r="D222" i="11" s="1"/>
  <c r="E222" i="11" s="1"/>
  <c r="L218" i="11"/>
  <c r="M218" i="11" s="1"/>
  <c r="N218" i="11" s="1"/>
  <c r="M241" i="12"/>
  <c r="K241" i="12"/>
  <c r="J241" i="12" s="1"/>
  <c r="O241" i="12" s="1"/>
  <c r="L219" i="11" l="1"/>
  <c r="M219" i="11" s="1"/>
  <c r="N219" i="11" s="1"/>
  <c r="C223" i="11"/>
  <c r="D223" i="11" s="1"/>
  <c r="E223" i="11"/>
  <c r="C232" i="12"/>
  <c r="D232" i="12" s="1"/>
  <c r="E232" i="12" s="1"/>
  <c r="K242" i="12"/>
  <c r="J242" i="12" s="1"/>
  <c r="O242" i="12" s="1"/>
  <c r="M242" i="12"/>
  <c r="C233" i="12" l="1"/>
  <c r="D233" i="12" s="1"/>
  <c r="E233" i="12" s="1"/>
  <c r="L220" i="11"/>
  <c r="M220" i="11" s="1"/>
  <c r="N220" i="11" s="1"/>
  <c r="C224" i="11"/>
  <c r="D224" i="11" s="1"/>
  <c r="E224" i="11"/>
  <c r="K243" i="12"/>
  <c r="J243" i="12" s="1"/>
  <c r="O243" i="12" s="1"/>
  <c r="M243" i="12"/>
  <c r="L221" i="11" l="1"/>
  <c r="M221" i="11" s="1"/>
  <c r="N221" i="11"/>
  <c r="C234" i="12"/>
  <c r="D234" i="12" s="1"/>
  <c r="E234" i="12" s="1"/>
  <c r="C225" i="11"/>
  <c r="D225" i="11" s="1"/>
  <c r="E225" i="11" s="1"/>
  <c r="M244" i="12"/>
  <c r="K244" i="12"/>
  <c r="J244" i="12" s="1"/>
  <c r="O244" i="12" s="1"/>
  <c r="C226" i="11" l="1"/>
  <c r="D226" i="11" s="1"/>
  <c r="E226" i="11" s="1"/>
  <c r="C235" i="12"/>
  <c r="D235" i="12" s="1"/>
  <c r="E235" i="12" s="1"/>
  <c r="L222" i="11"/>
  <c r="M222" i="11" s="1"/>
  <c r="N222" i="11"/>
  <c r="K245" i="12"/>
  <c r="J245" i="12" s="1"/>
  <c r="O245" i="12" s="1"/>
  <c r="M245" i="12"/>
  <c r="C236" i="12" l="1"/>
  <c r="D236" i="12" s="1"/>
  <c r="E236" i="12"/>
  <c r="C227" i="11"/>
  <c r="D227" i="11" s="1"/>
  <c r="E227" i="11" s="1"/>
  <c r="L223" i="11"/>
  <c r="M223" i="11" s="1"/>
  <c r="N223" i="11" s="1"/>
  <c r="K246" i="12"/>
  <c r="J246" i="12" s="1"/>
  <c r="O246" i="12" s="1"/>
  <c r="M246" i="12"/>
  <c r="L224" i="11" l="1"/>
  <c r="M224" i="11" s="1"/>
  <c r="N224" i="11"/>
  <c r="C228" i="11"/>
  <c r="D228" i="11" s="1"/>
  <c r="E228" i="11" s="1"/>
  <c r="C237" i="12"/>
  <c r="D237" i="12" s="1"/>
  <c r="E237" i="12" s="1"/>
  <c r="M247" i="12"/>
  <c r="K247" i="12"/>
  <c r="J247" i="12" s="1"/>
  <c r="O247" i="12" s="1"/>
  <c r="C238" i="12" l="1"/>
  <c r="D238" i="12" s="1"/>
  <c r="E238" i="12" s="1"/>
  <c r="C229" i="11"/>
  <c r="D229" i="11" s="1"/>
  <c r="E229" i="11"/>
  <c r="L225" i="11"/>
  <c r="M225" i="11" s="1"/>
  <c r="N225" i="11" s="1"/>
  <c r="K248" i="12"/>
  <c r="J248" i="12" s="1"/>
  <c r="O248" i="12" s="1"/>
  <c r="M248" i="12"/>
  <c r="N226" i="11" l="1"/>
  <c r="L226" i="11"/>
  <c r="M226" i="11" s="1"/>
  <c r="C239" i="12"/>
  <c r="D239" i="12" s="1"/>
  <c r="E239" i="12" s="1"/>
  <c r="C230" i="11"/>
  <c r="D230" i="11" s="1"/>
  <c r="E230" i="11"/>
  <c r="K249" i="12"/>
  <c r="J249" i="12" s="1"/>
  <c r="O249" i="12" s="1"/>
  <c r="M249" i="12"/>
  <c r="C240" i="12" l="1"/>
  <c r="D240" i="12" s="1"/>
  <c r="E240" i="12" s="1"/>
  <c r="L227" i="11"/>
  <c r="M227" i="11" s="1"/>
  <c r="N227" i="11"/>
  <c r="C231" i="11"/>
  <c r="D231" i="11" s="1"/>
  <c r="E231" i="11" s="1"/>
  <c r="M250" i="12"/>
  <c r="K250" i="12"/>
  <c r="J250" i="12" s="1"/>
  <c r="O250" i="12" s="1"/>
  <c r="C232" i="11" l="1"/>
  <c r="D232" i="11" s="1"/>
  <c r="E232" i="11" s="1"/>
  <c r="C241" i="12"/>
  <c r="D241" i="12" s="1"/>
  <c r="E241" i="12" s="1"/>
  <c r="L228" i="11"/>
  <c r="M228" i="11" s="1"/>
  <c r="N228" i="11" s="1"/>
  <c r="K251" i="12"/>
  <c r="J251" i="12" s="1"/>
  <c r="O251" i="12" s="1"/>
  <c r="M251" i="12"/>
  <c r="L229" i="11" l="1"/>
  <c r="M229" i="11" s="1"/>
  <c r="N229" i="11" s="1"/>
  <c r="C242" i="12"/>
  <c r="D242" i="12" s="1"/>
  <c r="E242" i="12"/>
  <c r="C233" i="11"/>
  <c r="D233" i="11" s="1"/>
  <c r="E233" i="11" s="1"/>
  <c r="K252" i="12"/>
  <c r="J252" i="12" s="1"/>
  <c r="O252" i="12" s="1"/>
  <c r="M252" i="12"/>
  <c r="C234" i="11" l="1"/>
  <c r="D234" i="11" s="1"/>
  <c r="E234" i="11" s="1"/>
  <c r="L230" i="11"/>
  <c r="M230" i="11" s="1"/>
  <c r="N230" i="11" s="1"/>
  <c r="C243" i="12"/>
  <c r="D243" i="12" s="1"/>
  <c r="E243" i="12" s="1"/>
  <c r="M253" i="12"/>
  <c r="K253" i="12"/>
  <c r="J253" i="12" s="1"/>
  <c r="O253" i="12" s="1"/>
  <c r="C244" i="12" l="1"/>
  <c r="D244" i="12" s="1"/>
  <c r="E244" i="12" s="1"/>
  <c r="L231" i="11"/>
  <c r="M231" i="11" s="1"/>
  <c r="N231" i="11"/>
  <c r="C235" i="11"/>
  <c r="D235" i="11" s="1"/>
  <c r="E235" i="11" s="1"/>
  <c r="K254" i="12"/>
  <c r="J254" i="12" s="1"/>
  <c r="O254" i="12" s="1"/>
  <c r="M254" i="12"/>
  <c r="C236" i="11" l="1"/>
  <c r="D236" i="11" s="1"/>
  <c r="E236" i="11"/>
  <c r="C245" i="12"/>
  <c r="D245" i="12" s="1"/>
  <c r="E245" i="12"/>
  <c r="L232" i="11"/>
  <c r="M232" i="11" s="1"/>
  <c r="N232" i="11" s="1"/>
  <c r="K255" i="12"/>
  <c r="J255" i="12" s="1"/>
  <c r="O255" i="12" s="1"/>
  <c r="M255" i="12"/>
  <c r="L233" i="11" l="1"/>
  <c r="M233" i="11" s="1"/>
  <c r="N233" i="11"/>
  <c r="C246" i="12"/>
  <c r="D246" i="12" s="1"/>
  <c r="E246" i="12" s="1"/>
  <c r="C237" i="11"/>
  <c r="D237" i="11" s="1"/>
  <c r="E237" i="11" s="1"/>
  <c r="M256" i="12"/>
  <c r="K256" i="12"/>
  <c r="J256" i="12" s="1"/>
  <c r="O256" i="12" s="1"/>
  <c r="C238" i="11" l="1"/>
  <c r="D238" i="11" s="1"/>
  <c r="E238" i="11"/>
  <c r="C247" i="12"/>
  <c r="D247" i="12" s="1"/>
  <c r="E247" i="12" s="1"/>
  <c r="L234" i="11"/>
  <c r="M234" i="11" s="1"/>
  <c r="N234" i="11" s="1"/>
  <c r="K257" i="12"/>
  <c r="J257" i="12" s="1"/>
  <c r="O257" i="12" s="1"/>
  <c r="M257" i="12"/>
  <c r="L235" i="11" l="1"/>
  <c r="M235" i="11" s="1"/>
  <c r="N235" i="11" s="1"/>
  <c r="C248" i="12"/>
  <c r="D248" i="12" s="1"/>
  <c r="E248" i="12"/>
  <c r="M258" i="12"/>
  <c r="K258" i="12"/>
  <c r="J258" i="12" s="1"/>
  <c r="O258" i="12" s="1"/>
  <c r="C239" i="11"/>
  <c r="D239" i="11" s="1"/>
  <c r="E239" i="11"/>
  <c r="L236" i="11" l="1"/>
  <c r="M236" i="11" s="1"/>
  <c r="N236" i="11" s="1"/>
  <c r="K259" i="12"/>
  <c r="J259" i="12" s="1"/>
  <c r="O259" i="12" s="1"/>
  <c r="M259" i="12"/>
  <c r="C249" i="12"/>
  <c r="D249" i="12" s="1"/>
  <c r="E249" i="12" s="1"/>
  <c r="C240" i="11"/>
  <c r="D240" i="11" s="1"/>
  <c r="E240" i="11" s="1"/>
  <c r="C241" i="11" l="1"/>
  <c r="D241" i="11" s="1"/>
  <c r="E241" i="11" s="1"/>
  <c r="C250" i="12"/>
  <c r="D250" i="12" s="1"/>
  <c r="E250" i="12" s="1"/>
  <c r="L237" i="11"/>
  <c r="M237" i="11" s="1"/>
  <c r="N237" i="11" s="1"/>
  <c r="K260" i="12"/>
  <c r="J260" i="12" s="1"/>
  <c r="O260" i="12" s="1"/>
  <c r="M260" i="12"/>
  <c r="L238" i="11" l="1"/>
  <c r="M238" i="11" s="1"/>
  <c r="N238" i="11" s="1"/>
  <c r="C251" i="12"/>
  <c r="D251" i="12" s="1"/>
  <c r="E251" i="12"/>
  <c r="C242" i="11"/>
  <c r="D242" i="11" s="1"/>
  <c r="E242" i="11"/>
  <c r="M261" i="12"/>
  <c r="K261" i="12"/>
  <c r="J261" i="12" s="1"/>
  <c r="O261" i="12" s="1"/>
  <c r="L239" i="11" l="1"/>
  <c r="M239" i="11" s="1"/>
  <c r="N239" i="11"/>
  <c r="C243" i="11"/>
  <c r="D243" i="11" s="1"/>
  <c r="E243" i="11" s="1"/>
  <c r="C252" i="12"/>
  <c r="D252" i="12" s="1"/>
  <c r="E252" i="12" s="1"/>
  <c r="K262" i="12"/>
  <c r="J262" i="12" s="1"/>
  <c r="O262" i="12" s="1"/>
  <c r="M262" i="12"/>
  <c r="E253" i="12" l="1"/>
  <c r="C253" i="12"/>
  <c r="D253" i="12" s="1"/>
  <c r="C244" i="11"/>
  <c r="D244" i="11" s="1"/>
  <c r="E244" i="11" s="1"/>
  <c r="K263" i="12"/>
  <c r="J263" i="12" s="1"/>
  <c r="O263" i="12" s="1"/>
  <c r="M263" i="12"/>
  <c r="L240" i="11"/>
  <c r="M240" i="11" s="1"/>
  <c r="N240" i="11"/>
  <c r="C245" i="11" l="1"/>
  <c r="D245" i="11" s="1"/>
  <c r="E245" i="11" s="1"/>
  <c r="L241" i="11"/>
  <c r="M241" i="11" s="1"/>
  <c r="N241" i="11" s="1"/>
  <c r="M264" i="12"/>
  <c r="K264" i="12"/>
  <c r="J264" i="12" s="1"/>
  <c r="O264" i="12" s="1"/>
  <c r="C254" i="12"/>
  <c r="D254" i="12" s="1"/>
  <c r="E254" i="12" s="1"/>
  <c r="C255" i="12" l="1"/>
  <c r="D255" i="12" s="1"/>
  <c r="E255" i="12" s="1"/>
  <c r="L242" i="11"/>
  <c r="M242" i="11" s="1"/>
  <c r="N242" i="11"/>
  <c r="C246" i="11"/>
  <c r="D246" i="11" s="1"/>
  <c r="E246" i="11" s="1"/>
  <c r="K265" i="12"/>
  <c r="J265" i="12" s="1"/>
  <c r="O265" i="12" s="1"/>
  <c r="M265" i="12"/>
  <c r="C247" i="11" l="1"/>
  <c r="D247" i="11" s="1"/>
  <c r="E247" i="11"/>
  <c r="C256" i="12"/>
  <c r="D256" i="12" s="1"/>
  <c r="E256" i="12" s="1"/>
  <c r="L243" i="11"/>
  <c r="M243" i="11" s="1"/>
  <c r="N243" i="11" s="1"/>
  <c r="K266" i="12"/>
  <c r="J266" i="12" s="1"/>
  <c r="O266" i="12" s="1"/>
  <c r="M266" i="12"/>
  <c r="L244" i="11" l="1"/>
  <c r="M244" i="11" s="1"/>
  <c r="N244" i="11" s="1"/>
  <c r="C257" i="12"/>
  <c r="D257" i="12" s="1"/>
  <c r="E257" i="12"/>
  <c r="M267" i="12"/>
  <c r="K267" i="12"/>
  <c r="J267" i="12" s="1"/>
  <c r="O267" i="12" s="1"/>
  <c r="C248" i="11"/>
  <c r="D248" i="11" s="1"/>
  <c r="E248" i="11"/>
  <c r="L245" i="11" l="1"/>
  <c r="M245" i="11" s="1"/>
  <c r="N245" i="11" s="1"/>
  <c r="K268" i="12"/>
  <c r="J268" i="12" s="1"/>
  <c r="O268" i="12" s="1"/>
  <c r="M268" i="12"/>
  <c r="C258" i="12"/>
  <c r="D258" i="12" s="1"/>
  <c r="E258" i="12" s="1"/>
  <c r="C249" i="11"/>
  <c r="D249" i="11" s="1"/>
  <c r="E249" i="11" s="1"/>
  <c r="C259" i="12" l="1"/>
  <c r="D259" i="12" s="1"/>
  <c r="E259" i="12" s="1"/>
  <c r="C250" i="11"/>
  <c r="D250" i="11" s="1"/>
  <c r="E250" i="11"/>
  <c r="L246" i="11"/>
  <c r="M246" i="11" s="1"/>
  <c r="N246" i="11"/>
  <c r="K269" i="12"/>
  <c r="J269" i="12" s="1"/>
  <c r="O269" i="12" s="1"/>
  <c r="M269" i="12"/>
  <c r="C260" i="12" l="1"/>
  <c r="D260" i="12" s="1"/>
  <c r="E260" i="12" s="1"/>
  <c r="C251" i="11"/>
  <c r="D251" i="11" s="1"/>
  <c r="E251" i="11"/>
  <c r="L247" i="11"/>
  <c r="M247" i="11" s="1"/>
  <c r="N247" i="11" s="1"/>
  <c r="M270" i="12"/>
  <c r="K270" i="12"/>
  <c r="J270" i="12" s="1"/>
  <c r="O270" i="12" s="1"/>
  <c r="L248" i="11" l="1"/>
  <c r="M248" i="11" s="1"/>
  <c r="N248" i="11"/>
  <c r="C261" i="12"/>
  <c r="D261" i="12" s="1"/>
  <c r="E261" i="12" s="1"/>
  <c r="C252" i="11"/>
  <c r="D252" i="11" s="1"/>
  <c r="E252" i="11" s="1"/>
  <c r="K271" i="12"/>
  <c r="J271" i="12" s="1"/>
  <c r="O271" i="12" s="1"/>
  <c r="M271" i="12"/>
  <c r="C262" i="12" l="1"/>
  <c r="D262" i="12" s="1"/>
  <c r="E262" i="12" s="1"/>
  <c r="C253" i="11"/>
  <c r="D253" i="11" s="1"/>
  <c r="E253" i="11" s="1"/>
  <c r="K272" i="12"/>
  <c r="J272" i="12" s="1"/>
  <c r="O272" i="12" s="1"/>
  <c r="M272" i="12"/>
  <c r="L249" i="11"/>
  <c r="M249" i="11" s="1"/>
  <c r="N249" i="11" s="1"/>
  <c r="L250" i="11" l="1"/>
  <c r="M250" i="11" s="1"/>
  <c r="N250" i="11" s="1"/>
  <c r="C254" i="11"/>
  <c r="D254" i="11" s="1"/>
  <c r="E254" i="11"/>
  <c r="C263" i="12"/>
  <c r="D263" i="12" s="1"/>
  <c r="E263" i="12" s="1"/>
  <c r="M273" i="12"/>
  <c r="K273" i="12"/>
  <c r="J273" i="12" s="1"/>
  <c r="O273" i="12" s="1"/>
  <c r="C264" i="12" l="1"/>
  <c r="D264" i="12" s="1"/>
  <c r="E264" i="12" s="1"/>
  <c r="L251" i="11"/>
  <c r="M251" i="11" s="1"/>
  <c r="N251" i="11"/>
  <c r="C255" i="11"/>
  <c r="D255" i="11" s="1"/>
  <c r="E255" i="11" s="1"/>
  <c r="K274" i="12"/>
  <c r="J274" i="12" s="1"/>
  <c r="O274" i="12" s="1"/>
  <c r="M274" i="12"/>
  <c r="C256" i="11" l="1"/>
  <c r="D256" i="11" s="1"/>
  <c r="E256" i="11"/>
  <c r="C265" i="12"/>
  <c r="D265" i="12" s="1"/>
  <c r="E265" i="12" s="1"/>
  <c r="L252" i="11"/>
  <c r="M252" i="11" s="1"/>
  <c r="N252" i="11"/>
  <c r="K275" i="12"/>
  <c r="J275" i="12" s="1"/>
  <c r="O275" i="12" s="1"/>
  <c r="M275" i="12"/>
  <c r="E266" i="12" l="1"/>
  <c r="C266" i="12"/>
  <c r="D266" i="12" s="1"/>
  <c r="L253" i="11"/>
  <c r="M253" i="11" s="1"/>
  <c r="N253" i="11" s="1"/>
  <c r="M276" i="12"/>
  <c r="K276" i="12"/>
  <c r="J276" i="12" s="1"/>
  <c r="O276" i="12" s="1"/>
  <c r="C257" i="11"/>
  <c r="D257" i="11" s="1"/>
  <c r="E257" i="11" s="1"/>
  <c r="C258" i="11" l="1"/>
  <c r="D258" i="11" s="1"/>
  <c r="E258" i="11" s="1"/>
  <c r="L254" i="11"/>
  <c r="M254" i="11" s="1"/>
  <c r="N254" i="11" s="1"/>
  <c r="K277" i="12"/>
  <c r="J277" i="12" s="1"/>
  <c r="O277" i="12" s="1"/>
  <c r="M277" i="12"/>
  <c r="C267" i="12"/>
  <c r="D267" i="12" s="1"/>
  <c r="E267" i="12" s="1"/>
  <c r="L255" i="11" l="1"/>
  <c r="M255" i="11" s="1"/>
  <c r="N255" i="11" s="1"/>
  <c r="C268" i="12"/>
  <c r="D268" i="12" s="1"/>
  <c r="E268" i="12" s="1"/>
  <c r="C259" i="11"/>
  <c r="D259" i="11" s="1"/>
  <c r="E259" i="11"/>
  <c r="K278" i="12"/>
  <c r="J278" i="12" s="1"/>
  <c r="O278" i="12" s="1"/>
  <c r="M278" i="12"/>
  <c r="C269" i="12" l="1"/>
  <c r="D269" i="12" s="1"/>
  <c r="E269" i="12" s="1"/>
  <c r="L256" i="11"/>
  <c r="M256" i="11" s="1"/>
  <c r="N256" i="11" s="1"/>
  <c r="C260" i="11"/>
  <c r="D260" i="11" s="1"/>
  <c r="E260" i="11" s="1"/>
  <c r="M279" i="12"/>
  <c r="K279" i="12"/>
  <c r="J279" i="12" s="1"/>
  <c r="O279" i="12" s="1"/>
  <c r="C261" i="11" l="1"/>
  <c r="D261" i="11" s="1"/>
  <c r="E261" i="11" s="1"/>
  <c r="L257" i="11"/>
  <c r="M257" i="11" s="1"/>
  <c r="N257" i="11"/>
  <c r="C270" i="12"/>
  <c r="D270" i="12" s="1"/>
  <c r="E270" i="12" s="1"/>
  <c r="K280" i="12"/>
  <c r="J280" i="12" s="1"/>
  <c r="O280" i="12" s="1"/>
  <c r="M280" i="12"/>
  <c r="C262" i="11" l="1"/>
  <c r="D262" i="11" s="1"/>
  <c r="E262" i="11" s="1"/>
  <c r="C271" i="12"/>
  <c r="D271" i="12" s="1"/>
  <c r="E271" i="12"/>
  <c r="L258" i="11"/>
  <c r="M258" i="11" s="1"/>
  <c r="N258" i="11" s="1"/>
  <c r="K281" i="12"/>
  <c r="J281" i="12" s="1"/>
  <c r="O281" i="12" s="1"/>
  <c r="M281" i="12"/>
  <c r="C263" i="11" l="1"/>
  <c r="D263" i="11" s="1"/>
  <c r="E263" i="11" s="1"/>
  <c r="L259" i="11"/>
  <c r="M259" i="11" s="1"/>
  <c r="N259" i="11" s="1"/>
  <c r="C272" i="12"/>
  <c r="D272" i="12" s="1"/>
  <c r="E272" i="12" s="1"/>
  <c r="M282" i="12"/>
  <c r="K282" i="12"/>
  <c r="J282" i="12" s="1"/>
  <c r="O282" i="12" s="1"/>
  <c r="C273" i="12" l="1"/>
  <c r="D273" i="12" s="1"/>
  <c r="E273" i="12" s="1"/>
  <c r="L260" i="11"/>
  <c r="M260" i="11" s="1"/>
  <c r="N260" i="11" s="1"/>
  <c r="C264" i="11"/>
  <c r="D264" i="11" s="1"/>
  <c r="E264" i="11" s="1"/>
  <c r="K283" i="12"/>
  <c r="J283" i="12" s="1"/>
  <c r="O283" i="12" s="1"/>
  <c r="M283" i="12"/>
  <c r="C265" i="11" l="1"/>
  <c r="D265" i="11" s="1"/>
  <c r="E265" i="11" s="1"/>
  <c r="L261" i="11"/>
  <c r="M261" i="11" s="1"/>
  <c r="N261" i="11" s="1"/>
  <c r="C274" i="12"/>
  <c r="D274" i="12" s="1"/>
  <c r="E274" i="12"/>
  <c r="K284" i="12"/>
  <c r="J284" i="12" s="1"/>
  <c r="O284" i="12" s="1"/>
  <c r="M284" i="12"/>
  <c r="L262" i="11" l="1"/>
  <c r="M262" i="11" s="1"/>
  <c r="N262" i="11" s="1"/>
  <c r="C266" i="11"/>
  <c r="D266" i="11" s="1"/>
  <c r="E266" i="11" s="1"/>
  <c r="M285" i="12"/>
  <c r="K285" i="12"/>
  <c r="J285" i="12" s="1"/>
  <c r="O285" i="12" s="1"/>
  <c r="C275" i="12"/>
  <c r="D275" i="12" s="1"/>
  <c r="E275" i="12" s="1"/>
  <c r="C276" i="12" l="1"/>
  <c r="D276" i="12" s="1"/>
  <c r="E276" i="12" s="1"/>
  <c r="C267" i="11"/>
  <c r="D267" i="11" s="1"/>
  <c r="E267" i="11" s="1"/>
  <c r="L263" i="11"/>
  <c r="M263" i="11" s="1"/>
  <c r="N263" i="11" s="1"/>
  <c r="K286" i="12"/>
  <c r="J286" i="12" s="1"/>
  <c r="O286" i="12" s="1"/>
  <c r="M286" i="12"/>
  <c r="L264" i="11" l="1"/>
  <c r="M264" i="11" s="1"/>
  <c r="N264" i="11" s="1"/>
  <c r="C268" i="11"/>
  <c r="D268" i="11" s="1"/>
  <c r="E268" i="11"/>
  <c r="C277" i="12"/>
  <c r="D277" i="12" s="1"/>
  <c r="E277" i="12" s="1"/>
  <c r="K287" i="12"/>
  <c r="J287" i="12" s="1"/>
  <c r="O287" i="12" s="1"/>
  <c r="M287" i="12"/>
  <c r="C278" i="12" l="1"/>
  <c r="D278" i="12" s="1"/>
  <c r="E278" i="12" s="1"/>
  <c r="L265" i="11"/>
  <c r="M265" i="11" s="1"/>
  <c r="N265" i="11" s="1"/>
  <c r="C269" i="11"/>
  <c r="D269" i="11" s="1"/>
  <c r="E269" i="11"/>
  <c r="M288" i="12"/>
  <c r="K288" i="12"/>
  <c r="J288" i="12" s="1"/>
  <c r="O288" i="12" s="1"/>
  <c r="E279" i="12" l="1"/>
  <c r="C279" i="12"/>
  <c r="D279" i="12" s="1"/>
  <c r="L266" i="11"/>
  <c r="M266" i="11" s="1"/>
  <c r="N266" i="11" s="1"/>
  <c r="C270" i="11"/>
  <c r="D270" i="11" s="1"/>
  <c r="E270" i="11" s="1"/>
  <c r="K289" i="12"/>
  <c r="J289" i="12" s="1"/>
  <c r="O289" i="12" s="1"/>
  <c r="M289" i="12"/>
  <c r="L267" i="11" l="1"/>
  <c r="M267" i="11" s="1"/>
  <c r="N267" i="11" s="1"/>
  <c r="C271" i="11"/>
  <c r="D271" i="11" s="1"/>
  <c r="E271" i="11" s="1"/>
  <c r="C280" i="12"/>
  <c r="D280" i="12" s="1"/>
  <c r="E280" i="12" s="1"/>
  <c r="K290" i="12"/>
  <c r="J290" i="12" s="1"/>
  <c r="O290" i="12" s="1"/>
  <c r="M290" i="12"/>
  <c r="C281" i="12" l="1"/>
  <c r="D281" i="12" s="1"/>
  <c r="E281" i="12" s="1"/>
  <c r="C272" i="11"/>
  <c r="D272" i="11" s="1"/>
  <c r="E272" i="11"/>
  <c r="L268" i="11"/>
  <c r="M268" i="11" s="1"/>
  <c r="N268" i="11" s="1"/>
  <c r="M291" i="12"/>
  <c r="K291" i="12"/>
  <c r="J291" i="12" s="1"/>
  <c r="O291" i="12" s="1"/>
  <c r="L269" i="11" l="1"/>
  <c r="M269" i="11" s="1"/>
  <c r="N269" i="11" s="1"/>
  <c r="E282" i="12"/>
  <c r="C282" i="12"/>
  <c r="D282" i="12" s="1"/>
  <c r="C273" i="11"/>
  <c r="D273" i="11" s="1"/>
  <c r="E273" i="11" s="1"/>
  <c r="K292" i="12"/>
  <c r="J292" i="12" s="1"/>
  <c r="O292" i="12" s="1"/>
  <c r="M292" i="12"/>
  <c r="C274" i="11" l="1"/>
  <c r="D274" i="11" s="1"/>
  <c r="E274" i="11"/>
  <c r="L270" i="11"/>
  <c r="M270" i="11" s="1"/>
  <c r="N270" i="11"/>
  <c r="C283" i="12"/>
  <c r="D283" i="12" s="1"/>
  <c r="E283" i="12"/>
  <c r="K293" i="12"/>
  <c r="J293" i="12" s="1"/>
  <c r="O293" i="12" s="1"/>
  <c r="M293" i="12"/>
  <c r="C284" i="12" l="1"/>
  <c r="D284" i="12" s="1"/>
  <c r="E284" i="12" s="1"/>
  <c r="L271" i="11"/>
  <c r="M271" i="11" s="1"/>
  <c r="N271" i="11" s="1"/>
  <c r="M294" i="12"/>
  <c r="K294" i="12"/>
  <c r="J294" i="12" s="1"/>
  <c r="O294" i="12" s="1"/>
  <c r="C275" i="11"/>
  <c r="D275" i="11" s="1"/>
  <c r="E275" i="11"/>
  <c r="L272" i="11" l="1"/>
  <c r="M272" i="11" s="1"/>
  <c r="N272" i="11"/>
  <c r="C285" i="12"/>
  <c r="D285" i="12" s="1"/>
  <c r="E285" i="12" s="1"/>
  <c r="K295" i="12"/>
  <c r="J295" i="12" s="1"/>
  <c r="O295" i="12" s="1"/>
  <c r="M295" i="12"/>
  <c r="C276" i="11"/>
  <c r="D276" i="11" s="1"/>
  <c r="E276" i="11" s="1"/>
  <c r="C277" i="11" l="1"/>
  <c r="D277" i="11" s="1"/>
  <c r="E277" i="11" s="1"/>
  <c r="C286" i="12"/>
  <c r="D286" i="12" s="1"/>
  <c r="E286" i="12"/>
  <c r="K296" i="12"/>
  <c r="J296" i="12" s="1"/>
  <c r="O296" i="12" s="1"/>
  <c r="M296" i="12"/>
  <c r="L273" i="11"/>
  <c r="M273" i="11" s="1"/>
  <c r="N273" i="11" s="1"/>
  <c r="L274" i="11" l="1"/>
  <c r="M274" i="11" s="1"/>
  <c r="N274" i="11" s="1"/>
  <c r="C278" i="11"/>
  <c r="D278" i="11" s="1"/>
  <c r="E278" i="11" s="1"/>
  <c r="C287" i="12"/>
  <c r="D287" i="12" s="1"/>
  <c r="E287" i="12" s="1"/>
  <c r="K297" i="12"/>
  <c r="J297" i="12" s="1"/>
  <c r="O297" i="12" s="1"/>
  <c r="M297" i="12"/>
  <c r="C288" i="12" l="1"/>
  <c r="D288" i="12" s="1"/>
  <c r="E288" i="12" s="1"/>
  <c r="C279" i="11"/>
  <c r="D279" i="11" s="1"/>
  <c r="E279" i="11" s="1"/>
  <c r="L275" i="11"/>
  <c r="M275" i="11" s="1"/>
  <c r="N275" i="11" s="1"/>
  <c r="M298" i="12"/>
  <c r="K298" i="12"/>
  <c r="J298" i="12" s="1"/>
  <c r="O298" i="12" s="1"/>
  <c r="L276" i="11" l="1"/>
  <c r="M276" i="11" s="1"/>
  <c r="N276" i="11" s="1"/>
  <c r="C280" i="11"/>
  <c r="D280" i="11" s="1"/>
  <c r="E280" i="11"/>
  <c r="C289" i="12"/>
  <c r="D289" i="12" s="1"/>
  <c r="E289" i="12"/>
  <c r="M299" i="12"/>
  <c r="K299" i="12"/>
  <c r="J299" i="12" s="1"/>
  <c r="O299" i="12" s="1"/>
  <c r="N277" i="11" l="1"/>
  <c r="L277" i="11"/>
  <c r="M277" i="11" s="1"/>
  <c r="C281" i="11"/>
  <c r="D281" i="11" s="1"/>
  <c r="E281" i="11"/>
  <c r="C290" i="12"/>
  <c r="D290" i="12" s="1"/>
  <c r="E290" i="12" s="1"/>
  <c r="M300" i="12"/>
  <c r="K300" i="12"/>
  <c r="J300" i="12" s="1"/>
  <c r="O300" i="12" s="1"/>
  <c r="C291" i="12" l="1"/>
  <c r="D291" i="12" s="1"/>
  <c r="E291" i="12" s="1"/>
  <c r="C282" i="11"/>
  <c r="D282" i="11" s="1"/>
  <c r="E282" i="11" s="1"/>
  <c r="K301" i="12"/>
  <c r="J301" i="12" s="1"/>
  <c r="O301" i="12" s="1"/>
  <c r="M301" i="12"/>
  <c r="L278" i="11"/>
  <c r="M278" i="11" s="1"/>
  <c r="N278" i="11" s="1"/>
  <c r="L279" i="11" l="1"/>
  <c r="M279" i="11" s="1"/>
  <c r="N279" i="11" s="1"/>
  <c r="C283" i="11"/>
  <c r="D283" i="11" s="1"/>
  <c r="E283" i="11" s="1"/>
  <c r="C292" i="12"/>
  <c r="D292" i="12" s="1"/>
  <c r="E292" i="12"/>
  <c r="K302" i="12"/>
  <c r="J302" i="12" s="1"/>
  <c r="O302" i="12" s="1"/>
  <c r="M302" i="12"/>
  <c r="C284" i="11" l="1"/>
  <c r="D284" i="11" s="1"/>
  <c r="E284" i="11" s="1"/>
  <c r="N280" i="11"/>
  <c r="L280" i="11"/>
  <c r="M280" i="11" s="1"/>
  <c r="E293" i="12"/>
  <c r="C293" i="12"/>
  <c r="D293" i="12" s="1"/>
  <c r="M303" i="12"/>
  <c r="K303" i="12"/>
  <c r="J303" i="12" s="1"/>
  <c r="O303" i="12" s="1"/>
  <c r="C285" i="11" l="1"/>
  <c r="D285" i="11" s="1"/>
  <c r="E285" i="11" s="1"/>
  <c r="M304" i="12"/>
  <c r="K304" i="12"/>
  <c r="J304" i="12" s="1"/>
  <c r="O304" i="12" s="1"/>
  <c r="C294" i="12"/>
  <c r="D294" i="12" s="1"/>
  <c r="E294" i="12" s="1"/>
  <c r="L281" i="11"/>
  <c r="M281" i="11" s="1"/>
  <c r="N281" i="11"/>
  <c r="C295" i="12" l="1"/>
  <c r="D295" i="12" s="1"/>
  <c r="E295" i="12" s="1"/>
  <c r="C286" i="11"/>
  <c r="D286" i="11" s="1"/>
  <c r="E286" i="11" s="1"/>
  <c r="K305" i="12"/>
  <c r="J305" i="12" s="1"/>
  <c r="O305" i="12" s="1"/>
  <c r="M305" i="12"/>
  <c r="L282" i="11"/>
  <c r="M282" i="11" s="1"/>
  <c r="N282" i="11"/>
  <c r="C287" i="11" l="1"/>
  <c r="D287" i="11" s="1"/>
  <c r="E287" i="11" s="1"/>
  <c r="E296" i="12"/>
  <c r="C296" i="12"/>
  <c r="D296" i="12" s="1"/>
  <c r="K306" i="12"/>
  <c r="J306" i="12" s="1"/>
  <c r="O306" i="12" s="1"/>
  <c r="M306" i="12"/>
  <c r="L283" i="11"/>
  <c r="M283" i="11" s="1"/>
  <c r="N283" i="11" s="1"/>
  <c r="L284" i="11" l="1"/>
  <c r="M284" i="11" s="1"/>
  <c r="N284" i="11" s="1"/>
  <c r="C288" i="11"/>
  <c r="D288" i="11" s="1"/>
  <c r="E288" i="11" s="1"/>
  <c r="C297" i="12"/>
  <c r="D297" i="12" s="1"/>
  <c r="E297" i="12" s="1"/>
  <c r="K307" i="12"/>
  <c r="J307" i="12" s="1"/>
  <c r="O307" i="12" s="1"/>
  <c r="M307" i="12"/>
  <c r="C289" i="11" l="1"/>
  <c r="D289" i="11" s="1"/>
  <c r="E289" i="11" s="1"/>
  <c r="C298" i="12"/>
  <c r="D298" i="12" s="1"/>
  <c r="E298" i="12" s="1"/>
  <c r="L285" i="11"/>
  <c r="M285" i="11" s="1"/>
  <c r="N285" i="11"/>
  <c r="M308" i="12"/>
  <c r="K308" i="12"/>
  <c r="J308" i="12" s="1"/>
  <c r="O308" i="12" s="1"/>
  <c r="C290" i="11" l="1"/>
  <c r="D290" i="11" s="1"/>
  <c r="E290" i="11" s="1"/>
  <c r="C299" i="12"/>
  <c r="D299" i="12" s="1"/>
  <c r="E299" i="12" s="1"/>
  <c r="M309" i="12"/>
  <c r="K309" i="12"/>
  <c r="J309" i="12" s="1"/>
  <c r="O309" i="12" s="1"/>
  <c r="N286" i="11"/>
  <c r="L286" i="11"/>
  <c r="M286" i="11" s="1"/>
  <c r="C300" i="12" l="1"/>
  <c r="D300" i="12" s="1"/>
  <c r="E300" i="12" s="1"/>
  <c r="C291" i="11"/>
  <c r="D291" i="11" s="1"/>
  <c r="E291" i="11" s="1"/>
  <c r="K310" i="12"/>
  <c r="J310" i="12" s="1"/>
  <c r="O310" i="12" s="1"/>
  <c r="M310" i="12"/>
  <c r="L287" i="11"/>
  <c r="M287" i="11" s="1"/>
  <c r="N287" i="11" s="1"/>
  <c r="L288" i="11" l="1"/>
  <c r="M288" i="11" s="1"/>
  <c r="N288" i="11"/>
  <c r="C292" i="11"/>
  <c r="D292" i="11" s="1"/>
  <c r="E292" i="11" s="1"/>
  <c r="C301" i="12"/>
  <c r="D301" i="12" s="1"/>
  <c r="E301" i="12" s="1"/>
  <c r="K311" i="12"/>
  <c r="J311" i="12" s="1"/>
  <c r="O311" i="12" s="1"/>
  <c r="M311" i="12"/>
  <c r="C302" i="12" l="1"/>
  <c r="D302" i="12" s="1"/>
  <c r="E302" i="12" s="1"/>
  <c r="C293" i="11"/>
  <c r="D293" i="11" s="1"/>
  <c r="E293" i="11" s="1"/>
  <c r="L289" i="11"/>
  <c r="M289" i="11" s="1"/>
  <c r="N289" i="11" s="1"/>
  <c r="K312" i="12"/>
  <c r="J312" i="12" s="1"/>
  <c r="O312" i="12" s="1"/>
  <c r="M312" i="12"/>
  <c r="C303" i="12" l="1"/>
  <c r="D303" i="12" s="1"/>
  <c r="E303" i="12" s="1"/>
  <c r="L290" i="11"/>
  <c r="M290" i="11" s="1"/>
  <c r="N290" i="11" s="1"/>
  <c r="C294" i="11"/>
  <c r="D294" i="11" s="1"/>
  <c r="E294" i="11" s="1"/>
  <c r="M313" i="12"/>
  <c r="K313" i="12"/>
  <c r="J313" i="12" s="1"/>
  <c r="O313" i="12" s="1"/>
  <c r="C304" i="12" l="1"/>
  <c r="D304" i="12" s="1"/>
  <c r="E304" i="12" s="1"/>
  <c r="C295" i="11"/>
  <c r="D295" i="11" s="1"/>
  <c r="E295" i="11"/>
  <c r="L291" i="11"/>
  <c r="M291" i="11" s="1"/>
  <c r="N291" i="11" s="1"/>
  <c r="M314" i="12"/>
  <c r="K314" i="12"/>
  <c r="J314" i="12" s="1"/>
  <c r="O314" i="12" s="1"/>
  <c r="N292" i="11" l="1"/>
  <c r="L292" i="11"/>
  <c r="M292" i="11" s="1"/>
  <c r="C305" i="12"/>
  <c r="D305" i="12" s="1"/>
  <c r="E305" i="12" s="1"/>
  <c r="C296" i="11"/>
  <c r="D296" i="11" s="1"/>
  <c r="E296" i="11"/>
  <c r="K315" i="12"/>
  <c r="J315" i="12" s="1"/>
  <c r="O315" i="12" s="1"/>
  <c r="M315" i="12"/>
  <c r="C306" i="12" l="1"/>
  <c r="D306" i="12" s="1"/>
  <c r="E306" i="12" s="1"/>
  <c r="C297" i="11"/>
  <c r="D297" i="11" s="1"/>
  <c r="E297" i="11" s="1"/>
  <c r="K316" i="12"/>
  <c r="J316" i="12" s="1"/>
  <c r="O316" i="12" s="1"/>
  <c r="M316" i="12"/>
  <c r="L293" i="11"/>
  <c r="M293" i="11" s="1"/>
  <c r="N293" i="11" s="1"/>
  <c r="C298" i="11" l="1"/>
  <c r="D298" i="11" s="1"/>
  <c r="E298" i="11" s="1"/>
  <c r="L294" i="11"/>
  <c r="M294" i="11" s="1"/>
  <c r="N294" i="11" s="1"/>
  <c r="C307" i="12"/>
  <c r="D307" i="12" s="1"/>
  <c r="E307" i="12" s="1"/>
  <c r="M317" i="12"/>
  <c r="K317" i="12"/>
  <c r="J317" i="12" s="1"/>
  <c r="O317" i="12" s="1"/>
  <c r="C308" i="12" l="1"/>
  <c r="D308" i="12" s="1"/>
  <c r="E308" i="12"/>
  <c r="L295" i="11"/>
  <c r="M295" i="11" s="1"/>
  <c r="N295" i="11" s="1"/>
  <c r="C299" i="11"/>
  <c r="D299" i="11" s="1"/>
  <c r="E299" i="11" s="1"/>
  <c r="M318" i="12"/>
  <c r="K318" i="12"/>
  <c r="J318" i="12" s="1"/>
  <c r="O318" i="12" s="1"/>
  <c r="C300" i="11" l="1"/>
  <c r="D300" i="11" s="1"/>
  <c r="E300" i="11" s="1"/>
  <c r="L296" i="11"/>
  <c r="M296" i="11" s="1"/>
  <c r="N296" i="11" s="1"/>
  <c r="C309" i="12"/>
  <c r="D309" i="12" s="1"/>
  <c r="E309" i="12" s="1"/>
  <c r="M319" i="12"/>
  <c r="K319" i="12"/>
  <c r="J319" i="12" s="1"/>
  <c r="O319" i="12" s="1"/>
  <c r="E310" i="12" l="1"/>
  <c r="C310" i="12"/>
  <c r="D310" i="12" s="1"/>
  <c r="L297" i="11"/>
  <c r="M297" i="11" s="1"/>
  <c r="N297" i="11"/>
  <c r="C301" i="11"/>
  <c r="D301" i="11" s="1"/>
  <c r="E301" i="11"/>
  <c r="K320" i="12"/>
  <c r="J320" i="12" s="1"/>
  <c r="O320" i="12" s="1"/>
  <c r="M320" i="12"/>
  <c r="C302" i="11" l="1"/>
  <c r="D302" i="11" s="1"/>
  <c r="E302" i="11" s="1"/>
  <c r="L298" i="11"/>
  <c r="M298" i="11" s="1"/>
  <c r="N298" i="11" s="1"/>
  <c r="K321" i="12"/>
  <c r="J321" i="12" s="1"/>
  <c r="O321" i="12" s="1"/>
  <c r="M321" i="12"/>
  <c r="C311" i="12"/>
  <c r="D311" i="12" s="1"/>
  <c r="E311" i="12" s="1"/>
  <c r="L299" i="11" l="1"/>
  <c r="M299" i="11" s="1"/>
  <c r="N299" i="11" s="1"/>
  <c r="C312" i="12"/>
  <c r="D312" i="12" s="1"/>
  <c r="E312" i="12" s="1"/>
  <c r="C303" i="11"/>
  <c r="D303" i="11" s="1"/>
  <c r="E303" i="11" s="1"/>
  <c r="M322" i="12"/>
  <c r="K322" i="12"/>
  <c r="J322" i="12" s="1"/>
  <c r="O322" i="12" s="1"/>
  <c r="C313" i="12" l="1"/>
  <c r="D313" i="12" s="1"/>
  <c r="E313" i="12" s="1"/>
  <c r="C304" i="11"/>
  <c r="D304" i="11" s="1"/>
  <c r="E304" i="11" s="1"/>
  <c r="L300" i="11"/>
  <c r="M300" i="11" s="1"/>
  <c r="N300" i="11" s="1"/>
  <c r="M323" i="12"/>
  <c r="K323" i="12"/>
  <c r="J323" i="12" s="1"/>
  <c r="O323" i="12" s="1"/>
  <c r="L301" i="11" l="1"/>
  <c r="M301" i="11" s="1"/>
  <c r="N301" i="11" s="1"/>
  <c r="C305" i="11"/>
  <c r="D305" i="11" s="1"/>
  <c r="E305" i="11" s="1"/>
  <c r="C314" i="12"/>
  <c r="D314" i="12" s="1"/>
  <c r="E314" i="12" s="1"/>
  <c r="K324" i="12"/>
  <c r="J324" i="12" s="1"/>
  <c r="O324" i="12" s="1"/>
  <c r="M324" i="12"/>
  <c r="C306" i="11" l="1"/>
  <c r="D306" i="11" s="1"/>
  <c r="E306" i="11" s="1"/>
  <c r="C315" i="12"/>
  <c r="D315" i="12" s="1"/>
  <c r="E315" i="12" s="1"/>
  <c r="L302" i="11"/>
  <c r="M302" i="11" s="1"/>
  <c r="N302" i="11" s="1"/>
  <c r="M325" i="12"/>
  <c r="K325" i="12"/>
  <c r="J325" i="12" s="1"/>
  <c r="O325" i="12" s="1"/>
  <c r="L303" i="11" l="1"/>
  <c r="M303" i="11" s="1"/>
  <c r="N303" i="11" s="1"/>
  <c r="C316" i="12"/>
  <c r="D316" i="12" s="1"/>
  <c r="E316" i="12" s="1"/>
  <c r="C307" i="11"/>
  <c r="D307" i="11" s="1"/>
  <c r="E307" i="11"/>
  <c r="M326" i="12"/>
  <c r="K326" i="12"/>
  <c r="J326" i="12" s="1"/>
  <c r="O326" i="12" s="1"/>
  <c r="C317" i="12" l="1"/>
  <c r="D317" i="12" s="1"/>
  <c r="E317" i="12" s="1"/>
  <c r="L304" i="11"/>
  <c r="M304" i="11" s="1"/>
  <c r="N304" i="11" s="1"/>
  <c r="C308" i="11"/>
  <c r="D308" i="11" s="1"/>
  <c r="E308" i="11"/>
  <c r="K327" i="12"/>
  <c r="J327" i="12" s="1"/>
  <c r="O327" i="12" s="1"/>
  <c r="M327" i="12"/>
  <c r="L305" i="11" l="1"/>
  <c r="M305" i="11" s="1"/>
  <c r="N305" i="11" s="1"/>
  <c r="C318" i="12"/>
  <c r="D318" i="12" s="1"/>
  <c r="E318" i="12" s="1"/>
  <c r="C309" i="11"/>
  <c r="D309" i="11" s="1"/>
  <c r="E309" i="11" s="1"/>
  <c r="M328" i="12"/>
  <c r="K328" i="12"/>
  <c r="J328" i="12" s="1"/>
  <c r="O328" i="12" s="1"/>
  <c r="C319" i="12" l="1"/>
  <c r="D319" i="12" s="1"/>
  <c r="E319" i="12" s="1"/>
  <c r="C310" i="11"/>
  <c r="D310" i="11" s="1"/>
  <c r="E310" i="11" s="1"/>
  <c r="L306" i="11"/>
  <c r="M306" i="11" s="1"/>
  <c r="N306" i="11" s="1"/>
  <c r="K329" i="12"/>
  <c r="J329" i="12" s="1"/>
  <c r="O329" i="12" s="1"/>
  <c r="M329" i="12"/>
  <c r="C311" i="11" l="1"/>
  <c r="D311" i="11" s="1"/>
  <c r="E311" i="11" s="1"/>
  <c r="L307" i="11"/>
  <c r="M307" i="11" s="1"/>
  <c r="N307" i="11" s="1"/>
  <c r="C320" i="12"/>
  <c r="D320" i="12" s="1"/>
  <c r="E320" i="12" s="1"/>
  <c r="M330" i="12"/>
  <c r="K330" i="12"/>
  <c r="J330" i="12" s="1"/>
  <c r="O330" i="12" s="1"/>
  <c r="C321" i="12" l="1"/>
  <c r="D321" i="12" s="1"/>
  <c r="E321" i="12" s="1"/>
  <c r="L308" i="11"/>
  <c r="M308" i="11" s="1"/>
  <c r="N308" i="11" s="1"/>
  <c r="C312" i="11"/>
  <c r="D312" i="11" s="1"/>
  <c r="E312" i="11" s="1"/>
  <c r="M331" i="12"/>
  <c r="K331" i="12"/>
  <c r="J331" i="12" s="1"/>
  <c r="O331" i="12" s="1"/>
  <c r="C313" i="11" l="1"/>
  <c r="D313" i="11" s="1"/>
  <c r="E313" i="11" s="1"/>
  <c r="L309" i="11"/>
  <c r="M309" i="11" s="1"/>
  <c r="N309" i="11" s="1"/>
  <c r="C322" i="12"/>
  <c r="D322" i="12" s="1"/>
  <c r="E322" i="12"/>
  <c r="M332" i="12"/>
  <c r="K332" i="12"/>
  <c r="J332" i="12" s="1"/>
  <c r="O332" i="12" s="1"/>
  <c r="L310" i="11" l="1"/>
  <c r="M310" i="11" s="1"/>
  <c r="N310" i="11" s="1"/>
  <c r="C314" i="11"/>
  <c r="D314" i="11" s="1"/>
  <c r="E314" i="11"/>
  <c r="C323" i="12"/>
  <c r="D323" i="12" s="1"/>
  <c r="E323" i="12" s="1"/>
  <c r="K333" i="12"/>
  <c r="J333" i="12" s="1"/>
  <c r="O333" i="12" s="1"/>
  <c r="M333" i="12"/>
  <c r="C324" i="12" l="1"/>
  <c r="D324" i="12" s="1"/>
  <c r="E324" i="12" s="1"/>
  <c r="L311" i="11"/>
  <c r="M311" i="11" s="1"/>
  <c r="N311" i="11"/>
  <c r="C315" i="11"/>
  <c r="D315" i="11" s="1"/>
  <c r="E315" i="11" s="1"/>
  <c r="K334" i="12"/>
  <c r="J334" i="12" s="1"/>
  <c r="O334" i="12" s="1"/>
  <c r="M334" i="12"/>
  <c r="C316" i="11" l="1"/>
  <c r="D316" i="11" s="1"/>
  <c r="E316" i="11" s="1"/>
  <c r="C325" i="12"/>
  <c r="D325" i="12" s="1"/>
  <c r="E325" i="12" s="1"/>
  <c r="L312" i="11"/>
  <c r="M312" i="11" s="1"/>
  <c r="N312" i="11" s="1"/>
  <c r="M335" i="12"/>
  <c r="K335" i="12"/>
  <c r="J335" i="12" s="1"/>
  <c r="O335" i="12" s="1"/>
  <c r="C326" i="12" l="1"/>
  <c r="D326" i="12" s="1"/>
  <c r="E326" i="12" s="1"/>
  <c r="L313" i="11"/>
  <c r="M313" i="11" s="1"/>
  <c r="N313" i="11" s="1"/>
  <c r="C317" i="11"/>
  <c r="D317" i="11" s="1"/>
  <c r="E317" i="11"/>
  <c r="M336" i="12"/>
  <c r="K336" i="12"/>
  <c r="J336" i="12" s="1"/>
  <c r="O336" i="12" s="1"/>
  <c r="C327" i="12" l="1"/>
  <c r="D327" i="12" s="1"/>
  <c r="E327" i="12" s="1"/>
  <c r="L314" i="11"/>
  <c r="M314" i="11" s="1"/>
  <c r="N314" i="11" s="1"/>
  <c r="C318" i="11"/>
  <c r="D318" i="11" s="1"/>
  <c r="E318" i="11" s="1"/>
  <c r="K337" i="12"/>
  <c r="J337" i="12" s="1"/>
  <c r="O337" i="12" s="1"/>
  <c r="M337" i="12"/>
  <c r="C319" i="11" l="1"/>
  <c r="D319" i="11" s="1"/>
  <c r="E319" i="11" s="1"/>
  <c r="L315" i="11"/>
  <c r="M315" i="11" s="1"/>
  <c r="N315" i="11" s="1"/>
  <c r="C328" i="12"/>
  <c r="D328" i="12" s="1"/>
  <c r="E328" i="12" s="1"/>
  <c r="M338" i="12"/>
  <c r="K338" i="12"/>
  <c r="J338" i="12" s="1"/>
  <c r="O338" i="12" s="1"/>
  <c r="C329" i="12" l="1"/>
  <c r="D329" i="12" s="1"/>
  <c r="E329" i="12" s="1"/>
  <c r="L316" i="11"/>
  <c r="M316" i="11" s="1"/>
  <c r="N316" i="11" s="1"/>
  <c r="C320" i="11"/>
  <c r="D320" i="11" s="1"/>
  <c r="E320" i="11" s="1"/>
  <c r="M339" i="12"/>
  <c r="K339" i="12"/>
  <c r="J339" i="12" s="1"/>
  <c r="O339" i="12" s="1"/>
  <c r="C321" i="11" l="1"/>
  <c r="D321" i="11" s="1"/>
  <c r="E321" i="11" s="1"/>
  <c r="L317" i="11"/>
  <c r="M317" i="11" s="1"/>
  <c r="N317" i="11" s="1"/>
  <c r="C330" i="12"/>
  <c r="D330" i="12" s="1"/>
  <c r="E330" i="12" s="1"/>
  <c r="K340" i="12"/>
  <c r="J340" i="12" s="1"/>
  <c r="O340" i="12" s="1"/>
  <c r="M340" i="12"/>
  <c r="C331" i="12" l="1"/>
  <c r="D331" i="12" s="1"/>
  <c r="E331" i="12"/>
  <c r="L318" i="11"/>
  <c r="M318" i="11" s="1"/>
  <c r="N318" i="11" s="1"/>
  <c r="C322" i="11"/>
  <c r="D322" i="11" s="1"/>
  <c r="E322" i="11" s="1"/>
  <c r="M341" i="12"/>
  <c r="K341" i="12"/>
  <c r="J341" i="12" s="1"/>
  <c r="O341" i="12" s="1"/>
  <c r="C323" i="11" l="1"/>
  <c r="D323" i="11" s="1"/>
  <c r="E323" i="11"/>
  <c r="L319" i="11"/>
  <c r="M319" i="11" s="1"/>
  <c r="N319" i="11" s="1"/>
  <c r="C332" i="12"/>
  <c r="D332" i="12" s="1"/>
  <c r="E332" i="12" s="1"/>
  <c r="K342" i="12"/>
  <c r="J342" i="12" s="1"/>
  <c r="O342" i="12" s="1"/>
  <c r="M342" i="12"/>
  <c r="C333" i="12" l="1"/>
  <c r="D333" i="12" s="1"/>
  <c r="E333" i="12" s="1"/>
  <c r="L320" i="11"/>
  <c r="M320" i="11" s="1"/>
  <c r="N320" i="11" s="1"/>
  <c r="M343" i="12"/>
  <c r="K343" i="12"/>
  <c r="J343" i="12" s="1"/>
  <c r="O343" i="12" s="1"/>
  <c r="C324" i="11"/>
  <c r="D324" i="11" s="1"/>
  <c r="E324" i="11" s="1"/>
  <c r="C325" i="11" l="1"/>
  <c r="D325" i="11" s="1"/>
  <c r="E325" i="11"/>
  <c r="L321" i="11"/>
  <c r="M321" i="11" s="1"/>
  <c r="N321" i="11" s="1"/>
  <c r="C334" i="12"/>
  <c r="D334" i="12" s="1"/>
  <c r="E334" i="12" s="1"/>
  <c r="M344" i="12"/>
  <c r="K344" i="12"/>
  <c r="J344" i="12" s="1"/>
  <c r="O344" i="12" s="1"/>
  <c r="C335" i="12" l="1"/>
  <c r="D335" i="12" s="1"/>
  <c r="E335" i="12" s="1"/>
  <c r="L322" i="11"/>
  <c r="M322" i="11" s="1"/>
  <c r="N322" i="11" s="1"/>
  <c r="C326" i="11"/>
  <c r="D326" i="11" s="1"/>
  <c r="E326" i="11" s="1"/>
  <c r="K345" i="12"/>
  <c r="J345" i="12" s="1"/>
  <c r="O345" i="12" s="1"/>
  <c r="M345" i="12"/>
  <c r="C327" i="11" l="1"/>
  <c r="D327" i="11" s="1"/>
  <c r="E327" i="11" s="1"/>
  <c r="L323" i="11"/>
  <c r="M323" i="11" s="1"/>
  <c r="N323" i="11" s="1"/>
  <c r="C336" i="12"/>
  <c r="D336" i="12" s="1"/>
  <c r="E336" i="12"/>
  <c r="K346" i="12"/>
  <c r="J346" i="12" s="1"/>
  <c r="O346" i="12" s="1"/>
  <c r="M346" i="12"/>
  <c r="L324" i="11" l="1"/>
  <c r="M324" i="11" s="1"/>
  <c r="N324" i="11"/>
  <c r="C328" i="11"/>
  <c r="D328" i="11" s="1"/>
  <c r="E328" i="11" s="1"/>
  <c r="C337" i="12"/>
  <c r="D337" i="12" s="1"/>
  <c r="E337" i="12"/>
  <c r="K347" i="12"/>
  <c r="J347" i="12" s="1"/>
  <c r="O347" i="12" s="1"/>
  <c r="M347" i="12"/>
  <c r="C329" i="11" l="1"/>
  <c r="D329" i="11" s="1"/>
  <c r="E329" i="11"/>
  <c r="K348" i="12"/>
  <c r="J348" i="12" s="1"/>
  <c r="O348" i="12" s="1"/>
  <c r="M348" i="12"/>
  <c r="C338" i="12"/>
  <c r="D338" i="12" s="1"/>
  <c r="E338" i="12" s="1"/>
  <c r="L325" i="11"/>
  <c r="M325" i="11" s="1"/>
  <c r="N325" i="11" s="1"/>
  <c r="L326" i="11" l="1"/>
  <c r="M326" i="11" s="1"/>
  <c r="N326" i="11" s="1"/>
  <c r="C339" i="12"/>
  <c r="D339" i="12" s="1"/>
  <c r="E339" i="12" s="1"/>
  <c r="M349" i="12"/>
  <c r="K349" i="12"/>
  <c r="J349" i="12" s="1"/>
  <c r="O349" i="12" s="1"/>
  <c r="E330" i="11"/>
  <c r="C330" i="11"/>
  <c r="D330" i="11" s="1"/>
  <c r="C340" i="12" l="1"/>
  <c r="D340" i="12" s="1"/>
  <c r="E340" i="12"/>
  <c r="L327" i="11"/>
  <c r="M327" i="11" s="1"/>
  <c r="N327" i="11" s="1"/>
  <c r="M350" i="12"/>
  <c r="K350" i="12"/>
  <c r="J350" i="12" s="1"/>
  <c r="O350" i="12" s="1"/>
  <c r="C331" i="11"/>
  <c r="D331" i="11" s="1"/>
  <c r="E331" i="11"/>
  <c r="L328" i="11" l="1"/>
  <c r="M328" i="11" s="1"/>
  <c r="N328" i="11" s="1"/>
  <c r="K351" i="12"/>
  <c r="J351" i="12" s="1"/>
  <c r="O351" i="12" s="1"/>
  <c r="M351" i="12"/>
  <c r="C332" i="11"/>
  <c r="D332" i="11" s="1"/>
  <c r="E332" i="11"/>
  <c r="C341" i="12"/>
  <c r="D341" i="12" s="1"/>
  <c r="E341" i="12" s="1"/>
  <c r="C342" i="12" l="1"/>
  <c r="D342" i="12" s="1"/>
  <c r="E342" i="12" s="1"/>
  <c r="L329" i="11"/>
  <c r="M329" i="11" s="1"/>
  <c r="N329" i="11" s="1"/>
  <c r="C333" i="11"/>
  <c r="D333" i="11" s="1"/>
  <c r="E333" i="11" s="1"/>
  <c r="K352" i="12"/>
  <c r="J352" i="12" s="1"/>
  <c r="O352" i="12" s="1"/>
  <c r="M352" i="12"/>
  <c r="C343" i="12" l="1"/>
  <c r="D343" i="12" s="1"/>
  <c r="E343" i="12" s="1"/>
  <c r="C334" i="11"/>
  <c r="D334" i="11" s="1"/>
  <c r="E334" i="11" s="1"/>
  <c r="L330" i="11"/>
  <c r="M330" i="11" s="1"/>
  <c r="N330" i="11" s="1"/>
  <c r="K353" i="12"/>
  <c r="J353" i="12" s="1"/>
  <c r="O353" i="12" s="1"/>
  <c r="M353" i="12"/>
  <c r="L331" i="11" l="1"/>
  <c r="M331" i="11" s="1"/>
  <c r="N331" i="11" s="1"/>
  <c r="C335" i="11"/>
  <c r="D335" i="11" s="1"/>
  <c r="E335" i="11"/>
  <c r="C344" i="12"/>
  <c r="D344" i="12" s="1"/>
  <c r="E344" i="12" s="1"/>
  <c r="M354" i="12"/>
  <c r="K354" i="12"/>
  <c r="J354" i="12" s="1"/>
  <c r="O354" i="12" s="1"/>
  <c r="C345" i="12" l="1"/>
  <c r="D345" i="12" s="1"/>
  <c r="E345" i="12"/>
  <c r="L332" i="11"/>
  <c r="M332" i="11" s="1"/>
  <c r="N332" i="11" s="1"/>
  <c r="C336" i="11"/>
  <c r="D336" i="11" s="1"/>
  <c r="E336" i="11" s="1"/>
  <c r="K355" i="12"/>
  <c r="J355" i="12" s="1"/>
  <c r="O355" i="12" s="1"/>
  <c r="M355" i="12"/>
  <c r="C337" i="11" l="1"/>
  <c r="D337" i="11" s="1"/>
  <c r="E337" i="11"/>
  <c r="L333" i="11"/>
  <c r="M333" i="11" s="1"/>
  <c r="N333" i="11" s="1"/>
  <c r="M356" i="12"/>
  <c r="K356" i="12"/>
  <c r="J356" i="12" s="1"/>
  <c r="O356" i="12" s="1"/>
  <c r="C346" i="12"/>
  <c r="D346" i="12" s="1"/>
  <c r="E346" i="12" s="1"/>
  <c r="C347" i="12" l="1"/>
  <c r="D347" i="12" s="1"/>
  <c r="E347" i="12" s="1"/>
  <c r="L334" i="11"/>
  <c r="M334" i="11" s="1"/>
  <c r="N334" i="11" s="1"/>
  <c r="K357" i="12"/>
  <c r="J357" i="12" s="1"/>
  <c r="O357" i="12" s="1"/>
  <c r="M357" i="12"/>
  <c r="C338" i="11"/>
  <c r="D338" i="11" s="1"/>
  <c r="E338" i="11" s="1"/>
  <c r="C339" i="11" l="1"/>
  <c r="D339" i="11" s="1"/>
  <c r="E339" i="11" s="1"/>
  <c r="L335" i="11"/>
  <c r="M335" i="11" s="1"/>
  <c r="N335" i="11" s="1"/>
  <c r="C348" i="12"/>
  <c r="D348" i="12" s="1"/>
  <c r="E348" i="12" s="1"/>
  <c r="M358" i="12"/>
  <c r="K358" i="12"/>
  <c r="J358" i="12" s="1"/>
  <c r="O358" i="12" s="1"/>
  <c r="C349" i="12" l="1"/>
  <c r="D349" i="12" s="1"/>
  <c r="E349" i="12"/>
  <c r="L336" i="11"/>
  <c r="M336" i="11" s="1"/>
  <c r="N336" i="11"/>
  <c r="C340" i="11"/>
  <c r="D340" i="11" s="1"/>
  <c r="E340" i="11"/>
  <c r="K359" i="12"/>
  <c r="J359" i="12" s="1"/>
  <c r="O359" i="12" s="1"/>
  <c r="M359" i="12"/>
  <c r="C341" i="11" l="1"/>
  <c r="D341" i="11" s="1"/>
  <c r="E341" i="11"/>
  <c r="L337" i="11"/>
  <c r="M337" i="11" s="1"/>
  <c r="N337" i="11" s="1"/>
  <c r="C350" i="12"/>
  <c r="D350" i="12" s="1"/>
  <c r="E350" i="12" s="1"/>
  <c r="K360" i="12"/>
  <c r="J360" i="12" s="1"/>
  <c r="O360" i="12" s="1"/>
  <c r="M360" i="12"/>
  <c r="C351" i="12" l="1"/>
  <c r="D351" i="12" s="1"/>
  <c r="E351" i="12" s="1"/>
  <c r="L338" i="11"/>
  <c r="M338" i="11" s="1"/>
  <c r="N338" i="11" s="1"/>
  <c r="M361" i="12"/>
  <c r="K361" i="12"/>
  <c r="J361" i="12" s="1"/>
  <c r="O361" i="12" s="1"/>
  <c r="C342" i="11"/>
  <c r="D342" i="11" s="1"/>
  <c r="E342" i="11" s="1"/>
  <c r="C343" i="11" l="1"/>
  <c r="D343" i="11" s="1"/>
  <c r="E343" i="11" s="1"/>
  <c r="L339" i="11"/>
  <c r="M339" i="11" s="1"/>
  <c r="N339" i="11"/>
  <c r="C352" i="12"/>
  <c r="D352" i="12" s="1"/>
  <c r="E352" i="12"/>
  <c r="K362" i="12"/>
  <c r="J362" i="12" s="1"/>
  <c r="O362" i="12" s="1"/>
  <c r="M362" i="12"/>
  <c r="C344" i="11" l="1"/>
  <c r="D344" i="11" s="1"/>
  <c r="E344" i="11"/>
  <c r="C353" i="12"/>
  <c r="D353" i="12" s="1"/>
  <c r="E353" i="12" s="1"/>
  <c r="L340" i="11"/>
  <c r="M340" i="11" s="1"/>
  <c r="N340" i="11" s="1"/>
  <c r="M363" i="12"/>
  <c r="K363" i="12"/>
  <c r="J363" i="12" s="1"/>
  <c r="O363" i="12" s="1"/>
  <c r="L341" i="11" l="1"/>
  <c r="M341" i="11" s="1"/>
  <c r="N341" i="11"/>
  <c r="C354" i="12"/>
  <c r="D354" i="12" s="1"/>
  <c r="E354" i="12" s="1"/>
  <c r="C345" i="11"/>
  <c r="D345" i="11" s="1"/>
  <c r="E345" i="11" s="1"/>
  <c r="M364" i="12"/>
  <c r="K364" i="12"/>
  <c r="J364" i="12" s="1"/>
  <c r="O364" i="12" s="1"/>
  <c r="C346" i="11" l="1"/>
  <c r="D346" i="11" s="1"/>
  <c r="E346" i="11" s="1"/>
  <c r="C355" i="12"/>
  <c r="D355" i="12" s="1"/>
  <c r="E355" i="12" s="1"/>
  <c r="L342" i="11"/>
  <c r="M342" i="11" s="1"/>
  <c r="N342" i="11"/>
  <c r="M365" i="12"/>
  <c r="K365" i="12"/>
  <c r="J365" i="12" s="1"/>
  <c r="O365" i="12" s="1"/>
  <c r="C356" i="12" l="1"/>
  <c r="D356" i="12" s="1"/>
  <c r="E356" i="12" s="1"/>
  <c r="C347" i="11"/>
  <c r="D347" i="11" s="1"/>
  <c r="E347" i="11"/>
  <c r="L343" i="11"/>
  <c r="M343" i="11" s="1"/>
  <c r="N343" i="11" s="1"/>
  <c r="K366" i="12"/>
  <c r="J366" i="12" s="1"/>
  <c r="O366" i="12" s="1"/>
  <c r="M366" i="12"/>
  <c r="L344" i="11" l="1"/>
  <c r="M344" i="11" s="1"/>
  <c r="N344" i="11" s="1"/>
  <c r="C357" i="12"/>
  <c r="D357" i="12" s="1"/>
  <c r="E357" i="12"/>
  <c r="C348" i="11"/>
  <c r="D348" i="11" s="1"/>
  <c r="E348" i="11" s="1"/>
  <c r="K367" i="12"/>
  <c r="J367" i="12" s="1"/>
  <c r="O367" i="12" s="1"/>
  <c r="M367" i="12"/>
  <c r="C349" i="11" l="1"/>
  <c r="D349" i="11" s="1"/>
  <c r="E349" i="11"/>
  <c r="L345" i="11"/>
  <c r="M345" i="11" s="1"/>
  <c r="N345" i="11" s="1"/>
  <c r="C358" i="12"/>
  <c r="D358" i="12" s="1"/>
  <c r="E358" i="12" s="1"/>
  <c r="M368" i="12"/>
  <c r="K368" i="12"/>
  <c r="J368" i="12" s="1"/>
  <c r="O368" i="12" s="1"/>
  <c r="C359" i="12" l="1"/>
  <c r="D359" i="12" s="1"/>
  <c r="E359" i="12" s="1"/>
  <c r="L346" i="11"/>
  <c r="M346" i="11" s="1"/>
  <c r="N346" i="11" s="1"/>
  <c r="C350" i="11"/>
  <c r="D350" i="11" s="1"/>
  <c r="E350" i="11" s="1"/>
  <c r="M369" i="12"/>
  <c r="K369" i="12"/>
  <c r="J369" i="12" s="1"/>
  <c r="O369" i="12" s="1"/>
  <c r="C351" i="11" l="1"/>
  <c r="D351" i="11" s="1"/>
  <c r="E351" i="11" s="1"/>
  <c r="L347" i="11"/>
  <c r="M347" i="11" s="1"/>
  <c r="N347" i="11"/>
  <c r="C360" i="12"/>
  <c r="D360" i="12" s="1"/>
  <c r="E360" i="12"/>
  <c r="K370" i="12"/>
  <c r="J370" i="12" s="1"/>
  <c r="O370" i="12" s="1"/>
  <c r="M370" i="12"/>
  <c r="C352" i="11" l="1"/>
  <c r="D352" i="11" s="1"/>
  <c r="E352" i="11" s="1"/>
  <c r="C361" i="12"/>
  <c r="D361" i="12" s="1"/>
  <c r="E361" i="12"/>
  <c r="L348" i="11"/>
  <c r="M348" i="11" s="1"/>
  <c r="N348" i="11" s="1"/>
  <c r="M371" i="12"/>
  <c r="K371" i="12"/>
  <c r="J371" i="12" s="1"/>
  <c r="O371" i="12" s="1"/>
  <c r="L349" i="11" l="1"/>
  <c r="M349" i="11" s="1"/>
  <c r="N349" i="11" s="1"/>
  <c r="C353" i="11"/>
  <c r="D353" i="11" s="1"/>
  <c r="E353" i="11" s="1"/>
  <c r="C362" i="12"/>
  <c r="D362" i="12" s="1"/>
  <c r="E362" i="12" s="1"/>
  <c r="K372" i="12"/>
  <c r="J372" i="12" s="1"/>
  <c r="O372" i="12" s="1"/>
  <c r="M372" i="12"/>
  <c r="C363" i="12" l="1"/>
  <c r="D363" i="12" s="1"/>
  <c r="E363" i="12" s="1"/>
  <c r="C354" i="11"/>
  <c r="D354" i="11" s="1"/>
  <c r="E354" i="11" s="1"/>
  <c r="L350" i="11"/>
  <c r="M350" i="11" s="1"/>
  <c r="N350" i="11"/>
  <c r="M373" i="12"/>
  <c r="K373" i="12"/>
  <c r="J373" i="12" s="1"/>
  <c r="O373" i="12" s="1"/>
  <c r="C355" i="11" l="1"/>
  <c r="D355" i="11" s="1"/>
  <c r="E355" i="11" s="1"/>
  <c r="C364" i="12"/>
  <c r="D364" i="12" s="1"/>
  <c r="E364" i="12"/>
  <c r="L351" i="11"/>
  <c r="M351" i="11" s="1"/>
  <c r="N351" i="11"/>
  <c r="M374" i="12"/>
  <c r="K374" i="12"/>
  <c r="J374" i="12" s="1"/>
  <c r="O374" i="12" s="1"/>
  <c r="C356" i="11" l="1"/>
  <c r="D356" i="11" s="1"/>
  <c r="E356" i="11"/>
  <c r="C365" i="12"/>
  <c r="D365" i="12" s="1"/>
  <c r="E365" i="12" s="1"/>
  <c r="L352" i="11"/>
  <c r="M352" i="11" s="1"/>
  <c r="N352" i="11" s="1"/>
  <c r="K375" i="12"/>
  <c r="J375" i="12" s="1"/>
  <c r="O375" i="12" s="1"/>
  <c r="M375" i="12"/>
  <c r="L353" i="11" l="1"/>
  <c r="M353" i="11" s="1"/>
  <c r="N353" i="11" s="1"/>
  <c r="C366" i="12"/>
  <c r="D366" i="12" s="1"/>
  <c r="E366" i="12" s="1"/>
  <c r="K376" i="12"/>
  <c r="J376" i="12" s="1"/>
  <c r="O376" i="12" s="1"/>
  <c r="M376" i="12"/>
  <c r="C357" i="11"/>
  <c r="D357" i="11" s="1"/>
  <c r="E357" i="11" s="1"/>
  <c r="C358" i="11" l="1"/>
  <c r="D358" i="11" s="1"/>
  <c r="E358" i="11" s="1"/>
  <c r="C367" i="12"/>
  <c r="D367" i="12" s="1"/>
  <c r="E367" i="12" s="1"/>
  <c r="L354" i="11"/>
  <c r="M354" i="11" s="1"/>
  <c r="N354" i="11" s="1"/>
  <c r="M377" i="12"/>
  <c r="K377" i="12"/>
  <c r="J377" i="12" s="1"/>
  <c r="O377" i="12" s="1"/>
  <c r="L355" i="11" l="1"/>
  <c r="M355" i="11" s="1"/>
  <c r="N355" i="11"/>
  <c r="C368" i="12"/>
  <c r="D368" i="12" s="1"/>
  <c r="E368" i="12" s="1"/>
  <c r="C359" i="11"/>
  <c r="D359" i="11" s="1"/>
  <c r="E359" i="11" s="1"/>
  <c r="M378" i="12"/>
  <c r="K378" i="12"/>
  <c r="J378" i="12" s="1"/>
  <c r="O378" i="12" s="1"/>
  <c r="C360" i="11" l="1"/>
  <c r="D360" i="11" s="1"/>
  <c r="E360" i="11" s="1"/>
  <c r="C369" i="12"/>
  <c r="D369" i="12" s="1"/>
  <c r="E369" i="12"/>
  <c r="L356" i="11"/>
  <c r="M356" i="11" s="1"/>
  <c r="N356" i="11"/>
  <c r="K379" i="12"/>
  <c r="J379" i="12" s="1"/>
  <c r="O379" i="12" s="1"/>
  <c r="M379" i="12"/>
  <c r="C361" i="11" l="1"/>
  <c r="D361" i="11" s="1"/>
  <c r="E361" i="11"/>
  <c r="L357" i="11"/>
  <c r="M357" i="11" s="1"/>
  <c r="N357" i="11" s="1"/>
  <c r="C370" i="12"/>
  <c r="D370" i="12" s="1"/>
  <c r="E370" i="12"/>
  <c r="K380" i="12"/>
  <c r="J380" i="12" s="1"/>
  <c r="O380" i="12" s="1"/>
  <c r="M380" i="12"/>
  <c r="L358" i="11" l="1"/>
  <c r="M358" i="11" s="1"/>
  <c r="N358" i="11" s="1"/>
  <c r="C371" i="12"/>
  <c r="D371" i="12" s="1"/>
  <c r="E371" i="12" s="1"/>
  <c r="M381" i="12"/>
  <c r="K381" i="12"/>
  <c r="J381" i="12" s="1"/>
  <c r="O381" i="12" s="1"/>
  <c r="C362" i="11"/>
  <c r="C372" i="12" l="1"/>
  <c r="D372" i="12" s="1"/>
  <c r="E372" i="12" s="1"/>
  <c r="L359" i="11"/>
  <c r="M359" i="11" s="1"/>
  <c r="N359" i="11"/>
  <c r="M382" i="12"/>
  <c r="K382" i="12"/>
  <c r="J382" i="12" s="1"/>
  <c r="O382" i="12" s="1"/>
  <c r="D362" i="11"/>
  <c r="C363" i="11"/>
  <c r="C373" i="12" l="1"/>
  <c r="D373" i="12" s="1"/>
  <c r="E373" i="12" s="1"/>
  <c r="L360" i="11"/>
  <c r="M360" i="11" s="1"/>
  <c r="N360" i="11" s="1"/>
  <c r="K383" i="12"/>
  <c r="J383" i="12" s="1"/>
  <c r="O383" i="12" s="1"/>
  <c r="M383" i="12"/>
  <c r="D363" i="11"/>
  <c r="E362" i="11"/>
  <c r="L361" i="11" l="1"/>
  <c r="M361" i="11" s="1"/>
  <c r="N361" i="11" s="1"/>
  <c r="C374" i="12"/>
  <c r="D374" i="12" s="1"/>
  <c r="E374" i="12" s="1"/>
  <c r="M384" i="12"/>
  <c r="K384" i="12"/>
  <c r="J384" i="12" s="1"/>
  <c r="O384" i="12" s="1"/>
  <c r="C375" i="12" l="1"/>
  <c r="D375" i="12" s="1"/>
  <c r="E375" i="12" s="1"/>
  <c r="L362" i="11"/>
  <c r="M362" i="11" s="1"/>
  <c r="N362" i="11" s="1"/>
  <c r="K385" i="12"/>
  <c r="J385" i="12" s="1"/>
  <c r="O385" i="12" s="1"/>
  <c r="M385" i="12"/>
  <c r="L363" i="11" l="1"/>
  <c r="M363" i="11" s="1"/>
  <c r="N363" i="11" s="1"/>
  <c r="C376" i="12"/>
  <c r="D376" i="12" s="1"/>
  <c r="E376" i="12" s="1"/>
  <c r="K386" i="12"/>
  <c r="J386" i="12" s="1"/>
  <c r="O386" i="12" s="1"/>
  <c r="M386" i="12"/>
  <c r="C377" i="12" l="1"/>
  <c r="D377" i="12" s="1"/>
  <c r="E377" i="12" s="1"/>
  <c r="L364" i="11"/>
  <c r="M364" i="11" s="1"/>
  <c r="N364" i="11" s="1"/>
  <c r="M387" i="12"/>
  <c r="K387" i="12"/>
  <c r="J387" i="12" s="1"/>
  <c r="O387" i="12" s="1"/>
  <c r="L365" i="11" l="1"/>
  <c r="M365" i="11" s="1"/>
  <c r="N365" i="11" s="1"/>
  <c r="C378" i="12"/>
  <c r="D378" i="12" s="1"/>
  <c r="E378" i="12" s="1"/>
  <c r="M388" i="12"/>
  <c r="K388" i="12"/>
  <c r="J388" i="12" s="1"/>
  <c r="O388" i="12" s="1"/>
  <c r="C379" i="12" l="1"/>
  <c r="D379" i="12" s="1"/>
  <c r="E379" i="12" s="1"/>
  <c r="L366" i="11"/>
  <c r="M366" i="11" s="1"/>
  <c r="N366" i="11" s="1"/>
  <c r="K389" i="12"/>
  <c r="J389" i="12" s="1"/>
  <c r="O389" i="12" s="1"/>
  <c r="M389" i="12"/>
  <c r="L367" i="11" l="1"/>
  <c r="M367" i="11" s="1"/>
  <c r="N367" i="11" s="1"/>
  <c r="C380" i="12"/>
  <c r="D380" i="12" s="1"/>
  <c r="E380" i="12" s="1"/>
  <c r="M390" i="12"/>
  <c r="K390" i="12"/>
  <c r="J390" i="12" s="1"/>
  <c r="O390" i="12" s="1"/>
  <c r="C381" i="12" l="1"/>
  <c r="D381" i="12" s="1"/>
  <c r="E381" i="12" s="1"/>
  <c r="L368" i="11"/>
  <c r="M368" i="11" s="1"/>
  <c r="N368" i="11" s="1"/>
  <c r="M391" i="12"/>
  <c r="K391" i="12"/>
  <c r="J391" i="12" s="1"/>
  <c r="O391" i="12" s="1"/>
  <c r="L369" i="11" l="1"/>
  <c r="M369" i="11" s="1"/>
  <c r="N369" i="11" s="1"/>
  <c r="C382" i="12"/>
  <c r="D382" i="12" s="1"/>
  <c r="E382" i="12" s="1"/>
  <c r="K392" i="12"/>
  <c r="J392" i="12" s="1"/>
  <c r="O392" i="12" s="1"/>
  <c r="M392" i="12"/>
  <c r="C383" i="12" l="1"/>
  <c r="D383" i="12" s="1"/>
  <c r="E383" i="12" s="1"/>
  <c r="L370" i="11"/>
  <c r="M370" i="11" s="1"/>
  <c r="N370" i="11" s="1"/>
  <c r="M393" i="12"/>
  <c r="K393" i="12"/>
  <c r="J393" i="12" s="1"/>
  <c r="O393" i="12" s="1"/>
  <c r="L371" i="11" l="1"/>
  <c r="M371" i="11" s="1"/>
  <c r="N371" i="11" s="1"/>
  <c r="C384" i="12"/>
  <c r="D384" i="12" s="1"/>
  <c r="E384" i="12" s="1"/>
  <c r="K394" i="12"/>
  <c r="J394" i="12" s="1"/>
  <c r="O394" i="12" s="1"/>
  <c r="M394" i="12"/>
  <c r="C385" i="12" l="1"/>
  <c r="D385" i="12" s="1"/>
  <c r="E385" i="12"/>
  <c r="L372" i="11"/>
  <c r="M372" i="11" s="1"/>
  <c r="N372" i="11" s="1"/>
  <c r="K395" i="12"/>
  <c r="J395" i="12" s="1"/>
  <c r="O395" i="12" s="1"/>
  <c r="M395" i="12"/>
  <c r="L373" i="11" l="1"/>
  <c r="M373" i="11" s="1"/>
  <c r="N373" i="11"/>
  <c r="C386" i="12"/>
  <c r="D386" i="12" s="1"/>
  <c r="E386" i="12" s="1"/>
  <c r="M396" i="12"/>
  <c r="K396" i="12"/>
  <c r="J396" i="12" s="1"/>
  <c r="O396" i="12" s="1"/>
  <c r="C387" i="12" l="1"/>
  <c r="D387" i="12" s="1"/>
  <c r="E387" i="12"/>
  <c r="K397" i="12"/>
  <c r="J397" i="12" s="1"/>
  <c r="O397" i="12" s="1"/>
  <c r="M397" i="12"/>
  <c r="L374" i="11"/>
  <c r="M374" i="11" s="1"/>
  <c r="N374" i="11" s="1"/>
  <c r="L375" i="11" l="1"/>
  <c r="M375" i="11" s="1"/>
  <c r="N375" i="11"/>
  <c r="K398" i="12"/>
  <c r="J398" i="12" s="1"/>
  <c r="O398" i="12" s="1"/>
  <c r="M398" i="12"/>
  <c r="C388" i="12"/>
  <c r="D388" i="12" s="1"/>
  <c r="E388" i="12" s="1"/>
  <c r="C389" i="12" l="1"/>
  <c r="D389" i="12" s="1"/>
  <c r="E389" i="12" s="1"/>
  <c r="M399" i="12"/>
  <c r="K399" i="12"/>
  <c r="J399" i="12" s="1"/>
  <c r="O399" i="12" s="1"/>
  <c r="L376" i="11"/>
  <c r="M376" i="11" s="1"/>
  <c r="N376" i="11" s="1"/>
  <c r="L377" i="11" l="1"/>
  <c r="M377" i="11" s="1"/>
  <c r="N377" i="11" s="1"/>
  <c r="C390" i="12"/>
  <c r="D390" i="12" s="1"/>
  <c r="E390" i="12" s="1"/>
  <c r="M400" i="12"/>
  <c r="K400" i="12"/>
  <c r="J400" i="12" s="1"/>
  <c r="O400" i="12" s="1"/>
  <c r="C391" i="12" l="1"/>
  <c r="D391" i="12" s="1"/>
  <c r="E391" i="12" s="1"/>
  <c r="L378" i="11"/>
  <c r="M378" i="11" s="1"/>
  <c r="N378" i="11" s="1"/>
  <c r="K401" i="12"/>
  <c r="J401" i="12" s="1"/>
  <c r="O401" i="12" s="1"/>
  <c r="M401" i="12"/>
  <c r="L379" i="11" l="1"/>
  <c r="M379" i="11" s="1"/>
  <c r="N379" i="11" s="1"/>
  <c r="C392" i="12"/>
  <c r="D392" i="12" s="1"/>
  <c r="E392" i="12" s="1"/>
  <c r="M402" i="12"/>
  <c r="K402" i="12"/>
  <c r="J402" i="12" s="1"/>
  <c r="O402" i="12" s="1"/>
  <c r="C393" i="12" l="1"/>
  <c r="D393" i="12" s="1"/>
  <c r="E393" i="12" s="1"/>
  <c r="L380" i="11"/>
  <c r="M380" i="11" s="1"/>
  <c r="N380" i="11" s="1"/>
  <c r="K403" i="12"/>
  <c r="J403" i="12" s="1"/>
  <c r="O403" i="12" s="1"/>
  <c r="M403" i="12"/>
  <c r="L381" i="11" l="1"/>
  <c r="M381" i="11" s="1"/>
  <c r="N381" i="11" s="1"/>
  <c r="C394" i="12"/>
  <c r="D394" i="12" s="1"/>
  <c r="E394" i="12" s="1"/>
  <c r="K404" i="12"/>
  <c r="J404" i="12" s="1"/>
  <c r="O404" i="12" s="1"/>
  <c r="M404" i="12"/>
  <c r="C395" i="12" l="1"/>
  <c r="D395" i="12" s="1"/>
  <c r="E395" i="12" s="1"/>
  <c r="L382" i="11"/>
  <c r="M382" i="11" s="1"/>
  <c r="N382" i="11" s="1"/>
  <c r="M405" i="12"/>
  <c r="K405" i="12"/>
  <c r="J405" i="12" s="1"/>
  <c r="O405" i="12" s="1"/>
  <c r="L383" i="11" l="1"/>
  <c r="M383" i="11" s="1"/>
  <c r="N383" i="11" s="1"/>
  <c r="C396" i="12"/>
  <c r="D396" i="12" s="1"/>
  <c r="E396" i="12" s="1"/>
  <c r="M406" i="12"/>
  <c r="K406" i="12"/>
  <c r="J406" i="12" s="1"/>
  <c r="O406" i="12" s="1"/>
  <c r="C397" i="12" l="1"/>
  <c r="D397" i="12" s="1"/>
  <c r="E397" i="12"/>
  <c r="L384" i="11"/>
  <c r="M384" i="11" s="1"/>
  <c r="N384" i="11"/>
  <c r="K407" i="12"/>
  <c r="J407" i="12" s="1"/>
  <c r="O407" i="12" s="1"/>
  <c r="M407" i="12"/>
  <c r="L385" i="11" l="1"/>
  <c r="M385" i="11" s="1"/>
  <c r="N385" i="11"/>
  <c r="M408" i="12"/>
  <c r="K408" i="12"/>
  <c r="C398" i="12"/>
  <c r="D398" i="12" s="1"/>
  <c r="E398" i="12" s="1"/>
  <c r="C399" i="12" l="1"/>
  <c r="D399" i="12" s="1"/>
  <c r="E399" i="12" s="1"/>
  <c r="J408" i="12"/>
  <c r="K409" i="12"/>
  <c r="L386" i="11"/>
  <c r="M386" i="11" s="1"/>
  <c r="N386" i="11" s="1"/>
  <c r="L387" i="11" l="1"/>
  <c r="M387" i="11" s="1"/>
  <c r="N387" i="11" s="1"/>
  <c r="C400" i="12"/>
  <c r="D400" i="12" s="1"/>
  <c r="E400" i="12" s="1"/>
  <c r="O408" i="12"/>
  <c r="O409" i="12" s="1"/>
  <c r="J409" i="12"/>
  <c r="C401" i="12" l="1"/>
  <c r="D401" i="12" s="1"/>
  <c r="E401" i="12" s="1"/>
  <c r="L388" i="11"/>
  <c r="M388" i="11" s="1"/>
  <c r="N388" i="11"/>
  <c r="C402" i="12" l="1"/>
  <c r="D402" i="12" s="1"/>
  <c r="E402" i="12" s="1"/>
  <c r="L389" i="11"/>
  <c r="M389" i="11" s="1"/>
  <c r="N389" i="11" s="1"/>
  <c r="L390" i="11" l="1"/>
  <c r="M390" i="11" s="1"/>
  <c r="N390" i="11" s="1"/>
  <c r="C403" i="12"/>
  <c r="D403" i="12" s="1"/>
  <c r="E403" i="12" s="1"/>
  <c r="C404" i="12" l="1"/>
  <c r="D404" i="12" s="1"/>
  <c r="E404" i="12" s="1"/>
  <c r="L391" i="11"/>
  <c r="M391" i="11" s="1"/>
  <c r="N391" i="11" s="1"/>
  <c r="L392" i="11" l="1"/>
  <c r="M392" i="11" s="1"/>
  <c r="N392" i="11" s="1"/>
  <c r="C405" i="12"/>
  <c r="D405" i="12" s="1"/>
  <c r="E405" i="12" s="1"/>
  <c r="C406" i="12" l="1"/>
  <c r="D406" i="12" s="1"/>
  <c r="E406" i="12" s="1"/>
  <c r="L393" i="11"/>
  <c r="M393" i="11" s="1"/>
  <c r="N393" i="11" s="1"/>
  <c r="L394" i="11" l="1"/>
  <c r="M394" i="11" s="1"/>
  <c r="N394" i="11"/>
  <c r="C407" i="12"/>
  <c r="D407" i="12" s="1"/>
  <c r="E407" i="12" s="1"/>
  <c r="C408" i="12" l="1"/>
  <c r="L395" i="11"/>
  <c r="M395" i="11" s="1"/>
  <c r="N395" i="11" s="1"/>
  <c r="L396" i="11" l="1"/>
  <c r="M396" i="11" s="1"/>
  <c r="N396" i="11" s="1"/>
  <c r="D408" i="12"/>
  <c r="C409" i="12"/>
  <c r="L397" i="11" l="1"/>
  <c r="M397" i="11" s="1"/>
  <c r="N397" i="11" s="1"/>
  <c r="D409" i="12"/>
  <c r="E408" i="12"/>
  <c r="L398" i="11" l="1"/>
  <c r="M398" i="11" s="1"/>
  <c r="N398" i="11" s="1"/>
  <c r="L399" i="11" l="1"/>
  <c r="M399" i="11" s="1"/>
  <c r="N399" i="11" s="1"/>
  <c r="L400" i="11" l="1"/>
  <c r="M400" i="11" s="1"/>
  <c r="N400" i="11"/>
  <c r="L401" i="11" l="1"/>
  <c r="M401" i="11" s="1"/>
  <c r="N401" i="11" s="1"/>
  <c r="L402" i="11" l="1"/>
  <c r="M402" i="11" s="1"/>
  <c r="N402" i="11"/>
  <c r="L403" i="11" l="1"/>
  <c r="M403" i="11" s="1"/>
  <c r="N403" i="11"/>
  <c r="L404" i="11" l="1"/>
  <c r="M404" i="11" s="1"/>
  <c r="N404" i="11" s="1"/>
  <c r="L405" i="11" l="1"/>
  <c r="M405" i="11" s="1"/>
  <c r="N405" i="11" s="1"/>
  <c r="L406" i="11" l="1"/>
  <c r="M406" i="11" s="1"/>
  <c r="N406" i="11"/>
  <c r="L407" i="11" l="1"/>
  <c r="M407" i="11" s="1"/>
  <c r="N407" i="11" s="1"/>
  <c r="L408" i="11" l="1"/>
  <c r="M408" i="11" s="1"/>
  <c r="N408" i="11" s="1"/>
  <c r="L409" i="11" l="1"/>
  <c r="M409" i="11" s="1"/>
  <c r="N409" i="11"/>
  <c r="M410" i="11" l="1"/>
  <c r="M411" i="11" s="1"/>
  <c r="L410" i="11"/>
  <c r="K410" i="11" l="1"/>
  <c r="K411" i="11" s="1"/>
  <c r="L411" i="11"/>
  <c r="N410" i="11"/>
  <c r="P57" i="15" s="1"/>
  <c r="P58" i="15" s="1"/>
  <c r="X3" i="15" l="1"/>
  <c r="E2" i="15"/>
</calcChain>
</file>

<file path=xl/sharedStrings.xml><?xml version="1.0" encoding="utf-8"?>
<sst xmlns="http://schemas.openxmlformats.org/spreadsheetml/2006/main" count="605" uniqueCount="277">
  <si>
    <t>MATEMATIKA</t>
  </si>
  <si>
    <t>Preddiplomski studij Digitalnog marketinga</t>
  </si>
  <si>
    <t>Visoko učilište Algebra</t>
  </si>
  <si>
    <t>obavezno odaberite odgovor DA uz ishode koje pišete!!!</t>
  </si>
  <si>
    <t>ISHOD 1</t>
  </si>
  <si>
    <t>ne</t>
  </si>
  <si>
    <t>ISHOD 2</t>
  </si>
  <si>
    <t>ISHOD 3</t>
  </si>
  <si>
    <t>ISHOD 4</t>
  </si>
  <si>
    <t>Ukupno</t>
  </si>
  <si>
    <t>ishod</t>
  </si>
  <si>
    <t>I1</t>
  </si>
  <si>
    <t>I2</t>
  </si>
  <si>
    <t>I3</t>
  </si>
  <si>
    <t>I4</t>
  </si>
  <si>
    <t>broj bodova</t>
  </si>
  <si>
    <t>vrijeme rješavanja (minute)</t>
  </si>
  <si>
    <t>45 min</t>
  </si>
  <si>
    <t>180 min</t>
  </si>
  <si>
    <t>UVODNE NAPOMENE:</t>
  </si>
  <si>
    <t>Nije dozvoljeno korištenje mobitela, knjiga, kalkulatora, dodatnih formulara, ni pretraživanja interneta tijekom pisanja ispita (osim za dohvatiti ispit).</t>
  </si>
  <si>
    <t>Nemojte gledati zadatke koje imaju vaši susjedi, jer se prepisivanje strogo kažnjava.</t>
  </si>
  <si>
    <t>Dovoljno je izračunati vrijednosti u ćelijama označenim žutom bojom. Interpretaciju (kratke odgovore) pišite samo ako je tako navedeno u zadatku.</t>
  </si>
  <si>
    <t>Ako vam nešto nije jasno - odlično. Napišite svoje dvojbe i onda slobodno riješite zadatak na više načina :-)</t>
  </si>
  <si>
    <t>Termin uvida u ispite i usmenog ispita bit će objavljen zajedno s rezultatima.</t>
  </si>
  <si>
    <t>1. ishod: postotni račun i primjena</t>
  </si>
  <si>
    <t>2. ishod: obračun plaće, jednostavni i složeni kamatni račun i primjena</t>
  </si>
  <si>
    <t>3. ishod: kredit</t>
  </si>
  <si>
    <t>4. ishod: funkcije</t>
  </si>
  <si>
    <t>JMBAG</t>
  </si>
  <si>
    <t>2 boda</t>
  </si>
  <si>
    <t>Informacije koje vam trebaju:</t>
  </si>
  <si>
    <t>Osnovni osobni odbitak iznosi</t>
  </si>
  <si>
    <t>Dijete</t>
  </si>
  <si>
    <t>koeficijent</t>
  </si>
  <si>
    <t>BRUTO iznos</t>
  </si>
  <si>
    <t>D1</t>
  </si>
  <si>
    <t>1. MO 15 %</t>
  </si>
  <si>
    <t>15 % od bruto iznosa</t>
  </si>
  <si>
    <t>D2</t>
  </si>
  <si>
    <t>2. MO 5 %</t>
  </si>
  <si>
    <t>5 % od bruto iznosa</t>
  </si>
  <si>
    <t>D3</t>
  </si>
  <si>
    <t>MIROVINSKO OSIGURANJE ukupno</t>
  </si>
  <si>
    <t>1. MO + 2. MO</t>
  </si>
  <si>
    <t>D4</t>
  </si>
  <si>
    <t>DOHODAK</t>
  </si>
  <si>
    <t>bruto - ukupna izdvajanja za mirovinsko osiguranje</t>
  </si>
  <si>
    <t>D5</t>
  </si>
  <si>
    <t>D6</t>
  </si>
  <si>
    <t>ISKORIŠTENI OSOBNI ODBITAK</t>
  </si>
  <si>
    <t>min(dohodak; prijavljeni osobni odbitak)</t>
  </si>
  <si>
    <t>D7</t>
  </si>
  <si>
    <t>NEISKORIŠTENI OSOBNI ODBITAK</t>
  </si>
  <si>
    <t>prijavljeni - iskorišteni osobni odbitak</t>
  </si>
  <si>
    <t>D8</t>
  </si>
  <si>
    <t>POREZNA OSNOVICA</t>
  </si>
  <si>
    <t>dohodak - iskorišteni osobni odbitak</t>
  </si>
  <si>
    <t>D9</t>
  </si>
  <si>
    <t>POREZ 20 %</t>
  </si>
  <si>
    <t>Udržavani član</t>
  </si>
  <si>
    <t>POREZ 30 %</t>
  </si>
  <si>
    <t>UKUPAN POREZ</t>
  </si>
  <si>
    <t>Porezni razredi za stope poreza:</t>
  </si>
  <si>
    <t>NETO</t>
  </si>
  <si>
    <t>dohodak - ukupan porez - prirez</t>
  </si>
  <si>
    <t>ZO - DOPRINOSI NA PLAĆU 16,5 %</t>
  </si>
  <si>
    <t>16,5 % na bruto</t>
  </si>
  <si>
    <t>BRUTO 2 = ukupan trošak poslodavca</t>
  </si>
  <si>
    <t>bruto + doprinosi na plaću</t>
  </si>
  <si>
    <t>udio neto u bruto 2</t>
  </si>
  <si>
    <t>neto/bruto2</t>
  </si>
  <si>
    <t>Doprinosi NA plaću (doprinosi koje će poslodavac uplatiti za svakog djelatnika)</t>
  </si>
  <si>
    <t>* doprinos za zdravstveno osiguranje (16,5 %)</t>
  </si>
  <si>
    <r>
      <rPr>
        <b/>
        <sz val="11"/>
        <color theme="1"/>
        <rFont val="Calibri"/>
        <family val="2"/>
      </rPr>
      <t>12. [I2, 5 bodova] M+Ž</t>
    </r>
    <r>
      <rPr>
        <sz val="11"/>
        <color theme="1"/>
        <rFont val="Calibri"/>
        <family val="2"/>
      </rPr>
      <t xml:space="preserve"> Štefica je prije 15 godina stavila 25.000 eura na štednju, a prije 6 podigla 5.100 eura.
S kolikim iznosom raspolaže danas ako je prvih šest godina kamatna stopa bila 3,3 %, sljedećih 7 godina 2,6 %, a nakon toga 1,9 %? Obračun je složen, dekurzivan.
Stanja na računu nakon šest godina, devet godina i danas upišite u ćelije C14, C16 i C18. Interpretaciju napišite u ćeliji C20.</t>
    </r>
  </si>
  <si>
    <t>M 1 bod</t>
  </si>
  <si>
    <t>Stanje nakon šest godina C6=</t>
  </si>
  <si>
    <t>Ž 1 bod</t>
  </si>
  <si>
    <t>Ž 3 boda</t>
  </si>
  <si>
    <t>Stanje danas C15=</t>
  </si>
  <si>
    <t>C0=</t>
  </si>
  <si>
    <t>p=</t>
  </si>
  <si>
    <t>r=</t>
  </si>
  <si>
    <t>Jednostavni kamatni račun</t>
  </si>
  <si>
    <t>Složeni kamatni račun</t>
  </si>
  <si>
    <t>godina</t>
  </si>
  <si>
    <t>godišnja kamata</t>
  </si>
  <si>
    <t>stanje na računu</t>
  </si>
  <si>
    <t>M 1,5 bod</t>
  </si>
  <si>
    <t>razlika izražena u postotku (zaokružite na 4 decimale)</t>
  </si>
  <si>
    <r>
      <rPr>
        <sz val="11"/>
        <color theme="1"/>
        <rFont val="Calibri"/>
        <family val="2"/>
      </rPr>
      <t xml:space="preserve">14. </t>
    </r>
    <r>
      <rPr>
        <b/>
        <sz val="11"/>
        <color theme="1"/>
        <rFont val="Calibri"/>
        <family val="2"/>
      </rPr>
      <t>[I2, 6 bodova] Ž</t>
    </r>
    <r>
      <rPr>
        <sz val="11"/>
        <color theme="1"/>
        <rFont val="Calibri"/>
        <family val="2"/>
      </rPr>
      <t xml:space="preserve"> Ante je tijekom 31 godine uplaćivao na štednju po 70 eura krajem svakog mjeseca, uz prosječnu godišnju kamatnu stopu od 2,8 %. U ćeliji D21 izračunajte koliko je uštedio. Nakon toga odlučio je primati mirovinu sljedećih 20 godina početkom svakog mjeseca. U ćeliji H21 izračunajte koliko će primati ako se očekuje prosječna godišnja kamatna stopa u mirovinskom fondu 1,7 %? (konformni obračun). U ćeliji G23 napišite odgovor.</t>
    </r>
  </si>
  <si>
    <t>Uplate / štednja</t>
  </si>
  <si>
    <t>Isplate mirovine</t>
  </si>
  <si>
    <t>Ž 0,5 bod</t>
  </si>
  <si>
    <t>An</t>
  </si>
  <si>
    <t>R</t>
  </si>
  <si>
    <t>n</t>
  </si>
  <si>
    <t>m</t>
  </si>
  <si>
    <t>p</t>
  </si>
  <si>
    <t>r</t>
  </si>
  <si>
    <t>rk</t>
  </si>
  <si>
    <t>pk</t>
  </si>
  <si>
    <t>nk</t>
  </si>
  <si>
    <t>Ž 2 boda</t>
  </si>
  <si>
    <t>ukupna ušteda</t>
  </si>
  <si>
    <t>rata mirovine</t>
  </si>
  <si>
    <t>NAPOMENA: OBAVEZNO KORISTITE NAREDBU ROUND NA SVIM PRIKLADNIM MJESTIMA!!!</t>
  </si>
  <si>
    <t>nr</t>
  </si>
  <si>
    <t>0,5 bod</t>
  </si>
  <si>
    <t>pr</t>
  </si>
  <si>
    <t>rr</t>
  </si>
  <si>
    <t>a</t>
  </si>
  <si>
    <t>1 bod</t>
  </si>
  <si>
    <t>k</t>
  </si>
  <si>
    <t>Ik</t>
  </si>
  <si>
    <t>Rk</t>
  </si>
  <si>
    <t>Ck</t>
  </si>
  <si>
    <t>2 bod</t>
  </si>
  <si>
    <t>suma</t>
  </si>
  <si>
    <r>
      <rPr>
        <sz val="11"/>
        <color theme="1"/>
        <rFont val="Calibri"/>
        <family val="2"/>
      </rPr>
      <t xml:space="preserve">16. </t>
    </r>
    <r>
      <rPr>
        <b/>
        <sz val="11"/>
        <color theme="1"/>
        <rFont val="Calibri"/>
        <family val="2"/>
      </rPr>
      <t>[I3, 5 bodova] M</t>
    </r>
    <r>
      <rPr>
        <sz val="11"/>
        <color theme="1"/>
        <rFont val="Calibri"/>
        <family val="2"/>
      </rPr>
      <t xml:space="preserve"> Uzeli ste stambeni kredit u iznosu 190.000 eura na rok od 33 godine. Godišnja kamatna stopa iznosi 3,85 %. Vraćat će ga krajem svakog kvartala metodom jednakih otplatnih kvota. Koristi se proporcionalna metoda (relativni kamatnjak).
Napravite otplatnu tablicu. Popravite zadnji redak otplatne tablice tako da dug bude 0 eura.</t>
    </r>
  </si>
  <si>
    <t>ak</t>
  </si>
  <si>
    <t>postnum.</t>
  </si>
  <si>
    <t>1,5 bod</t>
  </si>
  <si>
    <r>
      <rPr>
        <sz val="11"/>
        <color theme="1"/>
        <rFont val="Calibri"/>
        <family val="2"/>
      </rPr>
      <t xml:space="preserve">17. </t>
    </r>
    <r>
      <rPr>
        <b/>
        <sz val="11"/>
        <color theme="1"/>
        <rFont val="Calibri"/>
        <family val="2"/>
      </rPr>
      <t>[I3, 5 bodova] Ž</t>
    </r>
    <r>
      <rPr>
        <sz val="11"/>
        <color theme="1"/>
        <rFont val="Calibri"/>
        <family val="2"/>
      </rPr>
      <t xml:space="preserve"> Petar je uzeo stambeni kredit u iznosu 60.000,00 eura koji će otplaćivati 28 godina krajem svakog mjeseca. Početna godišnja dekurzivna kamatna stopa iznosila je 4,9 %. Zadana je otplatna tablica.
Nakon pet godina kamatna stopa je narasla za 0,6 postotna boda.
Nakon osam godina od početka otplate kamatna stopa je još jednom narasla za dodatnih 0,5 postotnih bodova, a Petar je odlučio produljiti vrijeme otplate za još četiri godine. 
Prepravite otplatnu tablicu do kraja.</t>
    </r>
  </si>
  <si>
    <t>n=</t>
  </si>
  <si>
    <t>m=</t>
  </si>
  <si>
    <t>RELATIVNO</t>
  </si>
  <si>
    <t>pr=</t>
  </si>
  <si>
    <t>rr=</t>
  </si>
  <si>
    <t>nr=</t>
  </si>
  <si>
    <t>a=</t>
  </si>
  <si>
    <t>-</t>
  </si>
  <si>
    <t>R=</t>
  </si>
  <si>
    <t>udio u subvenciji</t>
  </si>
  <si>
    <t>Leon će ukupno dobiti</t>
  </si>
  <si>
    <t>subvencija.</t>
  </si>
  <si>
    <t xml:space="preserve">Fran će ukupno dobiti </t>
  </si>
  <si>
    <t>Leon</t>
  </si>
  <si>
    <t>Fran</t>
  </si>
  <si>
    <t>subvencionirani dio anuiteta</t>
  </si>
  <si>
    <t>korigirani (stvarno plaćeni) anuitet</t>
  </si>
  <si>
    <r>
      <rPr>
        <sz val="11"/>
        <color rgb="FF000000"/>
        <rFont val="Calibri"/>
        <family val="2"/>
      </rPr>
      <t>c)</t>
    </r>
    <r>
      <rPr>
        <b/>
        <sz val="11"/>
        <color rgb="FF000000"/>
        <rFont val="Calibri"/>
        <family val="2"/>
      </rPr>
      <t xml:space="preserve"> M</t>
    </r>
    <r>
      <rPr>
        <sz val="11"/>
        <color rgb="FF000000"/>
        <rFont val="Calibri"/>
        <family val="2"/>
      </rPr>
      <t xml:space="preserve"> Prikažite podatke grafički raspršenim dijagramom.</t>
    </r>
  </si>
  <si>
    <t>Godina</t>
  </si>
  <si>
    <t>b)</t>
  </si>
  <si>
    <t>c)</t>
  </si>
  <si>
    <r>
      <rPr>
        <sz val="11"/>
        <color theme="1"/>
        <rFont val="Calibri"/>
        <family val="2"/>
      </rPr>
      <t xml:space="preserve">20. </t>
    </r>
    <r>
      <rPr>
        <b/>
        <sz val="11"/>
        <color theme="1"/>
        <rFont val="Calibri"/>
        <family val="2"/>
      </rPr>
      <t>[I4, 9 bodova]</t>
    </r>
    <r>
      <rPr>
        <sz val="11"/>
        <color theme="1"/>
        <rFont val="Calibri"/>
        <family val="2"/>
      </rPr>
      <t xml:space="preserve"> Bilježene su cijene jedne kripotovalute od nultog dana - dana njene objave. Kretanje je opisano formulom</t>
    </r>
  </si>
  <si>
    <t>p(t)=−4t^2+31t+485</t>
  </si>
  <si>
    <t>t je vrijeme u danima, a p(t) je cijena u eurima.</t>
  </si>
  <si>
    <r>
      <rPr>
        <sz val="11"/>
        <color theme="1"/>
        <rFont val="Calibri"/>
        <family val="2"/>
      </rPr>
      <t xml:space="preserve">a) </t>
    </r>
    <r>
      <rPr>
        <b/>
        <sz val="11"/>
        <color theme="1"/>
        <rFont val="Calibri"/>
        <family val="2"/>
      </rPr>
      <t>M</t>
    </r>
    <r>
      <rPr>
        <sz val="11"/>
        <color theme="1"/>
        <rFont val="Calibri"/>
        <family val="2"/>
      </rPr>
      <t xml:space="preserve"> Popunite tablicu.</t>
    </r>
  </si>
  <si>
    <t>dan</t>
  </si>
  <si>
    <t>cijena kriptovalute (EUR)</t>
  </si>
  <si>
    <r>
      <rPr>
        <sz val="11"/>
        <color theme="1"/>
        <rFont val="Calibri"/>
        <family val="2"/>
      </rPr>
      <t xml:space="preserve">b) </t>
    </r>
    <r>
      <rPr>
        <b/>
        <sz val="11"/>
        <color theme="1"/>
        <rFont val="Calibri"/>
        <family val="2"/>
      </rPr>
      <t>M</t>
    </r>
    <r>
      <rPr>
        <sz val="11"/>
        <color theme="1"/>
        <rFont val="Calibri"/>
        <family val="2"/>
      </rPr>
      <t xml:space="preserve"> Grafički prikažite podatke. Graf smjestite desno od tablice.</t>
    </r>
  </si>
  <si>
    <r>
      <rPr>
        <sz val="11"/>
        <color theme="1"/>
        <rFont val="Calibri"/>
        <family val="2"/>
      </rPr>
      <t xml:space="preserve">c) </t>
    </r>
    <r>
      <rPr>
        <b/>
        <sz val="11"/>
        <color theme="1"/>
        <rFont val="Calibri"/>
        <family val="2"/>
      </rPr>
      <t>M</t>
    </r>
    <r>
      <rPr>
        <sz val="11"/>
        <color theme="1"/>
        <rFont val="Calibri"/>
        <family val="2"/>
      </rPr>
      <t xml:space="preserve"> U tablici pročitajte koji dan je vrijednost kriptovalute dosegnula najvišu vrijednost? Upišite u ćeliju B21.</t>
    </r>
  </si>
  <si>
    <t>dan 4</t>
  </si>
  <si>
    <r>
      <rPr>
        <sz val="11"/>
        <color theme="1"/>
        <rFont val="Calibri"/>
        <family val="2"/>
      </rPr>
      <t xml:space="preserve">d) </t>
    </r>
    <r>
      <rPr>
        <b/>
        <sz val="11"/>
        <color theme="1"/>
        <rFont val="Calibri"/>
        <family val="2"/>
      </rPr>
      <t>M</t>
    </r>
    <r>
      <rPr>
        <sz val="11"/>
        <color theme="1"/>
        <rFont val="Calibri"/>
        <family val="2"/>
      </rPr>
      <t xml:space="preserve"> Koliko je iznosila ta vrijednost? Upišite u ćeliju B25.</t>
    </r>
  </si>
  <si>
    <r>
      <rPr>
        <sz val="11"/>
        <color theme="1"/>
        <rFont val="Calibri"/>
        <family val="2"/>
      </rPr>
      <t xml:space="preserve">e) </t>
    </r>
    <r>
      <rPr>
        <b/>
        <sz val="11"/>
        <color theme="1"/>
        <rFont val="Calibri"/>
        <family val="2"/>
      </rPr>
      <t>M</t>
    </r>
    <r>
      <rPr>
        <sz val="11"/>
        <color theme="1"/>
        <rFont val="Calibri"/>
        <family val="2"/>
      </rPr>
      <t xml:space="preserve"> Koliko posto iznosi ukupan rast kriptovalute u danu 3 u odnosu na početak kad je kriptovaluta objavljena? Izračunajte u ćeliji B29.</t>
    </r>
  </si>
  <si>
    <r>
      <rPr>
        <sz val="11"/>
        <color theme="1"/>
        <rFont val="Calibri"/>
        <family val="2"/>
      </rPr>
      <t xml:space="preserve">f) </t>
    </r>
    <r>
      <rPr>
        <b/>
        <sz val="11"/>
        <color theme="1"/>
        <rFont val="Calibri"/>
        <family val="2"/>
      </rPr>
      <t>Ž</t>
    </r>
    <r>
      <rPr>
        <sz val="11"/>
        <color theme="1"/>
        <rFont val="Calibri"/>
        <family val="2"/>
      </rPr>
      <t xml:space="preserve"> Odredite diskriminantu početne funkcije.</t>
    </r>
  </si>
  <si>
    <t>b=</t>
  </si>
  <si>
    <t>c=</t>
  </si>
  <si>
    <t>D=</t>
  </si>
  <si>
    <r>
      <rPr>
        <sz val="11"/>
        <color theme="1"/>
        <rFont val="Calibri"/>
        <family val="2"/>
      </rPr>
      <t xml:space="preserve">g) </t>
    </r>
    <r>
      <rPr>
        <b/>
        <sz val="11"/>
        <color theme="1"/>
        <rFont val="Calibri"/>
        <family val="2"/>
      </rPr>
      <t>Ž</t>
    </r>
    <r>
      <rPr>
        <sz val="11"/>
        <color theme="1"/>
        <rFont val="Calibri"/>
        <family val="2"/>
      </rPr>
      <t xml:space="preserve"> Odredite nultočke funkcije</t>
    </r>
  </si>
  <si>
    <t>x1=</t>
  </si>
  <si>
    <t>x2=</t>
  </si>
  <si>
    <r>
      <rPr>
        <sz val="11"/>
        <color theme="1"/>
        <rFont val="Calibri"/>
        <family val="2"/>
      </rPr>
      <t xml:space="preserve">h) </t>
    </r>
    <r>
      <rPr>
        <b/>
        <sz val="11"/>
        <color theme="1"/>
        <rFont val="Calibri"/>
        <family val="2"/>
      </rPr>
      <t>Ž</t>
    </r>
    <r>
      <rPr>
        <sz val="11"/>
        <color theme="1"/>
        <rFont val="Calibri"/>
        <family val="2"/>
      </rPr>
      <t xml:space="preserve"> Jedna nultočka je pozitivan broj. Što bi onda predstavljala u našem slučaju? Upišite u ćeliju B44.</t>
    </r>
  </si>
  <si>
    <t>Nakon koliko dana bi vrijednost kriptovalute bila 0.</t>
  </si>
  <si>
    <r>
      <rPr>
        <sz val="11"/>
        <color theme="1"/>
        <rFont val="Calibri"/>
        <family val="2"/>
      </rPr>
      <t xml:space="preserve">i) </t>
    </r>
    <r>
      <rPr>
        <b/>
        <sz val="11"/>
        <color theme="1"/>
        <rFont val="Calibri"/>
        <family val="2"/>
      </rPr>
      <t>Ž</t>
    </r>
    <r>
      <rPr>
        <sz val="11"/>
        <color theme="1"/>
        <rFont val="Calibri"/>
        <family val="2"/>
      </rPr>
      <t xml:space="preserve"> Jedna nultočka je negativan broj. Što bi onda predstavljala u našem slučaju? Upišite u ćeliju B48.</t>
    </r>
  </si>
  <si>
    <t>Prije koliko dana je vrijednost bila 0.</t>
  </si>
  <si>
    <t>Prezime i ime</t>
  </si>
  <si>
    <t>1. ishod</t>
  </si>
  <si>
    <t>2. ishod</t>
  </si>
  <si>
    <t>3. ishod</t>
  </si>
  <si>
    <t>4. ishod</t>
  </si>
  <si>
    <t>ZAD 1</t>
  </si>
  <si>
    <t>ZAD 2</t>
  </si>
  <si>
    <t>ZAD 3</t>
  </si>
  <si>
    <t>ZAD 4</t>
  </si>
  <si>
    <t>ZAD 5</t>
  </si>
  <si>
    <t>ZAD 6</t>
  </si>
  <si>
    <t>ZAD 7</t>
  </si>
  <si>
    <t>ZAD 8</t>
  </si>
  <si>
    <t>ZAD 9</t>
  </si>
  <si>
    <t>ZAD 10</t>
  </si>
  <si>
    <t>ZAD 11</t>
  </si>
  <si>
    <t>ZAD 12</t>
  </si>
  <si>
    <t>ZAD 13</t>
  </si>
  <si>
    <t>ZAD 14</t>
  </si>
  <si>
    <t>ZAD 15</t>
  </si>
  <si>
    <t>ZAD 16</t>
  </si>
  <si>
    <t>ZAD 17</t>
  </si>
  <si>
    <t>ZAD 18</t>
  </si>
  <si>
    <t>ZAD 19</t>
  </si>
  <si>
    <t>ZAD 20</t>
  </si>
  <si>
    <t>ZAD 21</t>
  </si>
  <si>
    <t>Rješavan ishod</t>
  </si>
  <si>
    <t>prirez</t>
  </si>
  <si>
    <t>bruto</t>
  </si>
  <si>
    <t>kontrola</t>
  </si>
  <si>
    <t>Zad r. br.</t>
  </si>
  <si>
    <t>Točan odg</t>
  </si>
  <si>
    <t>Student</t>
  </si>
  <si>
    <t>Auto-bod</t>
  </si>
  <si>
    <t>Korigirano</t>
  </si>
  <si>
    <t>Ispravljeno</t>
  </si>
  <si>
    <t>Bod max</t>
  </si>
  <si>
    <t xml:space="preserve"> /2</t>
  </si>
  <si>
    <t>/1</t>
  </si>
  <si>
    <t>/3</t>
  </si>
  <si>
    <t>zbroj</t>
  </si>
  <si>
    <t xml:space="preserve"> /5</t>
  </si>
  <si>
    <t xml:space="preserve"> /1,5</t>
  </si>
  <si>
    <t>/0,5</t>
  </si>
  <si>
    <t xml:space="preserve"> /1</t>
  </si>
  <si>
    <t xml:space="preserve"> /4</t>
  </si>
  <si>
    <t>/2</t>
  </si>
  <si>
    <t xml:space="preserve"> /6</t>
  </si>
  <si>
    <t>GRAF</t>
  </si>
  <si>
    <t>eksponencijalni model</t>
  </si>
  <si>
    <t>INTERPRETACIJA</t>
  </si>
  <si>
    <t xml:space="preserve"> /9</t>
  </si>
  <si>
    <r>
      <rPr>
        <sz val="11"/>
        <color rgb="FF000000"/>
        <rFont val="Calibri"/>
        <family val="2"/>
      </rPr>
      <t xml:space="preserve">a) </t>
    </r>
    <r>
      <rPr>
        <b/>
        <sz val="11"/>
        <color rgb="FF000000"/>
        <rFont val="Calibri"/>
        <family val="2"/>
      </rPr>
      <t>M</t>
    </r>
    <r>
      <rPr>
        <sz val="11"/>
        <color rgb="FF000000"/>
        <rFont val="Calibri"/>
        <family val="2"/>
      </rPr>
      <t xml:space="preserve"> Prikažite podatke grafički. Graf smjestite desno od tablice.</t>
    </r>
  </si>
  <si>
    <t>r. br. trgovine</t>
  </si>
  <si>
    <t>broj proizvedenih proizvoda</t>
  </si>
  <si>
    <t>Prihod (EUR)</t>
  </si>
  <si>
    <t>a)</t>
  </si>
  <si>
    <t>linearni model</t>
  </si>
  <si>
    <t>d)</t>
  </si>
  <si>
    <t>interpretacija a</t>
  </si>
  <si>
    <t>interpretacija b</t>
  </si>
  <si>
    <t>e)</t>
  </si>
  <si>
    <r>
      <t xml:space="preserve">21. </t>
    </r>
    <r>
      <rPr>
        <b/>
        <sz val="11"/>
        <color rgb="FF000000"/>
        <rFont val="Calibri"/>
        <family val="2"/>
      </rPr>
      <t xml:space="preserve">[I4, 6 bodova] </t>
    </r>
    <r>
      <rPr>
        <sz val="11"/>
        <color rgb="FF000000"/>
        <rFont val="Calibri"/>
        <family val="2"/>
      </rPr>
      <t>U tablici su zadani podaci o ukupnom broju proizvedenih proizvoda i prihodu 11 tvornica.</t>
    </r>
  </si>
  <si>
    <t>y = 513,95x - 36999</t>
  </si>
  <si>
    <t>y = 60945e^0,0024x</t>
  </si>
  <si>
    <t>Tvornica bez proizvedenog proizvoda imala bi prihod 60945 kn</t>
  </si>
  <si>
    <t>Sa svakim više proizvedenim proizvodom prihod raste za 0,24 %.</t>
  </si>
  <si>
    <t>Prihod bi iznosio 263.478,51 eura.</t>
  </si>
  <si>
    <r>
      <t xml:space="preserve">1. </t>
    </r>
    <r>
      <rPr>
        <b/>
        <sz val="11"/>
        <color theme="1"/>
        <rFont val="Calibri"/>
        <family val="2"/>
        <charset val="238"/>
        <scheme val="minor"/>
      </rPr>
      <t>[I1, 2 boda] M</t>
    </r>
    <r>
      <rPr>
        <sz val="11"/>
        <color theme="1"/>
        <rFont val="Calibri"/>
        <family val="2"/>
        <charset val="238"/>
        <scheme val="minor"/>
      </rPr>
      <t xml:space="preserve"> Brašno je koštalo 1,20 eura i pojeftinilo 11 %. Izračunajte novu cijenu u ćeliji C3.</t>
    </r>
  </si>
  <si>
    <r>
      <t xml:space="preserve">2. </t>
    </r>
    <r>
      <rPr>
        <b/>
        <sz val="11"/>
        <color theme="1"/>
        <rFont val="Calibri"/>
        <family val="2"/>
        <charset val="238"/>
        <scheme val="minor"/>
      </rPr>
      <t>[I1, 2 boda] M</t>
    </r>
    <r>
      <rPr>
        <sz val="11"/>
        <color theme="1"/>
        <rFont val="Calibri"/>
        <family val="2"/>
        <charset val="238"/>
        <scheme val="minor"/>
      </rPr>
      <t xml:space="preserve"> Broj dijeljenja na jednoj stranici u godinu dana se povećao s 13.565 na 17.320. Koliko iznosi postotno povećanje? Izračunajte u ćeliji C8.</t>
    </r>
  </si>
  <si>
    <r>
      <t>3.</t>
    </r>
    <r>
      <rPr>
        <b/>
        <sz val="11"/>
        <color theme="1"/>
        <rFont val="Calibri"/>
        <family val="2"/>
        <charset val="238"/>
        <scheme val="minor"/>
      </rPr>
      <t xml:space="preserve"> [I1, 2 boda] M</t>
    </r>
    <r>
      <rPr>
        <sz val="11"/>
        <color theme="1"/>
        <rFont val="Calibri"/>
        <family val="2"/>
        <charset val="238"/>
        <scheme val="minor"/>
      </rPr>
      <t xml:space="preserve"> Tvornica je imala plan proizvodnje 90.300 proizvoda, a ostvarila 78.560. Koliko posto plana je ostvarila? Izračunajte u ćeliji C13.</t>
    </r>
  </si>
  <si>
    <r>
      <t>4.</t>
    </r>
    <r>
      <rPr>
        <b/>
        <sz val="11"/>
        <color theme="1"/>
        <rFont val="Calibri"/>
        <family val="2"/>
        <charset val="238"/>
        <scheme val="minor"/>
      </rPr>
      <t xml:space="preserve"> [I1, 2 boda] M</t>
    </r>
    <r>
      <rPr>
        <sz val="11"/>
        <color theme="1"/>
        <rFont val="Calibri"/>
        <family val="2"/>
        <charset val="238"/>
        <scheme val="minor"/>
      </rPr>
      <t xml:space="preserve"> Andrej je na prvom ispitu ostvario 33, a na drugom 41 bod. Koliko posto je na drugom ispitu ostvario više bodova nego na prvom? Izračunajte u ćeliji C18.</t>
    </r>
  </si>
  <si>
    <r>
      <t>5.</t>
    </r>
    <r>
      <rPr>
        <b/>
        <sz val="11"/>
        <color theme="1"/>
        <rFont val="Calibri"/>
        <family val="2"/>
        <charset val="238"/>
        <scheme val="minor"/>
      </rPr>
      <t xml:space="preserve"> [I1, 2 boda] Ž </t>
    </r>
    <r>
      <rPr>
        <sz val="11"/>
        <color theme="1"/>
        <rFont val="Calibri"/>
        <family val="2"/>
        <charset val="238"/>
        <scheme val="minor"/>
      </rPr>
      <t>Formira se cijena kilograma banana. Osnovica je 1,50 eura i treba dodati PDV od 5 %. U ćeliji C23 izračunajte maloprodajnu cijenu kilograma banana. (cijena u trgovini)</t>
    </r>
  </si>
  <si>
    <r>
      <t>7.</t>
    </r>
    <r>
      <rPr>
        <b/>
        <sz val="11"/>
        <color theme="1"/>
        <rFont val="Calibri"/>
        <family val="2"/>
        <charset val="238"/>
        <scheme val="minor"/>
      </rPr>
      <t xml:space="preserve"> [I1, 2 boda]</t>
    </r>
    <r>
      <rPr>
        <sz val="11"/>
        <color theme="1"/>
        <rFont val="Calibri"/>
        <family val="2"/>
        <charset val="238"/>
        <scheme val="minor"/>
      </rPr>
      <t xml:space="preserve"> </t>
    </r>
    <r>
      <rPr>
        <b/>
        <sz val="11"/>
        <color theme="1"/>
        <rFont val="Calibri"/>
        <family val="2"/>
        <charset val="238"/>
        <scheme val="minor"/>
      </rPr>
      <t>Ž</t>
    </r>
    <r>
      <rPr>
        <sz val="11"/>
        <color theme="1"/>
        <rFont val="Calibri"/>
        <family val="2"/>
        <charset val="238"/>
        <scheme val="minor"/>
      </rPr>
      <t xml:space="preserve"> U internetsku kampanju za oglašavanje uloženo je 3.600 eura (trošak oglašavanja), a prosječni cost per click (Avg. CPC) iznosio je 0,70 eura. U ćeliji C34 izračunajte koliko je postignuto klikova. Koristi naredbu ROUNDDOWN( ;0) da biste zaokružili na cijeli broj. Interpretaciju napišite u ćeliji D34.</t>
    </r>
  </si>
  <si>
    <r>
      <rPr>
        <b/>
        <sz val="11"/>
        <color theme="1"/>
        <rFont val="Calibri"/>
        <family val="2"/>
        <charset val="238"/>
        <scheme val="minor"/>
      </rPr>
      <t xml:space="preserve">8. [I1, 2 boda] Ž (nastavak na 7.) </t>
    </r>
    <r>
      <rPr>
        <sz val="11"/>
        <color theme="1"/>
        <rFont val="Calibri"/>
        <family val="2"/>
        <charset val="238"/>
        <scheme val="minor"/>
      </rPr>
      <t>Ukupno je postignuto 173 konverzija. Koliko iznosi stopa konverzije? Izračunajte u ćeliji C39. Interpretaciju napišite u ćeliji D39.</t>
    </r>
  </si>
  <si>
    <r>
      <rPr>
        <b/>
        <sz val="11"/>
        <color rgb="FF000000"/>
        <rFont val="Calibri"/>
        <family val="2"/>
        <charset val="238"/>
        <scheme val="minor"/>
      </rPr>
      <t>9. [I1, 2 boda] Ž (nastavak)</t>
    </r>
    <r>
      <rPr>
        <sz val="11"/>
        <color rgb="FF000000"/>
        <rFont val="Calibri"/>
        <family val="2"/>
        <charset val="238"/>
        <scheme val="minor"/>
      </rPr>
      <t xml:space="preserve"> Ukupno je bilo 103.514 impresija. Koliko je iznosio CTR (click through rate)? Izračunajte u ćeliji C44, a interpretaciju napišite u ćeliji D44.</t>
    </r>
  </si>
  <si>
    <r>
      <rPr>
        <b/>
        <sz val="11"/>
        <color theme="1"/>
        <rFont val="Calibri"/>
        <family val="2"/>
        <charset val="238"/>
        <scheme val="minor"/>
      </rPr>
      <t>10. [I1, 2 boda] Ž (nastavak)</t>
    </r>
    <r>
      <rPr>
        <sz val="11"/>
        <color theme="1"/>
        <rFont val="Calibri"/>
        <family val="2"/>
        <charset val="238"/>
        <scheme val="minor"/>
      </rPr>
      <t xml:space="preserve"> Ako je ukupan trošak kampanje 53.220 eura, a prosječan prihod po konverziji 415 eura, izračunajte ROI u ćeliji C50. Interpretaciju napišite u ćeliji D50.</t>
    </r>
  </si>
  <si>
    <r>
      <t xml:space="preserve">13. </t>
    </r>
    <r>
      <rPr>
        <b/>
        <sz val="11"/>
        <color theme="1"/>
        <rFont val="Calibri"/>
        <family val="2"/>
      </rPr>
      <t xml:space="preserve">[I2, 4 boda] M </t>
    </r>
    <r>
      <rPr>
        <sz val="11"/>
        <color theme="1"/>
        <rFont val="Calibri"/>
        <family val="2"/>
      </rPr>
      <t>Napravite tablicu usporedbe jednostavnog i složenog kamatnog računa ako je osoba uložila 71.000 eura uz godišnju kamatnu stopu od 1,2 %. U ćeliji C22 izračunajte koliko posto je konačna vrijednost nakon osam godina pri jednostavnom obračunu manja od one pri složenom obračunu? Interpretaciju napišite u ćeliji C23.
Napomena: sve vrijednosti u tablici koje računate zaokružite na dvije decimale koristeći naredbu =ROUND( ;2), a razliku u postotku u ćeliji C22 na četiri decimale koristeći naredbu =ROUND( ;4).</t>
    </r>
  </si>
  <si>
    <r>
      <t xml:space="preserve">a) </t>
    </r>
    <r>
      <rPr>
        <b/>
        <sz val="11"/>
        <color rgb="FF000000"/>
        <rFont val="Calibri"/>
        <family val="2"/>
      </rPr>
      <t>M</t>
    </r>
    <r>
      <rPr>
        <sz val="11"/>
        <color rgb="FF000000"/>
        <rFont val="Calibri"/>
        <family val="2"/>
      </rPr>
      <t xml:space="preserve"> U tablici je prikazan broj turista po godinama. Popunite tablicu do kraja.</t>
    </r>
  </si>
  <si>
    <r>
      <t xml:space="preserve">b) </t>
    </r>
    <r>
      <rPr>
        <b/>
        <sz val="11"/>
        <color rgb="FF000000"/>
        <rFont val="Calibri"/>
        <family val="2"/>
      </rPr>
      <t>M</t>
    </r>
    <r>
      <rPr>
        <sz val="11"/>
        <color rgb="FF000000"/>
        <rFont val="Calibri"/>
        <family val="2"/>
      </rPr>
      <t xml:space="preserve"> Koje godine se očekuje 40.000 turista? Upišite u ćeliju E13.</t>
    </r>
  </si>
  <si>
    <r>
      <t xml:space="preserve">d) </t>
    </r>
    <r>
      <rPr>
        <b/>
        <sz val="11"/>
        <color rgb="FF000000"/>
        <rFont val="Calibri"/>
        <family val="2"/>
      </rPr>
      <t>M</t>
    </r>
    <r>
      <rPr>
        <sz val="11"/>
        <color rgb="FF000000"/>
        <rFont val="Calibri"/>
        <family val="2"/>
      </rPr>
      <t xml:space="preserve"> Koliko turista se očekuje 2028. godine ako se ovakav trend nastavi? Samo dopunite tablicu do 2028. godine. Ne trebate pisati interpretaciju.</t>
    </r>
  </si>
  <si>
    <r>
      <t xml:space="preserve">e) </t>
    </r>
    <r>
      <rPr>
        <b/>
        <sz val="11"/>
        <color rgb="FF000000"/>
        <rFont val="Calibri"/>
        <family val="2"/>
      </rPr>
      <t>Ž</t>
    </r>
    <r>
      <rPr>
        <sz val="11"/>
        <color rgb="FF000000"/>
        <rFont val="Calibri"/>
        <family val="2"/>
      </rPr>
      <t xml:space="preserve"> Koliko turista se očekuje 2035. ako je 2028. godina zadnja godina linearnog pada, a nakon toga slijedi eksponencijalni rast s 0,64 % godišnje? Dopunite tablicu do 2035. godine i izračunajte.</t>
    </r>
  </si>
  <si>
    <t>Turisti</t>
  </si>
  <si>
    <r>
      <t>b)</t>
    </r>
    <r>
      <rPr>
        <b/>
        <sz val="11"/>
        <color rgb="FF000000"/>
        <rFont val="Calibri"/>
        <family val="2"/>
      </rPr>
      <t xml:space="preserve"> M</t>
    </r>
    <r>
      <rPr>
        <sz val="11"/>
        <color rgb="FF000000"/>
        <rFont val="Calibri"/>
        <family val="2"/>
      </rPr>
      <t xml:space="preserve"> Odredite jednadžbe linearnog i eksponencijalnog modela i prepišite ih u ćelije C26 i C27.</t>
    </r>
  </si>
  <si>
    <r>
      <t xml:space="preserve">c) </t>
    </r>
    <r>
      <rPr>
        <b/>
        <sz val="11"/>
        <color rgb="FF000000"/>
        <rFont val="Calibri"/>
        <family val="2"/>
      </rPr>
      <t>Ž</t>
    </r>
    <r>
      <rPr>
        <sz val="11"/>
        <color rgb="FF000000"/>
        <rFont val="Calibri"/>
        <family val="2"/>
      </rPr>
      <t xml:space="preserve"> Odgovara li prikazanoj pojavi bolje linearni ili eksponencijalni model? Upišite u ćeliju B29.</t>
    </r>
  </si>
  <si>
    <r>
      <t xml:space="preserve">d) </t>
    </r>
    <r>
      <rPr>
        <b/>
        <sz val="11"/>
        <color rgb="FF000000"/>
        <rFont val="Calibri"/>
        <family val="2"/>
      </rPr>
      <t>Ž</t>
    </r>
    <r>
      <rPr>
        <sz val="11"/>
        <color rgb="FF000000"/>
        <rFont val="Calibri"/>
        <family val="2"/>
      </rPr>
      <t xml:space="preserve"> Interpretirajte koeficijente a i b reprezentativnijeg modela u ćelijama B32 i B33.</t>
    </r>
  </si>
  <si>
    <r>
      <t>e)</t>
    </r>
    <r>
      <rPr>
        <b/>
        <sz val="11"/>
        <color rgb="FF000000"/>
        <rFont val="Calibri"/>
        <family val="2"/>
      </rPr>
      <t xml:space="preserve"> Ž </t>
    </r>
    <r>
      <rPr>
        <sz val="11"/>
        <color rgb="FF000000"/>
        <rFont val="Calibri"/>
        <family val="2"/>
      </rPr>
      <t>Koliko bi prema tom modelu iznosio prihod kad bi broj proizvedenih proizvoda bio 610? Izračunajte u ćeliji B35, a interpretaciju napišite u C35.</t>
    </r>
  </si>
  <si>
    <r>
      <t xml:space="preserve">18. </t>
    </r>
    <r>
      <rPr>
        <b/>
        <sz val="11"/>
        <color theme="1"/>
        <rFont val="Calibri"/>
        <family val="2"/>
      </rPr>
      <t>[I3, 5 bodova] Ž</t>
    </r>
    <r>
      <rPr>
        <sz val="11"/>
        <color theme="1"/>
        <rFont val="Calibri"/>
        <family val="2"/>
      </rPr>
      <t xml:space="preserve"> Leon je uzeo kredit u iznosu 82.000 eura na 31 godinu. Kredit otplaćuje metodom JEDNAKIH ANUITETA krajem svakog mjeseca, a godišnja kamatna stopa iznosi 3,4 %. U 35. retku napravljene su usporedne otplatne tablice u kunama njegovog i Franovog kredita. Fran je uzeo identičan kredit, ali otplaćivat će ga metodom </t>
    </r>
    <r>
      <rPr>
        <b/>
        <sz val="11"/>
        <color theme="1"/>
        <rFont val="Calibri"/>
        <family val="2"/>
      </rPr>
      <t>JEDNAKIH OTPLATNIH KVOTA</t>
    </r>
    <r>
      <rPr>
        <sz val="11"/>
        <color theme="1"/>
        <rFont val="Calibri"/>
        <family val="2"/>
      </rPr>
      <t xml:space="preserve">. Koristi se relativni kamatnjak.
Cijena njihovog kvadrata stana iznosila je 1.420 EUR i oboje su kupili stan u Gunji. Koliko će ukupno dobiti subvencija i koliko će zapravo plaćati prvih 5 godina? Popunite stupce: F, G, N, O.
Subvencija za Gunju iznosi 51 % mjesečnog anuiteta, tj. država prvih 5 godina plaća 51 % anuiteta, ako je iznos kvadrata ispod 1.500 EUR (što u našem slučaju je).
</t>
    </r>
  </si>
  <si>
    <t>Rezultati pismenog dijela ispita bit će objavljeni u roku 7 dana.</t>
  </si>
  <si>
    <t>Osnovica za uzdržavane članove i djecu:</t>
  </si>
  <si>
    <t>iznos odbitka</t>
  </si>
  <si>
    <t>PRIJAVLJENI OSOBNI ODBITAK</t>
  </si>
  <si>
    <t>20 % na iznos do 3.981,69 eura porezne osnovice</t>
  </si>
  <si>
    <t>30 % na iznos veći od 3.981,69 eura porezne osnovice</t>
  </si>
  <si>
    <t>PRIREZ   0% - 18%</t>
  </si>
  <si>
    <t>x % od ukupnog poreza</t>
  </si>
  <si>
    <t>20 % na osnovicu do 3.981,61 eura (0 eur - 3.981,61 eura)</t>
  </si>
  <si>
    <t>30 % - na osnovicu iznad 3.981,69 eura</t>
  </si>
  <si>
    <t>Svaka točno izračunata vrijednost donosi po 0,375 boda.</t>
  </si>
  <si>
    <r>
      <rPr>
        <b/>
        <sz val="11"/>
        <color theme="1"/>
        <rFont val="Calibri"/>
        <family val="2"/>
      </rPr>
      <t>11. [I2, 6 bodova] M</t>
    </r>
    <r>
      <rPr>
        <sz val="11"/>
        <color theme="1"/>
        <rFont val="Calibri"/>
        <family val="2"/>
      </rPr>
      <t xml:space="preserve"> Odredite neto iznos plaće osobe koja živi u Zagrebu (prirez 18 %) i popunite tablicu do kraja. Ima dijete D3 na svojoj poreznoj kartici i bruto plaću 1.600 eura.</t>
    </r>
  </si>
  <si>
    <r>
      <t>6.</t>
    </r>
    <r>
      <rPr>
        <b/>
        <sz val="11"/>
        <color theme="1"/>
        <rFont val="Calibri"/>
        <family val="2"/>
        <charset val="238"/>
        <scheme val="minor"/>
      </rPr>
      <t xml:space="preserve"> [I1, 3 boda] Ž</t>
    </r>
    <r>
      <rPr>
        <sz val="11"/>
        <color theme="1"/>
        <rFont val="Calibri"/>
        <family val="2"/>
        <charset val="238"/>
        <scheme val="minor"/>
      </rPr>
      <t xml:space="preserve"> Ruksak košta 22 eura u trgovini. Ako je stopa PDV-a 25 % odredite cijenu bez PDV-a? Izračunajte u ćeliji C28.</t>
    </r>
  </si>
  <si>
    <r>
      <t xml:space="preserve">15. </t>
    </r>
    <r>
      <rPr>
        <b/>
        <sz val="11"/>
        <color theme="1"/>
        <rFont val="Calibri"/>
        <family val="2"/>
      </rPr>
      <t>[I3, 6 bodova] M</t>
    </r>
    <r>
      <rPr>
        <sz val="11"/>
        <color theme="1"/>
        <rFont val="Calibri"/>
        <family val="2"/>
      </rPr>
      <t xml:space="preserve"> Anita je uzela zajam metodom jednakih anuiteta u iznosu 15.000,00 eura koji će otplaćivati 12 godina krajem svakog polugodišta. Godišnja dekurzivna kamatna stopa iznosi 4,5 %.
Napravite otplatnu tablicu i provjerite je. Popravite zadnji redak otplatne tablice tako da dug bude 0 eura.</t>
    </r>
  </si>
  <si>
    <r>
      <t xml:space="preserve">19. </t>
    </r>
    <r>
      <rPr>
        <b/>
        <sz val="11"/>
        <color rgb="FF000000"/>
        <rFont val="Calibri"/>
        <family val="2"/>
      </rPr>
      <t xml:space="preserve">[I4, 6 bodova] </t>
    </r>
    <r>
      <rPr>
        <sz val="11"/>
        <color rgb="FF000000"/>
        <rFont val="Calibri"/>
        <family val="2"/>
      </rPr>
      <t>Broj turista u nekom hotelskom naselju povećava se godišnje u prosjeku za 290.</t>
    </r>
  </si>
  <si>
    <t xml:space="preserve"> /21</t>
  </si>
  <si>
    <t xml:space="preserve"> /3</t>
  </si>
  <si>
    <t>/0,375</t>
  </si>
  <si>
    <t>Spremite dokument pod svojim imenom, tako da prvo napišete prezime, potom ime i grupu ispita (ovo je grupa 2) npr. Ivic Ivica 2.xlsx</t>
  </si>
  <si>
    <t>ispit - grupa 2 u 18:00</t>
  </si>
  <si>
    <t>Stanje nakon devet godina od početka (nakon što je podigla 5.100 eur) C9=</t>
  </si>
  <si>
    <t>12. 9. 2024.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</si>
</sst>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0.00\ &quot;kn&quot;;[Red]\-#,##0.00\ &quot;kn&quot;"/>
    <numFmt numFmtId="164" formatCode="_-&quot;€&quot;\ * #,##0.00_-;\-&quot;€&quot;\ * #,##0.00_-;_-&quot;€&quot;\ * &quot;-&quot;??_-;_-@_-"/>
    <numFmt numFmtId="165" formatCode="_-* #,##0.00\ [$€-1]_-;\-* #,##0.00\ [$€-1]_-;_-* &quot;-&quot;??\ [$€-1]_-;_-@"/>
    <numFmt numFmtId="166" formatCode="#,##0.00\ &quot;kn&quot;"/>
    <numFmt numFmtId="167" formatCode="_-* #,##0.00\ &quot;kn&quot;_-;\-* #,##0.00\ &quot;kn&quot;_-;_-* &quot;-&quot;??\ &quot;kn&quot;_-;_-@"/>
    <numFmt numFmtId="168" formatCode="_-* #,##0.00\ [$kn-41A]_-;\-* #,##0.00\ [$kn-41A]_-;_-* &quot;-&quot;??\ [$kn-41A]_-;_-@"/>
    <numFmt numFmtId="169" formatCode="0.0000%"/>
    <numFmt numFmtId="170" formatCode="#,##0.0000"/>
    <numFmt numFmtId="171" formatCode="_-* #,##0.00000\ _k_n_-;\-* #,##0.00000\ _k_n_-;_-* &quot;-&quot;??\ _k_n_-;_-@"/>
    <numFmt numFmtId="172" formatCode="0.000%"/>
    <numFmt numFmtId="173" formatCode="#,##0.000\ &quot;kn&quot;"/>
    <numFmt numFmtId="174" formatCode="0.0000000%"/>
    <numFmt numFmtId="175" formatCode="0.000000%"/>
    <numFmt numFmtId="176" formatCode="_-* #,##0.000\ _k_n_-;\-* #,##0.000\ _k_n_-;_-* &quot;-&quot;??\ _k_n_-;_-@"/>
    <numFmt numFmtId="177" formatCode="_-[$€-2]\ * #,##0.00_-;\-[$€-2]\ * #,##0.00_-;_-[$€-2]\ * &quot;-&quot;??_-;_-@"/>
    <numFmt numFmtId="178" formatCode="0.0%"/>
    <numFmt numFmtId="179" formatCode="0.00000"/>
    <numFmt numFmtId="180" formatCode="0.0"/>
    <numFmt numFmtId="181" formatCode="0.0000"/>
    <numFmt numFmtId="182" formatCode="_-[$€-2]\ * #,##0.00_-;\-[$€-2]\ * #,##0.00_-;_-[$€-2]\ * &quot;-&quot;??_-;_-@_-"/>
    <numFmt numFmtId="183" formatCode="&quot;€&quot;\ #,##0.00"/>
  </numFmts>
  <fonts count="27" x14ac:knownFonts="1">
    <font>
      <sz val="11"/>
      <color theme="1"/>
      <name val="Calibri"/>
      <scheme val="minor"/>
    </font>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Calibri"/>
      <family val="2"/>
    </font>
    <font>
      <b/>
      <sz val="16"/>
      <color theme="1"/>
      <name val="Calibri"/>
      <family val="2"/>
    </font>
    <font>
      <sz val="11"/>
      <color theme="1"/>
      <name val="Calibri"/>
      <family val="2"/>
      <scheme val="minor"/>
    </font>
    <font>
      <b/>
      <sz val="11"/>
      <color rgb="FFFF0000"/>
      <name val="Calibri"/>
      <family val="2"/>
    </font>
    <font>
      <b/>
      <sz val="11"/>
      <color theme="1"/>
      <name val="Calibri"/>
      <family val="2"/>
    </font>
    <font>
      <sz val="11"/>
      <color theme="1"/>
      <name val="Calibri"/>
      <family val="2"/>
    </font>
    <font>
      <sz val="11"/>
      <name val="Calibri"/>
      <family val="2"/>
    </font>
    <font>
      <sz val="11"/>
      <color rgb="FFFF0000"/>
      <name val="Calibri"/>
      <family val="2"/>
    </font>
    <font>
      <sz val="11"/>
      <color rgb="FF000000"/>
      <name val="Calibri"/>
      <family val="2"/>
    </font>
    <font>
      <u/>
      <sz val="11"/>
      <color theme="10"/>
      <name val="Calibri"/>
      <family val="2"/>
    </font>
    <font>
      <b/>
      <sz val="11"/>
      <color rgb="FF000000"/>
      <name val="Calibri"/>
      <family val="2"/>
    </font>
    <font>
      <sz val="11"/>
      <color rgb="FFFF0000"/>
      <name val="Calibri"/>
      <family val="2"/>
      <scheme val="minor"/>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alibri"/>
      <family val="2"/>
      <charset val="238"/>
      <scheme val="minor"/>
    </font>
    <font>
      <sz val="11"/>
      <name val="Calibri"/>
      <family val="2"/>
      <charset val="238"/>
    </font>
    <font>
      <sz val="11"/>
      <color theme="1"/>
      <name val="Calibri"/>
      <family val="2"/>
      <charset val="238"/>
    </font>
    <font>
      <u/>
      <sz val="11"/>
      <color theme="10"/>
      <name val="Calibri"/>
      <family val="2"/>
      <scheme val="minor"/>
    </font>
    <font>
      <sz val="11"/>
      <color theme="1"/>
      <name val="Calibri"/>
      <family val="2"/>
      <charset val="238"/>
      <scheme val="minor"/>
    </font>
  </fonts>
  <fills count="20">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E2EFD9"/>
        <bgColor rgb="FFE2EFD9"/>
      </patternFill>
    </fill>
    <fill>
      <patternFill patternType="solid">
        <fgColor rgb="FFFFD965"/>
        <bgColor rgb="FFFFD965"/>
      </patternFill>
    </fill>
    <fill>
      <patternFill patternType="solid">
        <fgColor rgb="FF92D050"/>
        <bgColor rgb="FF92D050"/>
      </patternFill>
    </fill>
    <fill>
      <patternFill patternType="solid">
        <fgColor rgb="FFF7CAAC"/>
        <bgColor rgb="FFF7CAAC"/>
      </patternFill>
    </fill>
    <fill>
      <patternFill patternType="solid">
        <fgColor rgb="FFFBE4D5"/>
        <bgColor rgb="FFFBE4D5"/>
      </patternFill>
    </fill>
    <fill>
      <patternFill patternType="solid">
        <fgColor rgb="FFFEF2CB"/>
        <bgColor rgb="FFFEF2CB"/>
      </patternFill>
    </fill>
    <fill>
      <patternFill patternType="solid">
        <fgColor rgb="FFD9E2F3"/>
        <bgColor rgb="FFD9E2F3"/>
      </patternFill>
    </fill>
    <fill>
      <patternFill patternType="solid">
        <fgColor rgb="FF7F7F7F"/>
        <bgColor rgb="FF7F7F7F"/>
      </patternFill>
    </fill>
    <fill>
      <patternFill patternType="solid">
        <fgColor rgb="FF9CC2E5"/>
        <bgColor rgb="FF9CC2E5"/>
      </patternFill>
    </fill>
    <fill>
      <patternFill patternType="solid">
        <fgColor rgb="FF92D05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2CC"/>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4" fillId="0" borderId="4"/>
    <xf numFmtId="0" fontId="22" fillId="0" borderId="4"/>
    <xf numFmtId="0" fontId="17" fillId="0" borderId="4"/>
    <xf numFmtId="0" fontId="25" fillId="0" borderId="4" applyNumberFormat="0" applyFill="0" applyBorder="0" applyAlignment="0" applyProtection="0"/>
    <xf numFmtId="9" fontId="22" fillId="0" borderId="4"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224">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2" borderId="1" xfId="0" applyFont="1" applyFill="1" applyBorder="1"/>
    <xf numFmtId="0" fontId="10" fillId="2" borderId="1" xfId="0" applyFont="1" applyFill="1" applyBorder="1" applyAlignment="1">
      <alignment horizontal="center" vertical="center"/>
    </xf>
    <xf numFmtId="0" fontId="10" fillId="0" borderId="1" xfId="0" applyFont="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xf>
    <xf numFmtId="0" fontId="10" fillId="0" borderId="0" xfId="0" applyFont="1" applyAlignment="1">
      <alignment horizontal="center" vertical="center"/>
    </xf>
    <xf numFmtId="10" fontId="10" fillId="0" borderId="0" xfId="0" applyNumberFormat="1" applyFont="1"/>
    <xf numFmtId="165" fontId="10" fillId="2" borderId="4" xfId="0" applyNumberFormat="1" applyFont="1" applyFill="1" applyBorder="1"/>
    <xf numFmtId="0" fontId="12" fillId="0" borderId="0" xfId="0" applyFont="1"/>
    <xf numFmtId="0" fontId="10" fillId="0" borderId="0" xfId="0" applyFont="1" applyAlignment="1">
      <alignment vertical="center"/>
    </xf>
    <xf numFmtId="0" fontId="10" fillId="0" borderId="0" xfId="0" applyFont="1" applyAlignment="1">
      <alignment horizontal="left" wrapText="1"/>
    </xf>
    <xf numFmtId="10" fontId="10" fillId="2" borderId="4" xfId="0" applyNumberFormat="1" applyFont="1" applyFill="1" applyBorder="1"/>
    <xf numFmtId="0" fontId="10" fillId="0" borderId="0" xfId="0" applyFont="1"/>
    <xf numFmtId="0" fontId="10" fillId="0" borderId="0" xfId="0" applyFont="1" applyAlignment="1">
      <alignment wrapText="1"/>
    </xf>
    <xf numFmtId="0" fontId="10" fillId="2" borderId="4" xfId="0" applyFont="1" applyFill="1" applyBorder="1"/>
    <xf numFmtId="166" fontId="10" fillId="0" borderId="0" xfId="0" applyNumberFormat="1" applyFont="1"/>
    <xf numFmtId="0" fontId="9" fillId="0" borderId="0" xfId="0" applyFont="1"/>
    <xf numFmtId="0" fontId="9" fillId="0" borderId="1" xfId="0" applyFont="1" applyBorder="1" applyAlignment="1">
      <alignment horizontal="center" vertical="center"/>
    </xf>
    <xf numFmtId="0" fontId="10" fillId="0" borderId="1" xfId="0" applyFont="1" applyBorder="1" applyAlignment="1">
      <alignment horizontal="center" vertical="center"/>
    </xf>
    <xf numFmtId="167" fontId="10"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right" vertical="top"/>
    </xf>
    <xf numFmtId="0" fontId="12" fillId="0" borderId="0" xfId="0" applyFont="1" applyAlignment="1">
      <alignment horizontal="left" vertical="top"/>
    </xf>
    <xf numFmtId="0" fontId="12" fillId="0" borderId="0" xfId="0" applyFont="1" applyAlignment="1">
      <alignment horizontal="right" vertical="top"/>
    </xf>
    <xf numFmtId="0" fontId="10" fillId="2" borderId="4" xfId="0" applyFont="1" applyFill="1" applyBorder="1" applyAlignment="1">
      <alignment horizontal="right" wrapText="1"/>
    </xf>
    <xf numFmtId="0" fontId="10" fillId="0" borderId="0" xfId="0" applyFont="1" applyAlignment="1">
      <alignment horizontal="right" wrapText="1"/>
    </xf>
    <xf numFmtId="0" fontId="10" fillId="0" borderId="0" xfId="0" applyFont="1" applyAlignment="1">
      <alignment horizontal="left" vertical="top" wrapText="1"/>
    </xf>
    <xf numFmtId="165" fontId="10" fillId="2" borderId="4"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xf>
    <xf numFmtId="0" fontId="9" fillId="0" borderId="2" xfId="0" applyFont="1" applyBorder="1" applyAlignment="1">
      <alignment horizontal="center"/>
    </xf>
    <xf numFmtId="0" fontId="9" fillId="0" borderId="1" xfId="0" applyFont="1" applyBorder="1" applyAlignment="1">
      <alignment horizontal="center" vertical="center" wrapText="1"/>
    </xf>
    <xf numFmtId="165" fontId="10" fillId="2" borderId="1" xfId="0" applyNumberFormat="1" applyFont="1" applyFill="1" applyBorder="1" applyAlignment="1">
      <alignment horizontal="center"/>
    </xf>
    <xf numFmtId="0" fontId="12" fillId="0" borderId="0" xfId="0" applyFont="1" applyAlignment="1">
      <alignment horizontal="right" vertical="top" wrapText="1"/>
    </xf>
    <xf numFmtId="10" fontId="10" fillId="2" borderId="4" xfId="0" applyNumberFormat="1" applyFont="1" applyFill="1" applyBorder="1" applyAlignment="1">
      <alignment horizontal="center" vertical="center"/>
    </xf>
    <xf numFmtId="165" fontId="12" fillId="2" borderId="4" xfId="0" applyNumberFormat="1" applyFont="1" applyFill="1" applyBorder="1"/>
    <xf numFmtId="169" fontId="10" fillId="2" borderId="4" xfId="0" applyNumberFormat="1" applyFont="1" applyFill="1" applyBorder="1"/>
    <xf numFmtId="0" fontId="10" fillId="2" borderId="4" xfId="0" applyFont="1" applyFill="1" applyBorder="1" applyAlignment="1">
      <alignment wrapText="1"/>
    </xf>
    <xf numFmtId="170" fontId="10" fillId="2" borderId="4" xfId="0" applyNumberFormat="1" applyFont="1" applyFill="1" applyBorder="1"/>
    <xf numFmtId="171" fontId="10" fillId="2" borderId="4" xfId="0" applyNumberFormat="1" applyFont="1" applyFill="1" applyBorder="1"/>
    <xf numFmtId="8" fontId="10" fillId="0" borderId="0" xfId="0" applyNumberFormat="1" applyFont="1"/>
    <xf numFmtId="1" fontId="10" fillId="0" borderId="1" xfId="0" applyNumberFormat="1" applyFont="1" applyBorder="1" applyAlignment="1">
      <alignment horizontal="center" vertical="center"/>
    </xf>
    <xf numFmtId="165" fontId="10" fillId="0" borderId="0" xfId="0" applyNumberFormat="1" applyFont="1" applyAlignment="1">
      <alignment horizontal="center" vertical="center"/>
    </xf>
    <xf numFmtId="165" fontId="10" fillId="5" borderId="4" xfId="0" applyNumberFormat="1" applyFont="1" applyFill="1" applyBorder="1" applyAlignment="1">
      <alignment horizontal="center" vertical="center"/>
    </xf>
    <xf numFmtId="1" fontId="10" fillId="0" borderId="0" xfId="0" applyNumberFormat="1" applyFont="1" applyAlignment="1">
      <alignment horizontal="center" vertical="center"/>
    </xf>
    <xf numFmtId="0" fontId="12" fillId="0" borderId="0" xfId="0" applyFont="1" applyAlignment="1">
      <alignment horizontal="center" vertical="center"/>
    </xf>
    <xf numFmtId="165" fontId="10" fillId="6" borderId="0" xfId="0" applyNumberFormat="1" applyFont="1" applyFill="1" applyAlignment="1">
      <alignment horizontal="center" vertical="center"/>
    </xf>
    <xf numFmtId="165" fontId="10" fillId="0" borderId="0" xfId="0" applyNumberFormat="1" applyFont="1"/>
    <xf numFmtId="165" fontId="10" fillId="0" borderId="1" xfId="0" applyNumberFormat="1" applyFont="1" applyBorder="1" applyAlignment="1">
      <alignment horizontal="center" vertical="center"/>
    </xf>
    <xf numFmtId="172" fontId="10" fillId="2" borderId="4" xfId="0" applyNumberFormat="1" applyFont="1" applyFill="1" applyBorder="1"/>
    <xf numFmtId="8" fontId="10" fillId="0" borderId="0" xfId="0" applyNumberFormat="1" applyFont="1" applyAlignment="1">
      <alignment horizontal="center" vertical="center"/>
    </xf>
    <xf numFmtId="173" fontId="10" fillId="0" borderId="0" xfId="0" applyNumberFormat="1" applyFont="1" applyAlignment="1">
      <alignment horizontal="center" vertical="center"/>
    </xf>
    <xf numFmtId="166" fontId="10" fillId="0" borderId="0" xfId="0" applyNumberFormat="1" applyFont="1" applyAlignment="1">
      <alignment horizontal="center" vertical="center"/>
    </xf>
    <xf numFmtId="174" fontId="10" fillId="0" borderId="0" xfId="0" applyNumberFormat="1" applyFont="1"/>
    <xf numFmtId="0" fontId="10" fillId="0" borderId="0" xfId="0" applyFont="1" applyAlignment="1">
      <alignment horizontal="left"/>
    </xf>
    <xf numFmtId="165" fontId="10" fillId="0" borderId="1" xfId="0" applyNumberFormat="1" applyFont="1" applyBorder="1" applyAlignment="1">
      <alignment horizontal="center"/>
    </xf>
    <xf numFmtId="165" fontId="10" fillId="6" borderId="1" xfId="0" applyNumberFormat="1" applyFont="1" applyFill="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vertical="center" wrapText="1"/>
    </xf>
    <xf numFmtId="175" fontId="10" fillId="0" borderId="0" xfId="0" applyNumberFormat="1" applyFont="1"/>
    <xf numFmtId="176" fontId="10" fillId="0" borderId="0" xfId="0" applyNumberFormat="1" applyFont="1"/>
    <xf numFmtId="177" fontId="10" fillId="0" borderId="0" xfId="0" applyNumberFormat="1" applyFont="1"/>
    <xf numFmtId="0" fontId="16" fillId="0" borderId="0" xfId="0" applyFont="1"/>
    <xf numFmtId="0" fontId="9" fillId="0" borderId="0" xfId="0" applyFont="1" applyAlignment="1">
      <alignment horizontal="center" vertical="center"/>
    </xf>
    <xf numFmtId="165" fontId="10" fillId="7" borderId="1" xfId="0" applyNumberFormat="1" applyFont="1" applyFill="1" applyBorder="1" applyAlignment="1">
      <alignment horizontal="center"/>
    </xf>
    <xf numFmtId="0" fontId="10" fillId="7" borderId="1" xfId="0" applyFont="1" applyFill="1" applyBorder="1" applyAlignment="1">
      <alignment horizontal="center"/>
    </xf>
    <xf numFmtId="178" fontId="10" fillId="0" borderId="0" xfId="0" applyNumberFormat="1" applyFont="1"/>
    <xf numFmtId="165" fontId="12" fillId="0" borderId="0" xfId="0" applyNumberFormat="1" applyFont="1"/>
    <xf numFmtId="10" fontId="10" fillId="2" borderId="4" xfId="0" applyNumberFormat="1" applyFont="1" applyFill="1" applyBorder="1" applyAlignment="1">
      <alignment wrapText="1"/>
    </xf>
    <xf numFmtId="165" fontId="10" fillId="2" borderId="4" xfId="0" applyNumberFormat="1" applyFont="1" applyFill="1" applyBorder="1" applyAlignment="1">
      <alignment wrapText="1"/>
    </xf>
    <xf numFmtId="165" fontId="10" fillId="0" borderId="1" xfId="0" applyNumberFormat="1" applyFont="1" applyBorder="1"/>
    <xf numFmtId="165" fontId="10" fillId="6" borderId="1" xfId="0" applyNumberFormat="1" applyFont="1" applyFill="1" applyBorder="1"/>
    <xf numFmtId="0" fontId="10" fillId="0" borderId="1" xfId="0" applyFont="1" applyBorder="1"/>
    <xf numFmtId="165" fontId="10" fillId="0" borderId="0" xfId="0" applyNumberFormat="1" applyFont="1" applyAlignment="1">
      <alignment horizontal="center"/>
    </xf>
    <xf numFmtId="0" fontId="13" fillId="0" borderId="0" xfId="0" applyFont="1"/>
    <xf numFmtId="0" fontId="9" fillId="0" borderId="1" xfId="0" applyFont="1" applyBorder="1" applyAlignment="1">
      <alignment horizontal="center"/>
    </xf>
    <xf numFmtId="0" fontId="10" fillId="2" borderId="1" xfId="0" applyFont="1" applyFill="1" applyBorder="1" applyAlignment="1">
      <alignment horizontal="center"/>
    </xf>
    <xf numFmtId="1" fontId="10" fillId="2" borderId="1" xfId="0" applyNumberFormat="1" applyFont="1" applyFill="1" applyBorder="1" applyAlignment="1">
      <alignment horizontal="center"/>
    </xf>
    <xf numFmtId="2" fontId="10" fillId="2" borderId="4" xfId="0" applyNumberFormat="1" applyFont="1" applyFill="1" applyBorder="1"/>
    <xf numFmtId="0" fontId="9" fillId="2"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0" xfId="0" applyFont="1" applyAlignment="1">
      <alignment horizontal="right" vertical="center"/>
    </xf>
    <xf numFmtId="9" fontId="10" fillId="0" borderId="0" xfId="0" applyNumberFormat="1" applyFont="1" applyAlignment="1">
      <alignment horizontal="center" vertical="center"/>
    </xf>
    <xf numFmtId="0" fontId="9" fillId="11" borderId="4" xfId="0" applyFont="1" applyFill="1" applyBorder="1" applyAlignment="1">
      <alignment horizontal="center" vertical="center"/>
    </xf>
    <xf numFmtId="0" fontId="10" fillId="11" borderId="4" xfId="0" applyFont="1" applyFill="1" applyBorder="1"/>
    <xf numFmtId="177" fontId="10"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11" borderId="4" xfId="0" applyFont="1" applyFill="1" applyBorder="1" applyAlignment="1">
      <alignment horizontal="center" vertical="center"/>
    </xf>
    <xf numFmtId="0" fontId="9" fillId="0" borderId="2" xfId="0" applyFont="1" applyBorder="1" applyAlignment="1">
      <alignment horizontal="center" vertical="center"/>
    </xf>
    <xf numFmtId="177" fontId="10" fillId="0" borderId="1" xfId="0" applyNumberFormat="1" applyFont="1" applyBorder="1"/>
    <xf numFmtId="0" fontId="12" fillId="0" borderId="1" xfId="0" applyFont="1" applyBorder="1"/>
    <xf numFmtId="10" fontId="10" fillId="0" borderId="1" xfId="0" applyNumberFormat="1" applyFont="1" applyBorder="1" applyAlignment="1">
      <alignment horizontal="center" vertical="center"/>
    </xf>
    <xf numFmtId="0" fontId="8" fillId="0" borderId="1" xfId="0" applyFont="1" applyBorder="1" applyAlignment="1">
      <alignment horizontal="center" vertical="center"/>
    </xf>
    <xf numFmtId="2" fontId="10" fillId="0" borderId="1" xfId="0" applyNumberFormat="1" applyFont="1" applyBorder="1" applyAlignment="1">
      <alignment horizontal="center" vertical="center"/>
    </xf>
    <xf numFmtId="179" fontId="10" fillId="0" borderId="1" xfId="0" applyNumberFormat="1" applyFont="1" applyBorder="1" applyAlignment="1">
      <alignment horizontal="center" vertical="center"/>
    </xf>
    <xf numFmtId="180" fontId="10" fillId="0" borderId="1" xfId="0" applyNumberFormat="1" applyFont="1" applyBorder="1" applyAlignment="1">
      <alignment horizontal="center" vertical="center"/>
    </xf>
    <xf numFmtId="169" fontId="10" fillId="0" borderId="1" xfId="0" applyNumberFormat="1" applyFont="1" applyBorder="1" applyAlignment="1">
      <alignment horizontal="center" vertical="center"/>
    </xf>
    <xf numFmtId="181" fontId="10" fillId="0" borderId="1" xfId="0" applyNumberFormat="1" applyFont="1" applyBorder="1" applyAlignment="1">
      <alignment horizontal="center" vertical="center"/>
    </xf>
    <xf numFmtId="0" fontId="10" fillId="12" borderId="1" xfId="0" applyFont="1" applyFill="1" applyBorder="1" applyAlignment="1">
      <alignment horizontal="center" vertical="center"/>
    </xf>
    <xf numFmtId="0" fontId="12" fillId="12" borderId="1" xfId="0" applyFont="1" applyFill="1" applyBorder="1" applyAlignment="1">
      <alignment horizontal="center" vertical="center"/>
    </xf>
    <xf numFmtId="0" fontId="4" fillId="0" borderId="4" xfId="1"/>
    <xf numFmtId="0" fontId="17" fillId="0" borderId="0" xfId="0" applyFont="1"/>
    <xf numFmtId="10" fontId="17" fillId="0" borderId="0" xfId="0" applyNumberFormat="1" applyFont="1"/>
    <xf numFmtId="165" fontId="17" fillId="2" borderId="4" xfId="0" applyNumberFormat="1" applyFont="1" applyFill="1" applyBorder="1"/>
    <xf numFmtId="0" fontId="19" fillId="0" borderId="0" xfId="0" applyFont="1"/>
    <xf numFmtId="0" fontId="17"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left" wrapText="1"/>
    </xf>
    <xf numFmtId="10" fontId="17" fillId="2" borderId="4" xfId="0" applyNumberFormat="1" applyFont="1" applyFill="1" applyBorder="1"/>
    <xf numFmtId="0" fontId="17" fillId="0" borderId="0" xfId="0" applyFont="1" applyAlignment="1">
      <alignment wrapText="1"/>
    </xf>
    <xf numFmtId="0" fontId="17" fillId="2" borderId="4" xfId="0" applyFont="1" applyFill="1" applyBorder="1"/>
    <xf numFmtId="0" fontId="20" fillId="0" borderId="0" xfId="0" applyFont="1" applyAlignment="1">
      <alignment horizontal="left" vertical="center"/>
    </xf>
    <xf numFmtId="166" fontId="17" fillId="0" borderId="0" xfId="0" applyNumberFormat="1" applyFont="1"/>
    <xf numFmtId="165" fontId="10" fillId="13" borderId="0" xfId="0" applyNumberFormat="1" applyFont="1" applyFill="1" applyAlignment="1">
      <alignment horizontal="center" vertical="center"/>
    </xf>
    <xf numFmtId="0" fontId="10" fillId="14" borderId="1" xfId="0" applyFont="1" applyFill="1" applyBorder="1" applyAlignment="1">
      <alignment horizontal="center"/>
    </xf>
    <xf numFmtId="165" fontId="10" fillId="14" borderId="1" xfId="0" applyNumberFormat="1" applyFont="1" applyFill="1" applyBorder="1" applyAlignment="1">
      <alignment horizontal="center"/>
    </xf>
    <xf numFmtId="0" fontId="3" fillId="0" borderId="0" xfId="0" applyFont="1"/>
    <xf numFmtId="0" fontId="10" fillId="0" borderId="4" xfId="2" applyFont="1" applyAlignment="1">
      <alignment vertical="center" wrapText="1"/>
    </xf>
    <xf numFmtId="0" fontId="10" fillId="0" borderId="4" xfId="2" applyFont="1"/>
    <xf numFmtId="0" fontId="22" fillId="0" borderId="4" xfId="2"/>
    <xf numFmtId="0" fontId="10" fillId="0" borderId="4" xfId="2" applyFont="1" applyAlignment="1">
      <alignment vertical="center"/>
    </xf>
    <xf numFmtId="0" fontId="14" fillId="0" borderId="4" xfId="2" applyFont="1"/>
    <xf numFmtId="0" fontId="10" fillId="0" borderId="4" xfId="2" applyFont="1" applyAlignment="1">
      <alignment horizontal="left" vertical="center"/>
    </xf>
    <xf numFmtId="0" fontId="14" fillId="0" borderId="4" xfId="2" applyFont="1" applyAlignment="1">
      <alignment horizontal="left" vertical="center"/>
    </xf>
    <xf numFmtId="0" fontId="10" fillId="0" borderId="2" xfId="2" applyFont="1" applyBorder="1"/>
    <xf numFmtId="0" fontId="10" fillId="0" borderId="13" xfId="2" applyFont="1" applyBorder="1"/>
    <xf numFmtId="0" fontId="10" fillId="0" borderId="3" xfId="2" applyFont="1" applyBorder="1"/>
    <xf numFmtId="0" fontId="20" fillId="0" borderId="16" xfId="2" applyFont="1" applyBorder="1" applyAlignment="1">
      <alignment horizontal="left" vertical="center"/>
    </xf>
    <xf numFmtId="182" fontId="22" fillId="0" borderId="4" xfId="2" applyNumberFormat="1"/>
    <xf numFmtId="167" fontId="10" fillId="0" borderId="4" xfId="2" applyNumberFormat="1" applyFont="1"/>
    <xf numFmtId="0" fontId="10" fillId="0" borderId="9" xfId="2" applyFont="1" applyBorder="1"/>
    <xf numFmtId="0" fontId="20" fillId="0" borderId="17" xfId="2" applyFont="1" applyBorder="1" applyAlignment="1">
      <alignment horizontal="left" vertical="center"/>
    </xf>
    <xf numFmtId="0" fontId="9" fillId="0" borderId="4" xfId="2" applyFont="1"/>
    <xf numFmtId="0" fontId="10" fillId="0" borderId="4" xfId="2" applyFont="1" applyAlignment="1">
      <alignment horizontal="center" vertical="center"/>
    </xf>
    <xf numFmtId="182" fontId="22" fillId="0" borderId="4" xfId="2" applyNumberFormat="1" applyAlignment="1">
      <alignment horizontal="right"/>
    </xf>
    <xf numFmtId="167" fontId="10" fillId="0" borderId="4" xfId="2" applyNumberFormat="1" applyFont="1" applyAlignment="1">
      <alignment horizontal="right"/>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168" fontId="10" fillId="0" borderId="1" xfId="2" applyNumberFormat="1" applyFont="1" applyBorder="1" applyAlignment="1">
      <alignment horizontal="center" vertical="center"/>
    </xf>
    <xf numFmtId="168" fontId="10" fillId="0" borderId="4" xfId="2" applyNumberFormat="1" applyFont="1"/>
    <xf numFmtId="0" fontId="20" fillId="0" borderId="18" xfId="3" applyFont="1" applyBorder="1" applyAlignment="1">
      <alignment horizontal="center" vertical="center"/>
    </xf>
    <xf numFmtId="0" fontId="17" fillId="0" borderId="18" xfId="3" applyBorder="1" applyAlignment="1">
      <alignment horizontal="center" vertical="center"/>
    </xf>
    <xf numFmtId="0" fontId="23" fillId="15" borderId="18" xfId="3" applyFont="1" applyFill="1" applyBorder="1" applyAlignment="1">
      <alignment horizontal="left" vertical="center" wrapText="1"/>
    </xf>
    <xf numFmtId="0" fontId="24" fillId="15" borderId="18" xfId="3" applyFont="1" applyFill="1" applyBorder="1" applyAlignment="1">
      <alignment horizontal="left" vertical="center"/>
    </xf>
    <xf numFmtId="182" fontId="23" fillId="15" borderId="18" xfId="3" applyNumberFormat="1" applyFont="1" applyFill="1" applyBorder="1" applyAlignment="1">
      <alignment horizontal="left" vertical="center" wrapText="1"/>
    </xf>
    <xf numFmtId="182" fontId="17" fillId="0" borderId="18" xfId="3" applyNumberFormat="1" applyBorder="1" applyAlignment="1">
      <alignment horizontal="center" vertical="center"/>
    </xf>
    <xf numFmtId="0" fontId="23" fillId="16" borderId="18" xfId="3" applyFont="1" applyFill="1" applyBorder="1" applyAlignment="1">
      <alignment horizontal="left" vertical="center" wrapText="1"/>
    </xf>
    <xf numFmtId="0" fontId="24" fillId="16" borderId="18" xfId="3" applyFont="1" applyFill="1" applyBorder="1" applyAlignment="1">
      <alignment horizontal="left" vertical="center" wrapText="1"/>
    </xf>
    <xf numFmtId="182" fontId="23" fillId="16" borderId="18" xfId="3" applyNumberFormat="1" applyFont="1" applyFill="1" applyBorder="1" applyAlignment="1">
      <alignment horizontal="left" vertical="center" wrapText="1"/>
    </xf>
    <xf numFmtId="0" fontId="24" fillId="16" borderId="18" xfId="3" applyFont="1" applyFill="1" applyBorder="1" applyAlignment="1">
      <alignment horizontal="left" vertical="center"/>
    </xf>
    <xf numFmtId="0" fontId="23" fillId="0" borderId="18" xfId="3" applyFont="1" applyBorder="1" applyAlignment="1">
      <alignment horizontal="left" vertical="center" wrapText="1"/>
    </xf>
    <xf numFmtId="0" fontId="24" fillId="0" borderId="18" xfId="3" applyFont="1" applyBorder="1" applyAlignment="1">
      <alignment horizontal="left" vertical="center" wrapText="1"/>
    </xf>
    <xf numFmtId="182" fontId="23" fillId="0" borderId="18" xfId="3" applyNumberFormat="1" applyFont="1" applyBorder="1" applyAlignment="1">
      <alignment horizontal="left" vertical="center" wrapText="1"/>
    </xf>
    <xf numFmtId="0" fontId="23" fillId="0" borderId="18" xfId="2" applyFont="1" applyBorder="1" applyAlignment="1">
      <alignment horizontal="left" vertical="center" wrapText="1"/>
    </xf>
    <xf numFmtId="0" fontId="25" fillId="0" borderId="4" xfId="4" applyAlignment="1">
      <alignment horizontal="left" vertical="center" wrapText="1"/>
    </xf>
    <xf numFmtId="182" fontId="23" fillId="17" borderId="18" xfId="2" applyNumberFormat="1" applyFont="1" applyFill="1" applyBorder="1" applyAlignment="1">
      <alignment horizontal="left" vertical="center" wrapText="1"/>
    </xf>
    <xf numFmtId="0" fontId="24" fillId="0" borderId="18" xfId="2" applyFont="1" applyBorder="1" applyAlignment="1">
      <alignment horizontal="left" vertical="center" wrapText="1"/>
    </xf>
    <xf numFmtId="182" fontId="23" fillId="0" borderId="18" xfId="2" applyNumberFormat="1" applyFont="1" applyBorder="1" applyAlignment="1">
      <alignment horizontal="left" vertical="center" wrapText="1"/>
    </xf>
    <xf numFmtId="0" fontId="23" fillId="18" borderId="18" xfId="3" applyFont="1" applyFill="1" applyBorder="1" applyAlignment="1">
      <alignment horizontal="left" vertical="center" wrapText="1"/>
    </xf>
    <xf numFmtId="0" fontId="24" fillId="18" borderId="18" xfId="2" applyFont="1" applyFill="1" applyBorder="1" applyAlignment="1">
      <alignment horizontal="left" vertical="center" wrapText="1"/>
    </xf>
    <xf numFmtId="182" fontId="23" fillId="18" borderId="18" xfId="3" applyNumberFormat="1" applyFont="1" applyFill="1" applyBorder="1" applyAlignment="1">
      <alignment horizontal="left" vertical="center" wrapText="1"/>
    </xf>
    <xf numFmtId="0" fontId="20" fillId="0" borderId="18" xfId="3" applyFont="1" applyBorder="1" applyAlignment="1">
      <alignment horizontal="center" vertical="center" wrapText="1"/>
    </xf>
    <xf numFmtId="2" fontId="23" fillId="18" borderId="18" xfId="3" applyNumberFormat="1" applyFont="1" applyFill="1" applyBorder="1" applyAlignment="1">
      <alignment horizontal="left" vertical="center" wrapText="1"/>
    </xf>
    <xf numFmtId="0" fontId="13" fillId="0" borderId="8" xfId="2" applyFont="1" applyBorder="1" applyAlignment="1">
      <alignment horizontal="left" vertical="center"/>
    </xf>
    <xf numFmtId="0" fontId="24" fillId="18" borderId="18" xfId="3" applyFont="1" applyFill="1" applyBorder="1" applyAlignment="1">
      <alignment horizontal="left" vertical="center"/>
    </xf>
    <xf numFmtId="0" fontId="24" fillId="18" borderId="18" xfId="3" applyFont="1" applyFill="1" applyBorder="1" applyAlignment="1">
      <alignment horizontal="left" vertical="center" wrapText="1"/>
    </xf>
    <xf numFmtId="0" fontId="17" fillId="19" borderId="18" xfId="3" applyFill="1" applyBorder="1" applyAlignment="1">
      <alignment horizontal="left" vertical="center" wrapText="1"/>
    </xf>
    <xf numFmtId="182" fontId="17" fillId="19" borderId="18" xfId="3" applyNumberFormat="1" applyFill="1" applyBorder="1" applyAlignment="1">
      <alignment horizontal="left" vertical="center" wrapText="1"/>
    </xf>
    <xf numFmtId="0" fontId="20" fillId="0" borderId="19" xfId="2" applyFont="1" applyBorder="1" applyAlignment="1">
      <alignment horizontal="left" vertical="center"/>
    </xf>
    <xf numFmtId="0" fontId="10" fillId="0" borderId="11" xfId="2" applyFont="1" applyBorder="1"/>
    <xf numFmtId="0" fontId="10" fillId="0" borderId="12" xfId="2" applyFont="1" applyBorder="1"/>
    <xf numFmtId="0" fontId="24" fillId="15" borderId="18" xfId="3" applyFont="1" applyFill="1" applyBorder="1" applyAlignment="1">
      <alignment horizontal="left" vertical="center" wrapText="1"/>
    </xf>
    <xf numFmtId="0" fontId="17" fillId="0" borderId="18" xfId="3" applyBorder="1" applyAlignment="1">
      <alignment horizontal="left" vertical="center"/>
    </xf>
    <xf numFmtId="10" fontId="0" fillId="0" borderId="18" xfId="5" applyNumberFormat="1" applyFont="1" applyBorder="1" applyAlignment="1">
      <alignment vertical="center"/>
    </xf>
    <xf numFmtId="0" fontId="9" fillId="0" borderId="4" xfId="2" applyFont="1" applyAlignment="1">
      <alignment horizontal="left" vertical="center"/>
    </xf>
    <xf numFmtId="0" fontId="13" fillId="0" borderId="10" xfId="2" applyFont="1" applyBorder="1" applyAlignment="1">
      <alignment horizontal="left" vertical="center"/>
    </xf>
    <xf numFmtId="183" fontId="10" fillId="0" borderId="1" xfId="6" applyNumberFormat="1" applyFont="1" applyBorder="1" applyAlignment="1">
      <alignment horizontal="center" vertical="center"/>
    </xf>
    <xf numFmtId="10" fontId="10" fillId="0" borderId="1" xfId="7" applyNumberFormat="1" applyFont="1" applyBorder="1" applyAlignment="1">
      <alignment horizontal="center" vertical="center"/>
    </xf>
    <xf numFmtId="0" fontId="2" fillId="0" borderId="0" xfId="0" applyFont="1"/>
    <xf numFmtId="0" fontId="9" fillId="3" borderId="2" xfId="0" applyFont="1" applyFill="1" applyBorder="1" applyAlignment="1">
      <alignment horizontal="center" vertical="center" wrapText="1"/>
    </xf>
    <xf numFmtId="0" fontId="11" fillId="0" borderId="3" xfId="0" applyFont="1" applyBorder="1"/>
    <xf numFmtId="0" fontId="17" fillId="0" borderId="0" xfId="0" applyFont="1" applyAlignment="1">
      <alignment horizontal="left" wrapText="1"/>
    </xf>
    <xf numFmtId="0" fontId="17" fillId="0" borderId="0" xfId="0" applyFont="1"/>
    <xf numFmtId="0" fontId="9" fillId="8" borderId="2" xfId="0" applyFont="1" applyFill="1" applyBorder="1" applyAlignment="1">
      <alignment horizontal="center" vertical="center"/>
    </xf>
    <xf numFmtId="0" fontId="11" fillId="0" borderId="13" xfId="0" applyFont="1" applyBorder="1"/>
    <xf numFmtId="0" fontId="9" fillId="9" borderId="2" xfId="0" applyFont="1" applyFill="1" applyBorder="1" applyAlignment="1">
      <alignment horizontal="center" vertical="center"/>
    </xf>
    <xf numFmtId="0" fontId="9" fillId="10"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5" xfId="2" applyFont="1" applyBorder="1" applyAlignment="1">
      <alignment horizontal="left" vertical="center" wrapText="1"/>
    </xf>
    <xf numFmtId="0" fontId="11" fillId="0" borderId="6" xfId="2" applyFont="1" applyBorder="1"/>
    <xf numFmtId="0" fontId="11" fillId="0" borderId="7" xfId="2" applyFont="1" applyBorder="1"/>
    <xf numFmtId="0" fontId="11" fillId="0" borderId="8" xfId="2" applyFont="1" applyBorder="1"/>
    <xf numFmtId="0" fontId="22" fillId="0" borderId="4" xfId="2"/>
    <xf numFmtId="0" fontId="11" fillId="0" borderId="9" xfId="2" applyFont="1" applyBorder="1"/>
    <xf numFmtId="0" fontId="11" fillId="0" borderId="10" xfId="2" applyFont="1" applyBorder="1"/>
    <xf numFmtId="0" fontId="11" fillId="0" borderId="11" xfId="2" applyFont="1" applyBorder="1"/>
    <xf numFmtId="0" fontId="11" fillId="0" borderId="12" xfId="2" applyFont="1" applyBorder="1"/>
    <xf numFmtId="0" fontId="13" fillId="0" borderId="2" xfId="2" applyFont="1" applyBorder="1" applyAlignment="1">
      <alignment horizontal="left" vertical="center" wrapText="1"/>
    </xf>
    <xf numFmtId="0" fontId="11" fillId="0" borderId="13" xfId="2" applyFont="1" applyBorder="1"/>
    <xf numFmtId="0" fontId="11" fillId="0" borderId="3" xfId="2" applyFont="1" applyBorder="1"/>
    <xf numFmtId="0" fontId="10" fillId="0" borderId="0" xfId="0" applyFont="1" applyAlignment="1">
      <alignment horizontal="left" vertical="center" wrapText="1"/>
    </xf>
    <xf numFmtId="0" fontId="0" fillId="0" borderId="0" xfId="0"/>
    <xf numFmtId="0" fontId="10" fillId="0" borderId="0" xfId="0" applyFont="1" applyAlignment="1">
      <alignment horizontal="left" vertical="top" wrapText="1"/>
    </xf>
    <xf numFmtId="0" fontId="9" fillId="0" borderId="2"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center"/>
    </xf>
    <xf numFmtId="0" fontId="9" fillId="0" borderId="14" xfId="0" applyFont="1" applyBorder="1" applyAlignment="1">
      <alignment horizontal="center" vertical="center" wrapText="1"/>
    </xf>
    <xf numFmtId="0" fontId="11" fillId="0" borderId="15" xfId="0" applyFont="1" applyBorder="1"/>
  </cellXfs>
  <cellStyles count="8">
    <cellStyle name="Hiperveza" xfId="4" builtinId="8"/>
    <cellStyle name="Normal 2" xfId="1" xr:uid="{5573C4CA-A252-4EBE-B4CC-76A52F033AD6}"/>
    <cellStyle name="Normal 3" xfId="2" xr:uid="{1A2A1AB9-8081-4ECC-8EE8-7B76FC3580EF}"/>
    <cellStyle name="Normalno" xfId="0" builtinId="0"/>
    <cellStyle name="Normalno 2 2" xfId="3" xr:uid="{463F68C8-5471-4AD6-AD01-06F4BEFB8313}"/>
    <cellStyle name="Percent 2" xfId="5" xr:uid="{0E69DDB1-5E2C-43A9-A446-195EFFEF548B}"/>
    <cellStyle name="Postotak" xfId="7" builtinId="5"/>
    <cellStyle name="Valuta"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Kretanje broja </a:t>
            </a:r>
            <a:r>
              <a:rPr lang="en-US"/>
              <a:t>turista</a:t>
            </a:r>
            <a:endParaRPr lang="hr-H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19'!$B$11</c:f>
              <c:strCache>
                <c:ptCount val="1"/>
                <c:pt idx="0">
                  <c:v>Turisti</c:v>
                </c:pt>
              </c:strCache>
            </c:strRef>
          </c:tx>
          <c:spPr>
            <a:ln w="19050" cap="rnd">
              <a:noFill/>
              <a:round/>
            </a:ln>
            <a:effectLst/>
          </c:spPr>
          <c:marker>
            <c:symbol val="circle"/>
            <c:size val="5"/>
            <c:spPr>
              <a:solidFill>
                <a:schemeClr val="accent1"/>
              </a:solidFill>
              <a:ln w="9525">
                <a:solidFill>
                  <a:schemeClr val="accent1"/>
                </a:solidFill>
              </a:ln>
              <a:effectLst/>
            </c:spPr>
          </c:marker>
          <c:xVal>
            <c:numRef>
              <c:f>'4. ish zad 19'!$A$12:$A$28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xVal>
          <c:yVal>
            <c:numRef>
              <c:f>'4. ish zad 19'!$B$12:$B$28</c:f>
              <c:numCache>
                <c:formatCode>General</c:formatCode>
                <c:ptCount val="17"/>
                <c:pt idx="0">
                  <c:v>36519</c:v>
                </c:pt>
                <c:pt idx="1">
                  <c:v>36809</c:v>
                </c:pt>
                <c:pt idx="2">
                  <c:v>37099</c:v>
                </c:pt>
                <c:pt idx="3">
                  <c:v>37389</c:v>
                </c:pt>
                <c:pt idx="4">
                  <c:v>37679</c:v>
                </c:pt>
                <c:pt idx="5">
                  <c:v>37969</c:v>
                </c:pt>
                <c:pt idx="6">
                  <c:v>38259</c:v>
                </c:pt>
                <c:pt idx="7">
                  <c:v>38549</c:v>
                </c:pt>
                <c:pt idx="8">
                  <c:v>38839</c:v>
                </c:pt>
                <c:pt idx="9">
                  <c:v>39129</c:v>
                </c:pt>
                <c:pt idx="10">
                  <c:v>39419</c:v>
                </c:pt>
                <c:pt idx="11">
                  <c:v>39709</c:v>
                </c:pt>
                <c:pt idx="12">
                  <c:v>39999</c:v>
                </c:pt>
                <c:pt idx="13">
                  <c:v>40289</c:v>
                </c:pt>
                <c:pt idx="14">
                  <c:v>40579</c:v>
                </c:pt>
                <c:pt idx="15">
                  <c:v>40869</c:v>
                </c:pt>
                <c:pt idx="16">
                  <c:v>41159</c:v>
                </c:pt>
              </c:numCache>
            </c:numRef>
          </c:yVal>
          <c:smooth val="0"/>
          <c:extLst>
            <c:ext xmlns:c16="http://schemas.microsoft.com/office/drawing/2014/chart" uri="{C3380CC4-5D6E-409C-BE32-E72D297353CC}">
              <c16:uniqueId val="{00000000-60AE-4BF5-BB55-8D369EAB88B6}"/>
            </c:ext>
          </c:extLst>
        </c:ser>
        <c:dLbls>
          <c:showLegendKey val="0"/>
          <c:showVal val="0"/>
          <c:showCatName val="0"/>
          <c:showSerName val="0"/>
          <c:showPercent val="0"/>
          <c:showBubbleSize val="0"/>
        </c:dLbls>
        <c:axId val="5835535"/>
        <c:axId val="5821391"/>
      </c:scatterChart>
      <c:valAx>
        <c:axId val="58355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821391"/>
        <c:crosses val="autoZero"/>
        <c:crossBetween val="midCat"/>
      </c:valAx>
      <c:valAx>
        <c:axId val="58213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8355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Kretanje cijena kriptovalute (EUR)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20'!$B$7</c:f>
              <c:strCache>
                <c:ptCount val="1"/>
                <c:pt idx="0">
                  <c:v>cijena kriptovalute (EUR)</c:v>
                </c:pt>
              </c:strCache>
            </c:strRef>
          </c:tx>
          <c:spPr>
            <a:ln w="19050" cap="rnd">
              <a:noFill/>
              <a:round/>
            </a:ln>
            <a:effectLst/>
          </c:spPr>
          <c:marker>
            <c:symbol val="circle"/>
            <c:size val="5"/>
            <c:spPr>
              <a:solidFill>
                <a:schemeClr val="accent1"/>
              </a:solidFill>
              <a:ln w="9525">
                <a:solidFill>
                  <a:schemeClr val="accent1"/>
                </a:solidFill>
              </a:ln>
              <a:effectLst/>
            </c:spPr>
          </c:marker>
          <c:xVal>
            <c:numRef>
              <c:f>'4. ish zad 20'!$A$8:$A$15</c:f>
              <c:numCache>
                <c:formatCode>General</c:formatCode>
                <c:ptCount val="8"/>
                <c:pt idx="0">
                  <c:v>0</c:v>
                </c:pt>
                <c:pt idx="1">
                  <c:v>1</c:v>
                </c:pt>
                <c:pt idx="2">
                  <c:v>2</c:v>
                </c:pt>
                <c:pt idx="3">
                  <c:v>3</c:v>
                </c:pt>
                <c:pt idx="4">
                  <c:v>4</c:v>
                </c:pt>
                <c:pt idx="5">
                  <c:v>5</c:v>
                </c:pt>
                <c:pt idx="6">
                  <c:v>6</c:v>
                </c:pt>
                <c:pt idx="7">
                  <c:v>7</c:v>
                </c:pt>
              </c:numCache>
            </c:numRef>
          </c:xVal>
          <c:yVal>
            <c:numRef>
              <c:f>'4. ish zad 20'!$B$8:$B$15</c:f>
              <c:numCache>
                <c:formatCode>_-* #,##0.00\ [$€-1]_-;\-* #,##0.00\ [$€-1]_-;_-* "-"??\ [$€-1]_-;_-@</c:formatCode>
                <c:ptCount val="8"/>
                <c:pt idx="0">
                  <c:v>485</c:v>
                </c:pt>
                <c:pt idx="1">
                  <c:v>512</c:v>
                </c:pt>
                <c:pt idx="2">
                  <c:v>531</c:v>
                </c:pt>
                <c:pt idx="3">
                  <c:v>542</c:v>
                </c:pt>
                <c:pt idx="4">
                  <c:v>545</c:v>
                </c:pt>
                <c:pt idx="5">
                  <c:v>540</c:v>
                </c:pt>
                <c:pt idx="6">
                  <c:v>527</c:v>
                </c:pt>
                <c:pt idx="7">
                  <c:v>506</c:v>
                </c:pt>
              </c:numCache>
            </c:numRef>
          </c:yVal>
          <c:smooth val="0"/>
          <c:extLst>
            <c:ext xmlns:c16="http://schemas.microsoft.com/office/drawing/2014/chart" uri="{C3380CC4-5D6E-409C-BE32-E72D297353CC}">
              <c16:uniqueId val="{00000000-6545-4E68-AEA9-33E45DB54ACB}"/>
            </c:ext>
          </c:extLst>
        </c:ser>
        <c:dLbls>
          <c:showLegendKey val="0"/>
          <c:showVal val="0"/>
          <c:showCatName val="0"/>
          <c:showSerName val="0"/>
          <c:showPercent val="0"/>
          <c:showBubbleSize val="0"/>
        </c:dLbls>
        <c:axId val="190967023"/>
        <c:axId val="190954543"/>
      </c:scatterChart>
      <c:valAx>
        <c:axId val="1909670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0954543"/>
        <c:crosses val="autoZero"/>
        <c:crossBetween val="midCat"/>
      </c:valAx>
      <c:valAx>
        <c:axId val="190954543"/>
        <c:scaling>
          <c:orientation val="minMax"/>
        </c:scaling>
        <c:delete val="0"/>
        <c:axPos val="l"/>
        <c:majorGridlines>
          <c:spPr>
            <a:ln w="9525" cap="flat" cmpd="sng" algn="ctr">
              <a:solidFill>
                <a:schemeClr val="tx1">
                  <a:lumMod val="15000"/>
                  <a:lumOff val="85000"/>
                </a:schemeClr>
              </a:solidFill>
              <a:round/>
            </a:ln>
            <a:effectLst/>
          </c:spPr>
        </c:majorGridlines>
        <c:numFmt formatCode="_-* #,##0.00\ [$€-1]_-;\-* #,##0.00\ [$€-1]_-;_-* &quot;-&quot;??\ [$€-1]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09670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Ovisnost prihoda o broju proizvedenih proizvoda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21'!$C$10</c:f>
              <c:strCache>
                <c:ptCount val="1"/>
                <c:pt idx="0">
                  <c:v>Prihod (EUR)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436089238845146"/>
                  <c:y val="-1.466353164187809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exp"/>
            <c:dispRSqr val="1"/>
            <c:dispEq val="1"/>
            <c:trendlineLbl>
              <c:layout>
                <c:manualLayout>
                  <c:x val="8.0653105861767285E-2"/>
                  <c:y val="0.3975987897346164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'4. ish zad 21'!$B$11:$B$22</c:f>
              <c:numCache>
                <c:formatCode>General</c:formatCode>
                <c:ptCount val="12"/>
                <c:pt idx="1">
                  <c:v>430</c:v>
                </c:pt>
                <c:pt idx="2">
                  <c:v>430</c:v>
                </c:pt>
                <c:pt idx="3">
                  <c:v>465</c:v>
                </c:pt>
                <c:pt idx="4">
                  <c:v>370</c:v>
                </c:pt>
                <c:pt idx="5">
                  <c:v>720</c:v>
                </c:pt>
                <c:pt idx="6">
                  <c:v>550</c:v>
                </c:pt>
                <c:pt idx="7">
                  <c:v>350</c:v>
                </c:pt>
                <c:pt idx="8">
                  <c:v>180</c:v>
                </c:pt>
                <c:pt idx="9">
                  <c:v>320</c:v>
                </c:pt>
                <c:pt idx="10">
                  <c:v>510</c:v>
                </c:pt>
                <c:pt idx="11">
                  <c:v>575</c:v>
                </c:pt>
              </c:numCache>
            </c:numRef>
          </c:xVal>
          <c:yVal>
            <c:numRef>
              <c:f>'4. ish zad 21'!$C$11:$C$22</c:f>
              <c:numCache>
                <c:formatCode>General</c:formatCode>
                <c:ptCount val="12"/>
                <c:pt idx="1">
                  <c:v>150000</c:v>
                </c:pt>
                <c:pt idx="2">
                  <c:v>155000</c:v>
                </c:pt>
                <c:pt idx="3">
                  <c:v>166000</c:v>
                </c:pt>
                <c:pt idx="4">
                  <c:v>110500</c:v>
                </c:pt>
                <c:pt idx="5">
                  <c:v>390000</c:v>
                </c:pt>
                <c:pt idx="6">
                  <c:v>170500</c:v>
                </c:pt>
                <c:pt idx="7">
                  <c:v>139000</c:v>
                </c:pt>
                <c:pt idx="8">
                  <c:v>140000</c:v>
                </c:pt>
                <c:pt idx="9">
                  <c:v>105050</c:v>
                </c:pt>
                <c:pt idx="10">
                  <c:v>305000</c:v>
                </c:pt>
                <c:pt idx="11">
                  <c:v>280300</c:v>
                </c:pt>
              </c:numCache>
            </c:numRef>
          </c:yVal>
          <c:smooth val="0"/>
          <c:extLst>
            <c:ext xmlns:c16="http://schemas.microsoft.com/office/drawing/2014/chart" uri="{C3380CC4-5D6E-409C-BE32-E72D297353CC}">
              <c16:uniqueId val="{00000000-ED3A-4078-BEC4-4820C022776D}"/>
            </c:ext>
          </c:extLst>
        </c:ser>
        <c:dLbls>
          <c:showLegendKey val="0"/>
          <c:showVal val="0"/>
          <c:showCatName val="0"/>
          <c:showSerName val="0"/>
          <c:showPercent val="0"/>
          <c:showBubbleSize val="0"/>
        </c:dLbls>
        <c:axId val="190313647"/>
        <c:axId val="190314063"/>
      </c:scatterChart>
      <c:valAx>
        <c:axId val="1903136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0314063"/>
        <c:crosses val="autoZero"/>
        <c:crossBetween val="midCat"/>
      </c:valAx>
      <c:valAx>
        <c:axId val="1903140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03136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506730</xdr:colOff>
      <xdr:row>2</xdr:row>
      <xdr:rowOff>0</xdr:rowOff>
    </xdr:to>
    <xdr:pic>
      <xdr:nvPicPr>
        <xdr:cNvPr id="3" name="Picture 1" descr="A close-up of a logo&#10;&#10;Description automatically generated">
          <a:extLst>
            <a:ext uri="{FF2B5EF4-FFF2-40B4-BE49-F238E27FC236}">
              <a16:creationId xmlns:a16="http://schemas.microsoft.com/office/drawing/2014/main" id="{040BAB2D-5473-4C5F-9EAB-7180DCF13A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2755" cy="5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1</xdr:rowOff>
    </xdr:from>
    <xdr:to>
      <xdr:col>11</xdr:col>
      <xdr:colOff>358140</xdr:colOff>
      <xdr:row>90</xdr:row>
      <xdr:rowOff>9525</xdr:rowOff>
    </xdr:to>
    <mc:AlternateContent xmlns:mc="http://schemas.openxmlformats.org/markup-compatibility/2006" xmlns:a14="http://schemas.microsoft.com/office/drawing/2010/main">
      <mc:Choice Requires="a14">
        <xdr:sp macro="" textlink="">
          <xdr:nvSpPr>
            <xdr:cNvPr id="2" name="TekstniOkvir 1">
              <a:extLst>
                <a:ext uri="{FF2B5EF4-FFF2-40B4-BE49-F238E27FC236}">
                  <a16:creationId xmlns:a16="http://schemas.microsoft.com/office/drawing/2014/main" id="{5A89F7DC-1B6D-4999-BE1C-13CBA25EE606}"/>
                </a:ext>
              </a:extLst>
            </xdr:cNvPr>
            <xdr:cNvSpPr txBox="1"/>
          </xdr:nvSpPr>
          <xdr:spPr>
            <a:xfrm>
              <a:off x="609600" y="4787901"/>
              <a:ext cx="6454140" cy="1179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Uvijek je preporučljivo napisati</a:t>
              </a:r>
              <a:r>
                <a:rPr lang="hr-HR" sz="1100" baseline="0"/>
                <a:t> </a:t>
              </a:r>
              <a:r>
                <a:rPr lang="hr-HR" sz="1100"/>
                <a:t>svaki</a:t>
              </a:r>
              <a:r>
                <a:rPr lang="hr-HR" sz="1100" baseline="0"/>
                <a:t> zadani podatak u svoju ćeliju.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i="0" baseline="0">
                  <a:solidFill>
                    <a:schemeClr val="dk1"/>
                  </a:solidFill>
                  <a:effectLst/>
                  <a:latin typeface="+mn-lt"/>
                  <a:ea typeface="+mn-ea"/>
                  <a:cs typeface="+mn-cs"/>
                </a:rPr>
                <a:t>Jednostavni kamatni račun</a:t>
              </a:r>
              <a:r>
                <a:rPr lang="hr-HR"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b="0" i="1">
                      <a:solidFill>
                        <a:schemeClr val="dk1"/>
                      </a:solidFill>
                      <a:effectLst/>
                      <a:latin typeface="Cambria Math" panose="02040503050406030204" pitchFamily="18" charset="0"/>
                      <a:ea typeface="+mn-ea"/>
                      <a:cs typeface="+mn-cs"/>
                    </a:rPr>
                    <m:t>𝐾</m:t>
                  </m:r>
                  <m:r>
                    <a:rPr lang="hr-HR" sz="1100" b="0" i="1">
                      <a:solidFill>
                        <a:schemeClr val="dk1"/>
                      </a:solidFill>
                      <a:effectLst/>
                      <a:latin typeface="Cambria Math" panose="02040503050406030204" pitchFamily="18" charset="0"/>
                      <a:ea typeface="+mn-ea"/>
                      <a:cs typeface="+mn-cs"/>
                    </a:rPr>
                    <m:t>=</m:t>
                  </m:r>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𝑛</m:t>
                  </m:r>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a:t>
              </a:r>
              <a:endParaRPr lang="hr-HR">
                <a:effectLst/>
              </a:endParaRPr>
            </a:p>
            <a:p>
              <a:pPr eaLnBrk="1" fontAlgn="auto" latinLnBrk="0" hangingPunct="1"/>
              <a:r>
                <a:rPr lang="hr-HR" sz="1100">
                  <a:solidFill>
                    <a:schemeClr val="dk1"/>
                  </a:solidFill>
                  <a:effectLst/>
                  <a:latin typeface="+mn-lt"/>
                  <a:ea typeface="+mn-ea"/>
                  <a:cs typeface="+mn-cs"/>
                </a:rPr>
                <a:t>Konačna vrijednost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oMath>
              </a14:m>
              <a:r>
                <a:rPr lang="hr-HR" sz="1100">
                  <a:solidFill>
                    <a:schemeClr val="dk1"/>
                  </a:solidFill>
                  <a:effectLst/>
                  <a:latin typeface="+mn-lt"/>
                  <a:ea typeface="+mn-ea"/>
                  <a:cs typeface="+mn-cs"/>
                </a:rPr>
                <a:t> je jednaka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𝐾</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Složeni kamatni račun </a:t>
              </a:r>
              <a:endParaRPr lang="hr-HR" sz="1100" b="0" i="1">
                <a:solidFill>
                  <a:schemeClr val="dk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r>
                    <a:rPr lang="hr-HR" sz="1100" b="0" i="1" baseline="0">
                      <a:solidFill>
                        <a:schemeClr val="dk1"/>
                      </a:solidFill>
                      <a:effectLst/>
                      <a:latin typeface="Cambria Math" panose="02040503050406030204" pitchFamily="18" charset="0"/>
                      <a:ea typeface="+mn-ea"/>
                      <a:cs typeface="+mn-cs"/>
                    </a:rPr>
                    <m:t>𝑝</m:t>
                  </m:r>
                </m:oMath>
              </a14:m>
              <a:r>
                <a:rPr lang="hr-HR" sz="1100">
                  <a:solidFill>
                    <a:schemeClr val="dk1"/>
                  </a:solidFill>
                  <a:effectLst/>
                  <a:latin typeface="+mn-lt"/>
                  <a:ea typeface="+mn-ea"/>
                  <a:cs typeface="+mn-cs"/>
                </a:rPr>
                <a:t>. </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𝑟</m:t>
                      </m:r>
                    </m:e>
                    <m:sup>
                      <m:r>
                        <a:rPr lang="hr-HR" sz="1100" b="0" i="1">
                          <a:solidFill>
                            <a:schemeClr val="dk1"/>
                          </a:solidFill>
                          <a:effectLst/>
                          <a:latin typeface="Cambria Math" panose="02040503050406030204" pitchFamily="18" charset="0"/>
                          <a:ea typeface="+mn-ea"/>
                          <a:cs typeface="+mn-cs"/>
                        </a:rPr>
                        <m:t>𝑛</m:t>
                      </m:r>
                    </m:sup>
                  </m:sSup>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Ako je došlo do promjene kamatne stope pa je tijekom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godina kamatna stopa iznosila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tj. kamatni faktor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potom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2</m:t>
                      </m:r>
                    </m:sub>
                  </m:sSub>
                </m:oMath>
              </a14:m>
              <a:r>
                <a:rPr lang="hr-HR" sz="1100" i="0" baseline="0">
                  <a:solidFill>
                    <a:schemeClr val="dk1"/>
                  </a:solidFill>
                  <a:effectLst/>
                  <a:latin typeface="+mn-lt"/>
                  <a:ea typeface="+mn-ea"/>
                  <a:cs typeface="+mn-cs"/>
                </a:rPr>
                <a:t> godina kamatna stopa bila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2</m:t>
                      </m:r>
                    </m:sub>
                  </m:sSub>
                </m:oMath>
              </a14:m>
              <a:r>
                <a:rPr lang="hr-HR" sz="1100" i="0" baseline="0">
                  <a:solidFill>
                    <a:schemeClr val="dk1"/>
                  </a:solidFill>
                  <a:effectLst/>
                  <a:latin typeface="+mn-lt"/>
                  <a:ea typeface="+mn-ea"/>
                  <a:cs typeface="+mn-cs"/>
                </a:rPr>
                <a:t>, itd... tada za konačnu vrijednost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oMath>
              </a14:m>
              <a:r>
                <a:rPr lang="hr-HR" sz="1100" i="0" baseline="0">
                  <a:solidFill>
                    <a:schemeClr val="dk1"/>
                  </a:solidFill>
                  <a:effectLst/>
                  <a:latin typeface="+mn-lt"/>
                  <a:ea typeface="+mn-ea"/>
                  <a:cs typeface="+mn-cs"/>
                </a:rPr>
                <a:t> koristimo izraz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sSubSup>
                    <m:sSubSupPr>
                      <m:ctrlPr>
                        <a:rPr lang="hr-HR" sz="1100" b="0" i="1">
                          <a:solidFill>
                            <a:schemeClr val="dk1"/>
                          </a:solidFill>
                          <a:effectLst/>
                          <a:latin typeface="Cambria Math" panose="02040503050406030204" pitchFamily="18" charset="0"/>
                          <a:ea typeface="+mn-ea"/>
                          <a:cs typeface="+mn-cs"/>
                        </a:rPr>
                      </m:ctrlPr>
                    </m:sSubSupPr>
                    <m:e>
                      <m:r>
                        <a:rPr lang="hr-HR" sz="1100" b="0" i="1">
                          <a:solidFill>
                            <a:schemeClr val="dk1"/>
                          </a:solidFill>
                          <a:effectLst/>
                          <a:latin typeface="Cambria Math" panose="02040503050406030204" pitchFamily="18" charset="0"/>
                          <a:ea typeface="+mn-ea"/>
                          <a:cs typeface="+mn-cs"/>
                        </a:rPr>
                        <m:t>𝑟</m:t>
                      </m:r>
                    </m:e>
                    <m:sub>
                      <m:r>
                        <a:rPr lang="hr-HR" sz="1100" b="0" i="1">
                          <a:solidFill>
                            <a:schemeClr val="dk1"/>
                          </a:solidFill>
                          <a:effectLst/>
                          <a:latin typeface="Cambria Math" panose="02040503050406030204" pitchFamily="18" charset="0"/>
                          <a:ea typeface="+mn-ea"/>
                          <a:cs typeface="+mn-cs"/>
                        </a:rPr>
                        <m:t>1</m:t>
                      </m:r>
                    </m:sub>
                    <m:sup>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𝑛</m:t>
                          </m:r>
                        </m:e>
                        <m:sub>
                          <m:r>
                            <a:rPr lang="hr-HR" sz="1100" b="0" i="1">
                              <a:solidFill>
                                <a:schemeClr val="dk1"/>
                              </a:solidFill>
                              <a:effectLst/>
                              <a:latin typeface="Cambria Math" panose="02040503050406030204" pitchFamily="18" charset="0"/>
                              <a:ea typeface="+mn-ea"/>
                              <a:cs typeface="+mn-cs"/>
                            </a:rPr>
                            <m:t>1</m:t>
                          </m:r>
                        </m:sub>
                      </m:sSub>
                    </m:sup>
                  </m:sSubSup>
                  <m:r>
                    <a:rPr lang="hr-HR" sz="1100" b="0" i="1">
                      <a:solidFill>
                        <a:schemeClr val="dk1"/>
                      </a:solidFill>
                      <a:effectLst/>
                      <a:latin typeface="Cambria Math" panose="02040503050406030204" pitchFamily="18" charset="0"/>
                      <a:ea typeface="+mn-ea"/>
                      <a:cs typeface="+mn-cs"/>
                    </a:rPr>
                    <m:t>∙</m:t>
                  </m:r>
                  <m:sSubSup>
                    <m:sSubSupPr>
                      <m:ctrlPr>
                        <a:rPr lang="hr-HR" sz="1100" b="0" i="1">
                          <a:solidFill>
                            <a:schemeClr val="dk1"/>
                          </a:solidFill>
                          <a:effectLst/>
                          <a:latin typeface="Cambria Math" panose="02040503050406030204" pitchFamily="18" charset="0"/>
                          <a:ea typeface="+mn-ea"/>
                          <a:cs typeface="+mn-cs"/>
                        </a:rPr>
                      </m:ctrlPr>
                    </m:sSubSupPr>
                    <m:e>
                      <m:r>
                        <a:rPr lang="hr-HR" sz="1100" b="0" i="1">
                          <a:solidFill>
                            <a:schemeClr val="dk1"/>
                          </a:solidFill>
                          <a:effectLst/>
                          <a:latin typeface="Cambria Math" panose="02040503050406030204" pitchFamily="18" charset="0"/>
                          <a:ea typeface="+mn-ea"/>
                          <a:cs typeface="+mn-cs"/>
                        </a:rPr>
                        <m:t>𝑟</m:t>
                      </m:r>
                    </m:e>
                    <m:sub>
                      <m:r>
                        <a:rPr lang="hr-HR" sz="1100" b="0" i="1">
                          <a:solidFill>
                            <a:schemeClr val="dk1"/>
                          </a:solidFill>
                          <a:effectLst/>
                          <a:latin typeface="Cambria Math" panose="02040503050406030204" pitchFamily="18" charset="0"/>
                          <a:ea typeface="+mn-ea"/>
                          <a:cs typeface="+mn-cs"/>
                        </a:rPr>
                        <m:t>2</m:t>
                      </m:r>
                    </m:sub>
                    <m:sup>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𝑛</m:t>
                          </m:r>
                        </m:e>
                        <m:sub>
                          <m:r>
                            <a:rPr lang="hr-HR" sz="1100" b="0" i="1">
                              <a:solidFill>
                                <a:schemeClr val="dk1"/>
                              </a:solidFill>
                              <a:effectLst/>
                              <a:latin typeface="Cambria Math" panose="02040503050406030204" pitchFamily="18" charset="0"/>
                              <a:ea typeface="+mn-ea"/>
                              <a:cs typeface="+mn-cs"/>
                            </a:rPr>
                            <m:t>2</m:t>
                          </m:r>
                        </m:sub>
                      </m:sSub>
                    </m:sup>
                  </m:sSubSup>
                  <m:r>
                    <a:rPr lang="hr-HR" sz="1100" b="0" i="1">
                      <a:solidFill>
                        <a:schemeClr val="dk1"/>
                      </a:solidFill>
                      <a:effectLst/>
                      <a:latin typeface="Cambria Math" panose="02040503050406030204" pitchFamily="18" charset="0"/>
                      <a:ea typeface="+mn-ea"/>
                      <a:cs typeface="+mn-cs"/>
                    </a:rPr>
                    <m:t>∙</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b="1">
                  <a:effectLst/>
                </a:rPr>
                <a:t>Vrste kamatnjaka</a:t>
              </a:r>
            </a:p>
            <a:p>
              <a:r>
                <a:rPr lang="hr-HR" sz="1100" baseline="0">
                  <a:solidFill>
                    <a:schemeClr val="dk1"/>
                  </a:solidFill>
                  <a:effectLst/>
                  <a:latin typeface="+mn-lt"/>
                  <a:ea typeface="+mn-ea"/>
                  <a:cs typeface="+mn-cs"/>
                </a:rPr>
                <a:t>Kapitalizacija:</a:t>
              </a:r>
              <a:endParaRPr lang="hr-HR">
                <a:effectLst/>
              </a:endParaRPr>
            </a:p>
            <a:p>
              <a:r>
                <a:rPr lang="hr-HR" sz="1100" baseline="0">
                  <a:solidFill>
                    <a:schemeClr val="dk1"/>
                  </a:solidFill>
                  <a:effectLst/>
                  <a:latin typeface="+mn-lt"/>
                  <a:ea typeface="+mn-ea"/>
                  <a:cs typeface="+mn-cs"/>
                </a:rPr>
                <a:t>a) mjesečno m=12</a:t>
              </a:r>
              <a:endParaRPr lang="hr-HR">
                <a:effectLst/>
              </a:endParaRPr>
            </a:p>
            <a:p>
              <a:r>
                <a:rPr lang="hr-HR" sz="1100" baseline="0">
                  <a:solidFill>
                    <a:schemeClr val="dk1"/>
                  </a:solidFill>
                  <a:effectLst/>
                  <a:latin typeface="+mn-lt"/>
                  <a:ea typeface="+mn-ea"/>
                  <a:cs typeface="+mn-cs"/>
                </a:rPr>
                <a:t>b) kvartalno/tromjesečno m=4</a:t>
              </a:r>
              <a:endParaRPr lang="hr-HR">
                <a:effectLst/>
              </a:endParaRPr>
            </a:p>
            <a:p>
              <a:r>
                <a:rPr lang="hr-HR" sz="1100" baseline="0">
                  <a:solidFill>
                    <a:schemeClr val="dk1"/>
                  </a:solidFill>
                  <a:effectLst/>
                  <a:latin typeface="+mn-lt"/>
                  <a:ea typeface="+mn-ea"/>
                  <a:cs typeface="+mn-cs"/>
                </a:rPr>
                <a:t>c) polugodišnje m=2</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r>
                <a:rPr lang="hr-HR" sz="1100" baseline="0">
                  <a:solidFill>
                    <a:schemeClr val="dk1"/>
                  </a:solidFill>
                  <a:effectLst/>
                  <a:latin typeface="+mn-lt"/>
                  <a:ea typeface="+mn-ea"/>
                  <a:cs typeface="+mn-cs"/>
                </a:rPr>
                <a:t>1. proporcionalni obračun (relativna kamatna stopa) (koristi se kad mi dugujemo banci)</a:t>
              </a:r>
              <a:endParaRPr lang="hr-HR">
                <a:effectLst/>
              </a:endParaRPr>
            </a:p>
            <a:p>
              <a14:m>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r>
                        <a:rPr lang="hr-HR" sz="1100" b="0" i="1" baseline="0">
                          <a:solidFill>
                            <a:schemeClr val="dk1"/>
                          </a:solidFill>
                          <a:effectLst/>
                          <a:latin typeface="Cambria Math" panose="02040503050406030204" pitchFamily="18" charset="0"/>
                          <a:ea typeface="+mn-ea"/>
                          <a:cs typeface="+mn-cs"/>
                        </a:rPr>
                        <m:t>𝑝</m:t>
                      </m:r>
                    </m:num>
                    <m:den>
                      <m:r>
                        <a:rPr lang="hr-HR" sz="1100" b="0" i="1" baseline="0">
                          <a:solidFill>
                            <a:schemeClr val="dk1"/>
                          </a:solidFill>
                          <a:effectLst/>
                          <a:latin typeface="Cambria Math" panose="02040503050406030204" pitchFamily="18" charset="0"/>
                          <a:ea typeface="+mn-ea"/>
                          <a:cs typeface="+mn-cs"/>
                        </a:rPr>
                        <m:t>𝑚</m:t>
                      </m:r>
                    </m:den>
                  </m:f>
                </m:oMath>
              </a14:m>
              <a:r>
                <a:rPr lang="hr-HR" sz="1100" b="0" baseline="0">
                  <a:solidFill>
                    <a:schemeClr val="dk1"/>
                  </a:solidFill>
                  <a:effectLst/>
                  <a:latin typeface="+mn-lt"/>
                  <a:ea typeface="+mn-ea"/>
                  <a:cs typeface="+mn-cs"/>
                </a:rPr>
                <a:t> </a:t>
              </a:r>
              <a:endParaRPr lang="hr-HR">
                <a:effectLst/>
              </a:endParaRPr>
            </a:p>
            <a:p>
              <a:pPr/>
              <a14:m>
                <m:oMathPara xmlns:m="http://schemas.openxmlformats.org/officeDocument/2006/math">
                  <m:oMathParaPr>
                    <m:jc m:val="left"/>
                  </m:oMathParaPr>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=1+</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oMath>
                </m:oMathPara>
              </a14:m>
              <a:endParaRPr lang="hr-HR">
                <a:effectLst/>
              </a:endParaRPr>
            </a:p>
            <a:p>
              <a:pPr/>
              <a14:m>
                <m:oMathPara xmlns:m="http://schemas.openxmlformats.org/officeDocument/2006/math">
                  <m:oMathParaPr>
                    <m:jc m:val="left"/>
                  </m:oMathParaPr>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𝑛</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𝑚</m:t>
                    </m:r>
                  </m:oMath>
                </m:oMathPara>
              </a14:m>
              <a:endParaRPr lang="hr-HR">
                <a:effectLst/>
              </a:endParaRPr>
            </a:p>
            <a:p>
              <a:endParaRPr lang="hr-HR" sz="1100" b="0" baseline="0">
                <a:solidFill>
                  <a:schemeClr val="dk1"/>
                </a:solidFill>
                <a:effectLst/>
                <a:latin typeface="+mn-lt"/>
                <a:ea typeface="+mn-ea"/>
                <a:cs typeface="+mn-cs"/>
              </a:endParaRPr>
            </a:p>
            <a:p>
              <a:r>
                <a:rPr lang="hr-HR" sz="1100" b="0" baseline="0">
                  <a:solidFill>
                    <a:schemeClr val="dk1"/>
                  </a:solidFill>
                  <a:effectLst/>
                  <a:latin typeface="+mn-lt"/>
                  <a:ea typeface="+mn-ea"/>
                  <a:cs typeface="+mn-cs"/>
                </a:rPr>
                <a:t>2. konformni obračun (koristi se kad štedimo)</a:t>
              </a:r>
              <a:endParaRPr lang="hr-HR">
                <a:effectLst/>
              </a:endParaRPr>
            </a:p>
            <a:p>
              <a14:m>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a:rPr lang="hr-HR" sz="110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m:t>
                      </m:r>
                    </m:sup>
                  </m:sSup>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ad>
                    <m:radPr>
                      <m:ctrlPr>
                        <a:rPr lang="hr-HR" sz="1100" b="0" i="1" baseline="0">
                          <a:solidFill>
                            <a:schemeClr val="dk1"/>
                          </a:solidFill>
                          <a:effectLst/>
                          <a:latin typeface="Cambria Math" panose="02040503050406030204" pitchFamily="18" charset="0"/>
                          <a:ea typeface="+mn-ea"/>
                          <a:cs typeface="+mn-cs"/>
                        </a:rPr>
                      </m:ctrlPr>
                    </m:radPr>
                    <m:deg>
                      <m:r>
                        <m:rPr>
                          <m:brk m:alnAt="7"/>
                        </m:rPr>
                        <a:rPr lang="hr-HR" sz="1100" b="0" i="1" baseline="0">
                          <a:solidFill>
                            <a:schemeClr val="dk1"/>
                          </a:solidFill>
                          <a:effectLst/>
                          <a:latin typeface="Cambria Math" panose="02040503050406030204" pitchFamily="18" charset="0"/>
                          <a:ea typeface="+mn-ea"/>
                          <a:cs typeface="+mn-cs"/>
                        </a:rPr>
                        <m:t>𝑚</m:t>
                      </m:r>
                    </m:deg>
                    <m:e>
                      <m:r>
                        <a:rPr lang="hr-HR" sz="1100" b="0" i="1" baseline="0">
                          <a:solidFill>
                            <a:schemeClr val="dk1"/>
                          </a:solidFill>
                          <a:effectLst/>
                          <a:latin typeface="Cambria Math" panose="02040503050406030204" pitchFamily="18" charset="0"/>
                          <a:ea typeface="+mn-ea"/>
                          <a:cs typeface="+mn-cs"/>
                        </a:rPr>
                        <m:t>𝑟</m:t>
                      </m:r>
                    </m:e>
                  </m:rad>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r>
                        <a:rPr lang="hr-HR" sz="1100" b="0" i="1" baseline="0">
                          <a:solidFill>
                            <a:schemeClr val="dk1"/>
                          </a:solidFill>
                          <a:effectLst/>
                          <a:latin typeface="Cambria Math" panose="02040503050406030204" pitchFamily="18" charset="0"/>
                          <a:ea typeface="+mn-ea"/>
                          <a:cs typeface="+mn-cs"/>
                        </a:rPr>
                        <m:t>1</m:t>
                      </m:r>
                    </m:num>
                    <m:den>
                      <m:r>
                        <a:rPr lang="hr-HR" sz="1100" b="0" i="1" baseline="0">
                          <a:solidFill>
                            <a:schemeClr val="dk1"/>
                          </a:solidFill>
                          <a:effectLst/>
                          <a:latin typeface="Cambria Math" panose="02040503050406030204" pitchFamily="18" charset="0"/>
                          <a:ea typeface="+mn-ea"/>
                          <a:cs typeface="+mn-cs"/>
                        </a:rPr>
                        <m:t>𝑚</m:t>
                      </m:r>
                    </m:den>
                  </m:f>
                  <m:r>
                    <a:rPr lang="hr-HR" sz="1100" b="0" i="1" baseline="0">
                      <a:solidFill>
                        <a:schemeClr val="dk1"/>
                      </a:solidFill>
                      <a:effectLst/>
                      <a:latin typeface="Cambria Math" panose="02040503050406030204" pitchFamily="18" charset="0"/>
                      <a:ea typeface="+mn-ea"/>
                      <a:cs typeface="+mn-cs"/>
                    </a:rPr>
                    <m:t>)</m:t>
                  </m:r>
                </m:oMath>
              </a14:m>
              <a:r>
                <a:rPr lang="hr-HR" sz="1100" baseline="0">
                  <a:solidFill>
                    <a:schemeClr val="dk1"/>
                  </a:solidFill>
                  <a:effectLst/>
                  <a:latin typeface="+mn-lt"/>
                  <a:ea typeface="+mn-ea"/>
                  <a:cs typeface="+mn-cs"/>
                </a:rPr>
                <a:t> </a:t>
              </a:r>
            </a:p>
            <a:p>
              <a14:m>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m:rPr>
                          <m:sty m:val="p"/>
                        </m:rPr>
                        <a:rPr lang="hr-HR" sz="1100" b="0" i="0" baseline="0">
                          <a:solidFill>
                            <a:schemeClr val="dk1"/>
                          </a:solidFill>
                          <a:effectLst/>
                          <a:latin typeface="Cambria Math" panose="02040503050406030204" pitchFamily="18" charset="0"/>
                          <a:ea typeface="+mn-ea"/>
                          <a:cs typeface="+mn-cs"/>
                        </a:rPr>
                        <m:t>p</m:t>
                      </m:r>
                    </m:e>
                    <m:sup>
                      <m:r>
                        <a:rPr lang="hr-HR" sz="1100" b="0" i="0" baseline="0">
                          <a:solidFill>
                            <a:schemeClr val="dk1"/>
                          </a:solidFill>
                          <a:effectLst/>
                          <a:latin typeface="Cambria Math" panose="02040503050406030204" pitchFamily="18" charset="0"/>
                          <a:ea typeface="+mn-ea"/>
                          <a:cs typeface="+mn-cs"/>
                        </a:rPr>
                        <m:t>′</m:t>
                      </m:r>
                    </m:sup>
                  </m:sSup>
                  <m:r>
                    <a:rPr lang="hr-HR" sz="1100" b="0" i="0"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oMath>
              </a14:m>
              <a:r>
                <a:rPr lang="hr-HR" sz="1100" b="0" baseline="0">
                  <a:solidFill>
                    <a:schemeClr val="dk1"/>
                  </a:solidFill>
                  <a:effectLst/>
                  <a:latin typeface="+mn-lt"/>
                  <a:ea typeface="+mn-ea"/>
                  <a:cs typeface="+mn-cs"/>
                </a:rPr>
                <a:t>    (prikazati u obliku postotka)</a:t>
              </a:r>
              <a:endParaRPr lang="hr-HR">
                <a:effectLst/>
              </a:endParaRPr>
            </a:p>
            <a:p>
              <a:pPr eaLnBrk="1" fontAlgn="auto" latinLnBrk="0" hangingPunct="1"/>
              <a14:m>
                <m:oMathPara xmlns:m="http://schemas.openxmlformats.org/officeDocument/2006/math">
                  <m:oMathParaPr>
                    <m:jc m:val="left"/>
                  </m:oMathParaPr>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𝑛</m:t>
                        </m:r>
                      </m:e>
                      <m:sup>
                        <m:r>
                          <a:rPr lang="hr-HR" sz="1100" b="0" i="1" baseline="0">
                            <a:solidFill>
                              <a:schemeClr val="dk1"/>
                            </a:solidFill>
                            <a:effectLst/>
                            <a:latin typeface="Cambria Math" panose="02040503050406030204" pitchFamily="18" charset="0"/>
                            <a:ea typeface="+mn-ea"/>
                            <a:cs typeface="+mn-cs"/>
                          </a:rPr>
                          <m:t>′</m:t>
                        </m:r>
                      </m:sup>
                    </m:sSup>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𝑛</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𝑚</m:t>
                    </m:r>
                  </m:oMath>
                </m:oMathPara>
              </a14:m>
              <a:endParaRPr lang="hr-HR">
                <a:effectLst/>
              </a:endParaRPr>
            </a:p>
            <a:p>
              <a:endParaRPr lang="hr-HR" sz="110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Konačna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uplata</a:t>
              </a:r>
            </a:p>
            <a:p>
              <a:pPr eaLnBrk="1" fontAlgn="auto" latinLnBrk="0" hangingPunct="1"/>
              <a:r>
                <a:rPr lang="hr-HR" sz="1100" i="0" baseline="0">
                  <a:solidFill>
                    <a:schemeClr val="dk1"/>
                  </a:solidFill>
                  <a:effectLst/>
                  <a:latin typeface="+mn-lt"/>
                  <a:ea typeface="+mn-ea"/>
                  <a:cs typeface="+mn-cs"/>
                </a:rPr>
                <a:t>Konačna vrijednost </a:t>
              </a:r>
            </a:p>
            <a:p>
              <a:pPr eaLnBrk="1" fontAlgn="auto" latinLnBrk="0" hangingPunct="1"/>
              <a:r>
                <a:rPr lang="hr-HR" sz="1100" baseline="0">
                  <a:solidFill>
                    <a:schemeClr val="dk1"/>
                  </a:solidFill>
                  <a:effectLst/>
                  <a:latin typeface="+mn-lt"/>
                  <a:ea typeface="+mn-ea"/>
                  <a:cs typeface="+mn-cs"/>
                </a:rPr>
                <a:t>a) prenumerando (uplate početkom razdoblja)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𝑆</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b) postnumerando (uplate krajem razdoblja)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𝑆</m:t>
                      </m:r>
                      <m:r>
                        <a:rPr lang="hr-HR" sz="1100" b="0" i="1" baseline="0">
                          <a:solidFill>
                            <a:schemeClr val="dk1"/>
                          </a:solidFill>
                          <a:effectLst/>
                          <a:latin typeface="Cambria Math" panose="02040503050406030204" pitchFamily="18" charset="0"/>
                          <a:ea typeface="+mn-ea"/>
                          <a:cs typeface="+mn-cs"/>
                        </a:rPr>
                        <m:t>′</m:t>
                      </m:r>
                    </m:e>
                    <m:sub>
                      <m:r>
                        <a:rPr lang="hr-HR" sz="1100" b="0" i="1" baseline="0">
                          <a:solidFill>
                            <a:schemeClr val="dk1"/>
                          </a:solidFill>
                          <a:effectLst/>
                          <a:latin typeface="Cambria Math" panose="02040503050406030204" pitchFamily="18" charset="0"/>
                          <a:ea typeface="+mn-ea"/>
                          <a:cs typeface="+mn-cs"/>
                        </a:rPr>
                        <m:t>𝑛</m:t>
                      </m:r>
                    </m:sub>
                  </m:sSub>
                </m:oMath>
              </a14:m>
              <a:endParaRPr lang="hr-HR">
                <a:effectLst/>
              </a:endParaRPr>
            </a:p>
            <a:p>
              <a:pPr eaLnBrk="1" fontAlgn="auto" latinLnBrk="0" hangingPunct="1"/>
              <a:endParaRPr lang="hr-HR">
                <a:effectLst/>
              </a:endParaRPr>
            </a:p>
            <a:p>
              <a:pPr eaLnBrk="1" fontAlgn="auto" latinLnBrk="0" hangingPunct="1"/>
              <a:r>
                <a:rPr lang="hr-HR">
                  <a:effectLst/>
                </a:rPr>
                <a:t>Konačna vrijednost:</a:t>
              </a:r>
              <a:r>
                <a:rPr lang="hr-HR" baseline="0">
                  <a:effectLst/>
                </a:rPr>
                <a:t> </a:t>
              </a:r>
              <a:r>
                <a:rPr lang="hr-HR" sz="1100" baseline="0">
                  <a:solidFill>
                    <a:schemeClr val="dk1"/>
                  </a:solidFill>
                  <a:effectLst/>
                  <a:latin typeface="+mn-lt"/>
                  <a:ea typeface="+mn-ea"/>
                  <a:cs typeface="+mn-cs"/>
                </a:rPr>
                <a:t>=FV(kamatna stopa %; broj razdoblja; rata koju uplaćujemo; [eventualna velika početna uplata ili ulazna naknada (treba biti suprotnog predznaka od rata)]; 0 ili 1 ovisno o tome uplaćujemo li uplate/rate krajem (postnumerando) ili početkom (prenumarando) razdoblja)</a:t>
              </a:r>
              <a:endParaRPr lang="hr-HR">
                <a:effectLst/>
              </a:endParaRPr>
            </a:p>
            <a:p>
              <a:pPr eaLnBrk="1" fontAlgn="auto" latinLnBrk="0" hangingPunct="1"/>
              <a:r>
                <a:rPr lang="hr-HR" sz="1100" baseline="0">
                  <a:solidFill>
                    <a:schemeClr val="dk1"/>
                  </a:solidFill>
                  <a:effectLst/>
                  <a:latin typeface="+mn-lt"/>
                  <a:ea typeface="+mn-ea"/>
                  <a:cs typeface="+mn-cs"/>
                </a:rPr>
                <a:t>Napomena: uplate se uobičajemo označavaju negativnom vrijednošću.</a:t>
              </a:r>
            </a:p>
            <a:p>
              <a:pPr eaLnBrk="1" fontAlgn="auto" latinLnBrk="0" hangingPunct="1"/>
              <a:endParaRPr lang="hr-HR">
                <a:effectLst/>
              </a:endParaRPr>
            </a:p>
            <a:p>
              <a:pPr eaLnBrk="1" fontAlgn="auto" latinLnBrk="0" hangingPunct="1"/>
              <a:r>
                <a:rPr lang="hr-HR" sz="1100" baseline="0">
                  <a:solidFill>
                    <a:schemeClr val="dk1"/>
                  </a:solidFill>
                  <a:effectLst/>
                  <a:latin typeface="+mn-lt"/>
                  <a:ea typeface="+mn-ea"/>
                  <a:cs typeface="+mn-cs"/>
                </a:rPr>
                <a:t>rata R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ako postoji; FV = konačna vrijednost, tj. iznos koji želimo uštedjeti; 0 ili 1 ovisno o tome uplaćujemo li rate krajem ili početkom razdoblja)</a:t>
              </a:r>
              <a:endParaRPr lang="hr-HR">
                <a:effectLst/>
              </a:endParaRPr>
            </a:p>
            <a:p>
              <a:pPr eaLnBrk="1" fontAlgn="auto" latinLnBrk="0" hangingPunct="1"/>
              <a:r>
                <a:rPr lang="hr-HR" sz="1100" baseline="0">
                  <a:solidFill>
                    <a:schemeClr val="dk1"/>
                  </a:solidFill>
                  <a:effectLst/>
                  <a:latin typeface="+mn-lt"/>
                  <a:ea typeface="+mn-ea"/>
                  <a:cs typeface="+mn-cs"/>
                </a:rPr>
                <a:t>Napomena: konačni iznos koji želimo dobiti upisujemo kao pozitivnu vrijednost, a rezultat R će biti negativan.</a:t>
              </a:r>
              <a:endParaRPr lang="hr-HR">
                <a:effectLst/>
              </a:endParaRPr>
            </a:p>
            <a:p>
              <a:endParaRPr lang="hr-HR" sz="1100" b="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Početna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rata</a:t>
              </a:r>
              <a:endParaRPr lang="hr-HR">
                <a:effectLst/>
              </a:endParaRPr>
            </a:p>
            <a:p>
              <a:pPr eaLnBrk="1" fontAlgn="auto" latinLnBrk="0" hangingPunct="1"/>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a) prenumerando (isplate početkom);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r>
                <a:rPr lang="hr-HR" sz="1100" baseline="0">
                  <a:solidFill>
                    <a:schemeClr val="dk1"/>
                  </a:solidFill>
                  <a:effectLst/>
                  <a:latin typeface="+mn-lt"/>
                  <a:ea typeface="+mn-ea"/>
                  <a:cs typeface="+mn-cs"/>
                </a:rPr>
                <a:t>b) postnumerando (isplate krajem);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endParaRPr lang="hr-HR" sz="1100" baseline="0">
                <a:solidFill>
                  <a:schemeClr val="dk1"/>
                </a:solidFill>
                <a:effectLst/>
                <a:latin typeface="+mn-lt"/>
                <a:ea typeface="+mn-ea"/>
                <a:cs typeface="+mn-cs"/>
              </a:endParaRPr>
            </a:p>
            <a:p>
              <a:pPr eaLnBrk="1" fontAlgn="auto" latinLnBrk="0" hangingPunct="1"/>
              <a:r>
                <a:rPr lang="hr-HR" sz="1100" baseline="0">
                  <a:solidFill>
                    <a:schemeClr val="dk1"/>
                  </a:solidFill>
                  <a:effectLst/>
                  <a:latin typeface="+mn-lt"/>
                  <a:ea typeface="+mn-ea"/>
                  <a:cs typeface="+mn-cs"/>
                </a:rPr>
                <a:t>Početni iznos =PV(kamatna stopa %; broj razdoblja; rata koju uplaćujemo;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vrijednost ako postoji, to je iznos koji želimo da ostane na kraju; 0 ili 1 ovisno o tome primamo li isplate/rate krajem (postnumerando) ili početkom (prenumarando)  razdoblja)</a:t>
              </a:r>
            </a:p>
            <a:p>
              <a:pPr eaLnBrk="1" fontAlgn="auto" latinLnBrk="0" hangingPunct="1"/>
              <a:endParaRPr lang="hr-HR">
                <a:effectLst/>
              </a:endParaRPr>
            </a:p>
            <a:p>
              <a:r>
                <a:rPr lang="hr-HR" sz="1100" baseline="0">
                  <a:solidFill>
                    <a:schemeClr val="dk1"/>
                  </a:solidFill>
                  <a:effectLst/>
                  <a:latin typeface="+mn-lt"/>
                  <a:ea typeface="+mn-ea"/>
                  <a:cs typeface="+mn-cs"/>
                </a:rPr>
                <a:t>Napomena: uplate se uobičajemo označavaju negativnom vrijednošću, a dobivene isplate pozitivno</a:t>
              </a:r>
            </a:p>
            <a:p>
              <a:pPr eaLnBrk="1" fontAlgn="auto" latinLnBrk="0" hangingPunct="1"/>
              <a:r>
                <a:rPr lang="hr-HR" sz="1100" baseline="0">
                  <a:solidFill>
                    <a:schemeClr val="dk1"/>
                  </a:solidFill>
                  <a:effectLst/>
                  <a:latin typeface="+mn-lt"/>
                  <a:ea typeface="+mn-ea"/>
                  <a:cs typeface="+mn-cs"/>
                </a:rPr>
                <a:t>Rata R=PMT(kamatna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i="1" baseline="0">
                  <a:solidFill>
                    <a:schemeClr val="dk1"/>
                  </a:solidFill>
                  <a:effectLst/>
                  <a:latin typeface="+mn-lt"/>
                  <a:ea typeface="+mn-ea"/>
                  <a:cs typeface="+mn-cs"/>
                </a:rPr>
                <a:t>An</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postoji, to je iznos koji želimo da ostane na kraju; 0 ili 1 ovisno o tome uplaćujemo li rate krajem ili početkom razdoblja)</a:t>
              </a:r>
            </a:p>
            <a:p>
              <a:pPr eaLnBrk="1" fontAlgn="auto" latinLnBrk="0" hangingPunct="1"/>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ako govorimo</a:t>
              </a:r>
              <a:r>
                <a:rPr lang="hr-HR" sz="1100" baseline="0">
                  <a:solidFill>
                    <a:schemeClr val="dk1"/>
                  </a:solidFill>
                  <a:effectLst/>
                  <a:latin typeface="+mn-lt"/>
                  <a:ea typeface="+mn-ea"/>
                  <a:cs typeface="+mn-cs"/>
                </a:rPr>
                <a:t> o </a:t>
              </a:r>
              <a:r>
                <a:rPr lang="hr-HR" sz="1100" b="1" baseline="0">
                  <a:solidFill>
                    <a:schemeClr val="dk1"/>
                  </a:solidFill>
                  <a:effectLst/>
                  <a:latin typeface="+mn-lt"/>
                  <a:ea typeface="+mn-ea"/>
                  <a:cs typeface="+mn-cs"/>
                </a:rPr>
                <a:t>vječnoj renti (isplate do kraja života) </a:t>
              </a:r>
              <a:r>
                <a:rPr lang="hr-HR" sz="1100" baseline="0">
                  <a:solidFill>
                    <a:schemeClr val="dk1"/>
                  </a:solidFill>
                  <a:effectLst/>
                  <a:latin typeface="+mn-lt"/>
                  <a:ea typeface="+mn-ea"/>
                  <a:cs typeface="+mn-cs"/>
                </a:rPr>
                <a:t>tada je za broj godina uobičajeno staviti 9999 godina.</a:t>
              </a:r>
              <a:endParaRPr lang="hr-HR">
                <a:effectLst/>
              </a:endParaRPr>
            </a:p>
            <a:p>
              <a:endParaRPr lang="hr-HR" sz="1100" b="0" baseline="0">
                <a:solidFill>
                  <a:schemeClr val="dk1"/>
                </a:solidFill>
                <a:effectLst/>
                <a:latin typeface="+mn-lt"/>
                <a:ea typeface="+mn-ea"/>
                <a:cs typeface="+mn-cs"/>
              </a:endParaRPr>
            </a:p>
            <a:p>
              <a:endParaRPr lang="hr-HR" b="0">
                <a:effectLst/>
              </a:endParaRPr>
            </a:p>
          </xdr:txBody>
        </xdr:sp>
      </mc:Choice>
      <mc:Fallback xmlns="">
        <xdr:sp macro="" textlink="">
          <xdr:nvSpPr>
            <xdr:cNvPr id="2" name="TekstniOkvir 1">
              <a:extLst>
                <a:ext uri="{FF2B5EF4-FFF2-40B4-BE49-F238E27FC236}">
                  <a16:creationId xmlns:a16="http://schemas.microsoft.com/office/drawing/2014/main" id="{5A89F7DC-1B6D-4999-BE1C-13CBA25EE606}"/>
                </a:ext>
              </a:extLst>
            </xdr:cNvPr>
            <xdr:cNvSpPr txBox="1"/>
          </xdr:nvSpPr>
          <xdr:spPr>
            <a:xfrm>
              <a:off x="609600" y="4787901"/>
              <a:ext cx="6454140" cy="1179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Uvijek je preporučljivo napisati</a:t>
              </a:r>
              <a:r>
                <a:rPr lang="hr-HR" sz="1100" baseline="0"/>
                <a:t> </a:t>
              </a:r>
              <a:r>
                <a:rPr lang="hr-HR" sz="1100"/>
                <a:t>svaki</a:t>
              </a:r>
              <a:r>
                <a:rPr lang="hr-HR" sz="1100" baseline="0"/>
                <a:t> zadani podatak u svoju ćeliju.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i="0" baseline="0">
                  <a:solidFill>
                    <a:schemeClr val="dk1"/>
                  </a:solidFill>
                  <a:effectLst/>
                  <a:latin typeface="+mn-lt"/>
                  <a:ea typeface="+mn-ea"/>
                  <a:cs typeface="+mn-cs"/>
                </a:rPr>
                <a:t>Jednostavni kamatni račun</a:t>
              </a:r>
              <a:r>
                <a:rPr lang="hr-HR"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a:solidFill>
                    <a:schemeClr val="dk1"/>
                  </a:solidFill>
                  <a:effectLst/>
                  <a:latin typeface="Cambria Math" panose="02040503050406030204" pitchFamily="18" charset="0"/>
                  <a:ea typeface="+mn-ea"/>
                  <a:cs typeface="+mn-cs"/>
                </a:rPr>
                <a:t>𝐾=𝐶_0∙𝑛∙𝑝</a:t>
              </a:r>
              <a:r>
                <a:rPr lang="hr-HR" sz="1100" i="0" baseline="0">
                  <a:solidFill>
                    <a:schemeClr val="dk1"/>
                  </a:solidFill>
                  <a:effectLst/>
                  <a:latin typeface="+mn-lt"/>
                  <a:ea typeface="+mn-ea"/>
                  <a:cs typeface="+mn-cs"/>
                </a:rPr>
                <a:t>. </a:t>
              </a:r>
              <a:endParaRPr lang="hr-HR">
                <a:effectLst/>
              </a:endParaRPr>
            </a:p>
            <a:p>
              <a:pPr eaLnBrk="1" fontAlgn="auto" latinLnBrk="0" hangingPunct="1"/>
              <a:r>
                <a:rPr lang="hr-HR" sz="1100">
                  <a:solidFill>
                    <a:schemeClr val="dk1"/>
                  </a:solidFill>
                  <a:effectLst/>
                  <a:latin typeface="+mn-lt"/>
                  <a:ea typeface="+mn-ea"/>
                  <a:cs typeface="+mn-cs"/>
                </a:rPr>
                <a:t>Konačna vrijednost </a:t>
              </a:r>
              <a:r>
                <a:rPr lang="hr-HR" sz="1100" b="0" i="0">
                  <a:solidFill>
                    <a:schemeClr val="dk1"/>
                  </a:solidFill>
                  <a:effectLst/>
                  <a:latin typeface="Cambria Math" panose="02040503050406030204" pitchFamily="18" charset="0"/>
                  <a:ea typeface="+mn-ea"/>
                  <a:cs typeface="+mn-cs"/>
                </a:rPr>
                <a:t>𝐶_𝑛</a:t>
              </a:r>
              <a:r>
                <a:rPr lang="hr-HR" sz="1100">
                  <a:solidFill>
                    <a:schemeClr val="dk1"/>
                  </a:solidFill>
                  <a:effectLst/>
                  <a:latin typeface="+mn-lt"/>
                  <a:ea typeface="+mn-ea"/>
                  <a:cs typeface="+mn-cs"/>
                </a:rPr>
                <a:t> je jednaka </a:t>
              </a:r>
              <a:r>
                <a:rPr lang="hr-HR" sz="1100" b="0" i="0">
                  <a:solidFill>
                    <a:schemeClr val="dk1"/>
                  </a:solidFill>
                  <a:effectLst/>
                  <a:latin typeface="Cambria Math" panose="02040503050406030204" pitchFamily="18" charset="0"/>
                  <a:ea typeface="+mn-ea"/>
                  <a:cs typeface="+mn-cs"/>
                </a:rPr>
                <a:t>〖𝐶_𝑛=𝐶〗_0+𝐾</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Složeni kamatni račun </a:t>
              </a:r>
              <a:endParaRPr lang="hr-HR" sz="1100" b="0" i="1">
                <a:solidFill>
                  <a:schemeClr val="dk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𝑟=1+𝑝</a:t>
              </a:r>
              <a:r>
                <a:rPr lang="hr-HR" sz="1100">
                  <a:solidFill>
                    <a:schemeClr val="dk1"/>
                  </a:solidFill>
                  <a:effectLst/>
                  <a:latin typeface="+mn-lt"/>
                  <a:ea typeface="+mn-ea"/>
                  <a:cs typeface="+mn-cs"/>
                </a:rPr>
                <a:t>. </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a:solidFill>
                    <a:schemeClr val="dk1"/>
                  </a:solidFill>
                  <a:effectLst/>
                  <a:latin typeface="Cambria Math" panose="02040503050406030204" pitchFamily="18" charset="0"/>
                  <a:ea typeface="+mn-ea"/>
                  <a:cs typeface="+mn-cs"/>
                </a:rPr>
                <a:t>〖𝐶_𝑛=𝐶〗_0∙𝑟^𝑛</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Ako je došlo do promjene kamatne stope pa je tijekom </a:t>
              </a:r>
              <a:r>
                <a:rPr lang="hr-HR" sz="1100" b="0" i="0" baseline="0">
                  <a:solidFill>
                    <a:schemeClr val="dk1"/>
                  </a:solidFill>
                  <a:effectLst/>
                  <a:latin typeface="Cambria Math" panose="02040503050406030204" pitchFamily="18" charset="0"/>
                  <a:ea typeface="+mn-ea"/>
                  <a:cs typeface="+mn-cs"/>
                </a:rPr>
                <a:t>𝑛_1</a:t>
              </a:r>
              <a:r>
                <a:rPr lang="hr-HR" sz="1100" i="0" baseline="0">
                  <a:solidFill>
                    <a:schemeClr val="dk1"/>
                  </a:solidFill>
                  <a:effectLst/>
                  <a:latin typeface="+mn-lt"/>
                  <a:ea typeface="+mn-ea"/>
                  <a:cs typeface="+mn-cs"/>
                </a:rPr>
                <a:t> godina kamatna stopa iznosila </a:t>
              </a:r>
              <a:r>
                <a:rPr lang="hr-HR" sz="1100" b="0" i="0" baseline="0">
                  <a:solidFill>
                    <a:schemeClr val="dk1"/>
                  </a:solidFill>
                  <a:effectLst/>
                  <a:latin typeface="Cambria Math" panose="02040503050406030204" pitchFamily="18" charset="0"/>
                  <a:ea typeface="+mn-ea"/>
                  <a:cs typeface="+mn-cs"/>
                </a:rPr>
                <a:t>𝑝_1</a:t>
              </a:r>
              <a:r>
                <a:rPr lang="hr-HR" sz="1100" i="0" baseline="0">
                  <a:solidFill>
                    <a:schemeClr val="dk1"/>
                  </a:solidFill>
                  <a:effectLst/>
                  <a:latin typeface="+mn-lt"/>
                  <a:ea typeface="+mn-ea"/>
                  <a:cs typeface="+mn-cs"/>
                </a:rPr>
                <a:t>, tj. kamatni faktor </a:t>
              </a:r>
              <a:r>
                <a:rPr lang="hr-HR" sz="1100" b="0" i="0" baseline="0">
                  <a:solidFill>
                    <a:schemeClr val="dk1"/>
                  </a:solidFill>
                  <a:effectLst/>
                  <a:latin typeface="Cambria Math" panose="02040503050406030204" pitchFamily="18" charset="0"/>
                  <a:ea typeface="+mn-ea"/>
                  <a:cs typeface="+mn-cs"/>
                </a:rPr>
                <a:t>𝑟_1</a:t>
              </a:r>
              <a:r>
                <a:rPr lang="hr-HR" sz="1100" i="0" baseline="0">
                  <a:solidFill>
                    <a:schemeClr val="dk1"/>
                  </a:solidFill>
                  <a:effectLst/>
                  <a:latin typeface="+mn-lt"/>
                  <a:ea typeface="+mn-ea"/>
                  <a:cs typeface="+mn-cs"/>
                </a:rPr>
                <a:t>, potom </a:t>
              </a:r>
              <a:r>
                <a:rPr lang="hr-HR" sz="1100" b="0" i="0" baseline="0">
                  <a:solidFill>
                    <a:schemeClr val="dk1"/>
                  </a:solidFill>
                  <a:effectLst/>
                  <a:latin typeface="Cambria Math" panose="02040503050406030204" pitchFamily="18" charset="0"/>
                  <a:ea typeface="+mn-ea"/>
                  <a:cs typeface="+mn-cs"/>
                </a:rPr>
                <a:t>𝑛_2</a:t>
              </a:r>
              <a:r>
                <a:rPr lang="hr-HR" sz="1100" i="0" baseline="0">
                  <a:solidFill>
                    <a:schemeClr val="dk1"/>
                  </a:solidFill>
                  <a:effectLst/>
                  <a:latin typeface="+mn-lt"/>
                  <a:ea typeface="+mn-ea"/>
                  <a:cs typeface="+mn-cs"/>
                </a:rPr>
                <a:t> godina kamatna stopa bila </a:t>
              </a:r>
              <a:r>
                <a:rPr lang="hr-HR" sz="1100" b="0" i="0" baseline="0">
                  <a:solidFill>
                    <a:schemeClr val="dk1"/>
                  </a:solidFill>
                  <a:effectLst/>
                  <a:latin typeface="Cambria Math" panose="02040503050406030204" pitchFamily="18" charset="0"/>
                  <a:ea typeface="+mn-ea"/>
                  <a:cs typeface="+mn-cs"/>
                </a:rPr>
                <a:t>𝑝_2</a:t>
              </a:r>
              <a:r>
                <a:rPr lang="hr-HR" sz="1100" i="0" baseline="0">
                  <a:solidFill>
                    <a:schemeClr val="dk1"/>
                  </a:solidFill>
                  <a:effectLst/>
                  <a:latin typeface="+mn-lt"/>
                  <a:ea typeface="+mn-ea"/>
                  <a:cs typeface="+mn-cs"/>
                </a:rPr>
                <a:t>, itd... tada za konačnu vrijednost </a:t>
              </a:r>
              <a:r>
                <a:rPr lang="hr-HR" sz="1100" b="0" i="0">
                  <a:solidFill>
                    <a:schemeClr val="dk1"/>
                  </a:solidFill>
                  <a:effectLst/>
                  <a:latin typeface="Cambria Math" panose="02040503050406030204" pitchFamily="18" charset="0"/>
                  <a:ea typeface="+mn-ea"/>
                  <a:cs typeface="+mn-cs"/>
                </a:rPr>
                <a:t>𝐶_𝑛</a:t>
              </a:r>
              <a:r>
                <a:rPr lang="hr-HR" sz="1100" i="0" baseline="0">
                  <a:solidFill>
                    <a:schemeClr val="dk1"/>
                  </a:solidFill>
                  <a:effectLst/>
                  <a:latin typeface="+mn-lt"/>
                  <a:ea typeface="+mn-ea"/>
                  <a:cs typeface="+mn-cs"/>
                </a:rPr>
                <a:t> koristimo izraz </a:t>
              </a:r>
              <a:r>
                <a:rPr lang="hr-HR" sz="1100" b="0" i="0">
                  <a:solidFill>
                    <a:schemeClr val="dk1"/>
                  </a:solidFill>
                  <a:effectLst/>
                  <a:latin typeface="Cambria Math" panose="02040503050406030204" pitchFamily="18" charset="0"/>
                  <a:ea typeface="+mn-ea"/>
                  <a:cs typeface="+mn-cs"/>
                </a:rPr>
                <a:t>𝐶_𝑛=𝐶_0∙𝑟_1^(𝑛_1 )∙𝑟_2^(𝑛_2 )∙</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b="1">
                  <a:effectLst/>
                </a:rPr>
                <a:t>Vrste kamatnjaka</a:t>
              </a:r>
            </a:p>
            <a:p>
              <a:r>
                <a:rPr lang="hr-HR" sz="1100" baseline="0">
                  <a:solidFill>
                    <a:schemeClr val="dk1"/>
                  </a:solidFill>
                  <a:effectLst/>
                  <a:latin typeface="+mn-lt"/>
                  <a:ea typeface="+mn-ea"/>
                  <a:cs typeface="+mn-cs"/>
                </a:rPr>
                <a:t>Kapitalizacija:</a:t>
              </a:r>
              <a:endParaRPr lang="hr-HR">
                <a:effectLst/>
              </a:endParaRPr>
            </a:p>
            <a:p>
              <a:r>
                <a:rPr lang="hr-HR" sz="1100" baseline="0">
                  <a:solidFill>
                    <a:schemeClr val="dk1"/>
                  </a:solidFill>
                  <a:effectLst/>
                  <a:latin typeface="+mn-lt"/>
                  <a:ea typeface="+mn-ea"/>
                  <a:cs typeface="+mn-cs"/>
                </a:rPr>
                <a:t>a) mjesečno m=12</a:t>
              </a:r>
              <a:endParaRPr lang="hr-HR">
                <a:effectLst/>
              </a:endParaRPr>
            </a:p>
            <a:p>
              <a:r>
                <a:rPr lang="hr-HR" sz="1100" baseline="0">
                  <a:solidFill>
                    <a:schemeClr val="dk1"/>
                  </a:solidFill>
                  <a:effectLst/>
                  <a:latin typeface="+mn-lt"/>
                  <a:ea typeface="+mn-ea"/>
                  <a:cs typeface="+mn-cs"/>
                </a:rPr>
                <a:t>b) kvartalno/tromjesečno m=4</a:t>
              </a:r>
              <a:endParaRPr lang="hr-HR">
                <a:effectLst/>
              </a:endParaRPr>
            </a:p>
            <a:p>
              <a:r>
                <a:rPr lang="hr-HR" sz="1100" baseline="0">
                  <a:solidFill>
                    <a:schemeClr val="dk1"/>
                  </a:solidFill>
                  <a:effectLst/>
                  <a:latin typeface="+mn-lt"/>
                  <a:ea typeface="+mn-ea"/>
                  <a:cs typeface="+mn-cs"/>
                </a:rPr>
                <a:t>c) polugodišnje m=2</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r>
                <a:rPr lang="hr-HR" sz="1100" baseline="0">
                  <a:solidFill>
                    <a:schemeClr val="dk1"/>
                  </a:solidFill>
                  <a:effectLst/>
                  <a:latin typeface="+mn-lt"/>
                  <a:ea typeface="+mn-ea"/>
                  <a:cs typeface="+mn-cs"/>
                </a:rPr>
                <a:t>1. proporcionalni obračun (relativna kamatna stopa) (koristi se kad mi dugujemo banci)</a:t>
              </a:r>
              <a:endParaRPr lang="hr-HR">
                <a:effectLst/>
              </a:endParaRPr>
            </a:p>
            <a:p>
              <a:r>
                <a:rPr lang="hr-HR" sz="1100" b="0" i="0" baseline="0">
                  <a:solidFill>
                    <a:schemeClr val="dk1"/>
                  </a:solidFill>
                  <a:effectLst/>
                  <a:latin typeface="Cambria Math" panose="02040503050406030204" pitchFamily="18" charset="0"/>
                  <a:ea typeface="+mn-ea"/>
                  <a:cs typeface="+mn-cs"/>
                </a:rPr>
                <a:t>𝑝_𝑟=𝑝/𝑚</a:t>
              </a:r>
              <a:r>
                <a:rPr lang="hr-HR" sz="1100" b="0" baseline="0">
                  <a:solidFill>
                    <a:schemeClr val="dk1"/>
                  </a:solidFill>
                  <a:effectLst/>
                  <a:latin typeface="+mn-lt"/>
                  <a:ea typeface="+mn-ea"/>
                  <a:cs typeface="+mn-cs"/>
                </a:rPr>
                <a:t> </a:t>
              </a:r>
              <a:endParaRPr lang="hr-HR">
                <a:effectLst/>
              </a:endParaRPr>
            </a:p>
            <a:p>
              <a:pPr/>
              <a:r>
                <a:rPr lang="hr-HR" sz="1100" b="0" i="0" baseline="0">
                  <a:solidFill>
                    <a:schemeClr val="dk1"/>
                  </a:solidFill>
                  <a:effectLst/>
                  <a:latin typeface="Cambria Math" panose="02040503050406030204" pitchFamily="18" charset="0"/>
                  <a:ea typeface="+mn-ea"/>
                  <a:cs typeface="+mn-cs"/>
                </a:rPr>
                <a:t>𝑟_𝑟=1+𝑝_𝑟</a:t>
              </a:r>
              <a:endParaRPr lang="hr-HR">
                <a:effectLst/>
              </a:endParaRPr>
            </a:p>
            <a:p>
              <a:pPr/>
              <a:r>
                <a:rPr lang="hr-HR" sz="1100" b="0" i="0" baseline="0">
                  <a:solidFill>
                    <a:schemeClr val="dk1"/>
                  </a:solidFill>
                  <a:effectLst/>
                  <a:latin typeface="Cambria Math" panose="02040503050406030204" pitchFamily="18" charset="0"/>
                  <a:ea typeface="+mn-ea"/>
                  <a:cs typeface="+mn-cs"/>
                </a:rPr>
                <a:t>𝑛_𝑟=𝑛∙𝑚</a:t>
              </a:r>
              <a:endParaRPr lang="hr-HR">
                <a:effectLst/>
              </a:endParaRPr>
            </a:p>
            <a:p>
              <a:endParaRPr lang="hr-HR" sz="1100" b="0" baseline="0">
                <a:solidFill>
                  <a:schemeClr val="dk1"/>
                </a:solidFill>
                <a:effectLst/>
                <a:latin typeface="+mn-lt"/>
                <a:ea typeface="+mn-ea"/>
                <a:cs typeface="+mn-cs"/>
              </a:endParaRPr>
            </a:p>
            <a:p>
              <a:r>
                <a:rPr lang="hr-HR" sz="1100" b="0" baseline="0">
                  <a:solidFill>
                    <a:schemeClr val="dk1"/>
                  </a:solidFill>
                  <a:effectLst/>
                  <a:latin typeface="+mn-lt"/>
                  <a:ea typeface="+mn-ea"/>
                  <a:cs typeface="+mn-cs"/>
                </a:rPr>
                <a:t>2. konformni obračun (koristi se kad štedimo)</a:t>
              </a:r>
              <a:endParaRPr lang="hr-HR">
                <a:effectLst/>
              </a:endParaRPr>
            </a:p>
            <a:p>
              <a:r>
                <a:rPr lang="hr-HR" sz="1100" i="0" baseline="0">
                  <a:solidFill>
                    <a:schemeClr val="dk1"/>
                  </a:solidFill>
                  <a:effectLst/>
                  <a:latin typeface="Cambria Math" panose="02040503050406030204" pitchFamily="18" charset="0"/>
                  <a:ea typeface="+mn-ea"/>
                  <a:cs typeface="+mn-cs"/>
                </a:rPr>
                <a:t>𝑟</a:t>
              </a:r>
              <a:r>
                <a:rPr lang="hr-HR" sz="1100" b="0" i="0" baseline="0">
                  <a:solidFill>
                    <a:schemeClr val="dk1"/>
                  </a:solidFill>
                  <a:effectLst/>
                  <a:latin typeface="Cambria Math" panose="02040503050406030204" pitchFamily="18" charset="0"/>
                  <a:ea typeface="+mn-ea"/>
                  <a:cs typeface="+mn-cs"/>
                </a:rPr>
                <a:t>^′=𝑟_𝑘=√(𝑚&amp;𝑟)=𝑟^(1/𝑚)</a:t>
              </a:r>
              <a:r>
                <a:rPr lang="hr-HR" sz="1100" baseline="0">
                  <a:solidFill>
                    <a:schemeClr val="dk1"/>
                  </a:solidFill>
                  <a:effectLst/>
                  <a:latin typeface="+mn-lt"/>
                  <a:ea typeface="+mn-ea"/>
                  <a:cs typeface="+mn-cs"/>
                </a:rPr>
                <a:t> </a:t>
              </a:r>
            </a:p>
            <a:p>
              <a:r>
                <a:rPr lang="hr-HR" sz="1100" b="0" i="0" baseline="0">
                  <a:solidFill>
                    <a:schemeClr val="dk1"/>
                  </a:solidFill>
                  <a:effectLst/>
                  <a:latin typeface="Cambria Math" panose="02040503050406030204" pitchFamily="18" charset="0"/>
                  <a:ea typeface="+mn-ea"/>
                  <a:cs typeface="+mn-cs"/>
                </a:rPr>
                <a:t>p^′=𝑝_𝑘=𝑟′−1</a:t>
              </a:r>
              <a:r>
                <a:rPr lang="hr-HR" sz="1100" b="0" baseline="0">
                  <a:solidFill>
                    <a:schemeClr val="dk1"/>
                  </a:solidFill>
                  <a:effectLst/>
                  <a:latin typeface="+mn-lt"/>
                  <a:ea typeface="+mn-ea"/>
                  <a:cs typeface="+mn-cs"/>
                </a:rPr>
                <a:t>    (prikazati u obliku postotka)</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𝑛^′=𝑛_𝑘=𝑛∙𝑚</a:t>
              </a:r>
              <a:endParaRPr lang="hr-HR">
                <a:effectLst/>
              </a:endParaRPr>
            </a:p>
            <a:p>
              <a:endParaRPr lang="hr-HR" sz="110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Konačna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uplata</a:t>
              </a:r>
            </a:p>
            <a:p>
              <a:pPr eaLnBrk="1" fontAlgn="auto" latinLnBrk="0" hangingPunct="1"/>
              <a:r>
                <a:rPr lang="hr-HR" sz="1100" i="0" baseline="0">
                  <a:solidFill>
                    <a:schemeClr val="dk1"/>
                  </a:solidFill>
                  <a:effectLst/>
                  <a:latin typeface="+mn-lt"/>
                  <a:ea typeface="+mn-ea"/>
                  <a:cs typeface="+mn-cs"/>
                </a:rPr>
                <a:t>Konačna vrijednost </a:t>
              </a:r>
            </a:p>
            <a:p>
              <a:pPr eaLnBrk="1" fontAlgn="auto" latinLnBrk="0" hangingPunct="1"/>
              <a:r>
                <a:rPr lang="hr-HR" sz="1100" baseline="0">
                  <a:solidFill>
                    <a:schemeClr val="dk1"/>
                  </a:solidFill>
                  <a:effectLst/>
                  <a:latin typeface="+mn-lt"/>
                  <a:ea typeface="+mn-ea"/>
                  <a:cs typeface="+mn-cs"/>
                </a:rPr>
                <a:t>a) prenumerando (uplate početkom razdoblja) </a:t>
              </a:r>
              <a:r>
                <a:rPr lang="hr-HR" sz="1100" b="0" i="0" baseline="0">
                  <a:solidFill>
                    <a:schemeClr val="dk1"/>
                  </a:solidFill>
                  <a:effectLst/>
                  <a:latin typeface="Cambria Math" panose="02040503050406030204" pitchFamily="18" charset="0"/>
                  <a:ea typeface="+mn-ea"/>
                  <a:cs typeface="+mn-cs"/>
                </a:rPr>
                <a:t>𝑆_𝑛</a:t>
              </a:r>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b) postnumerando (uplate krajem razdoblja)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𝑆′〗_𝑛</a:t>
              </a:r>
              <a:endParaRPr lang="hr-HR">
                <a:effectLst/>
              </a:endParaRPr>
            </a:p>
            <a:p>
              <a:pPr eaLnBrk="1" fontAlgn="auto" latinLnBrk="0" hangingPunct="1"/>
              <a:endParaRPr lang="hr-HR">
                <a:effectLst/>
              </a:endParaRPr>
            </a:p>
            <a:p>
              <a:pPr eaLnBrk="1" fontAlgn="auto" latinLnBrk="0" hangingPunct="1"/>
              <a:r>
                <a:rPr lang="hr-HR">
                  <a:effectLst/>
                </a:rPr>
                <a:t>Konačna vrijednost:</a:t>
              </a:r>
              <a:r>
                <a:rPr lang="hr-HR" baseline="0">
                  <a:effectLst/>
                </a:rPr>
                <a:t> </a:t>
              </a:r>
              <a:r>
                <a:rPr lang="hr-HR" sz="1100" baseline="0">
                  <a:solidFill>
                    <a:schemeClr val="dk1"/>
                  </a:solidFill>
                  <a:effectLst/>
                  <a:latin typeface="+mn-lt"/>
                  <a:ea typeface="+mn-ea"/>
                  <a:cs typeface="+mn-cs"/>
                </a:rPr>
                <a:t>=FV(kamatna stopa %; broj razdoblja; rata koju uplaćujemo; [eventualna velika početna uplata ili ulazna naknada (treba biti suprotnog predznaka od rata)]; 0 ili 1 ovisno o tome uplaćujemo li uplate/rate krajem (postnumerando) ili početkom (prenumarando) razdoblja)</a:t>
              </a:r>
              <a:endParaRPr lang="hr-HR">
                <a:effectLst/>
              </a:endParaRPr>
            </a:p>
            <a:p>
              <a:pPr eaLnBrk="1" fontAlgn="auto" latinLnBrk="0" hangingPunct="1"/>
              <a:r>
                <a:rPr lang="hr-HR" sz="1100" baseline="0">
                  <a:solidFill>
                    <a:schemeClr val="dk1"/>
                  </a:solidFill>
                  <a:effectLst/>
                  <a:latin typeface="+mn-lt"/>
                  <a:ea typeface="+mn-ea"/>
                  <a:cs typeface="+mn-cs"/>
                </a:rPr>
                <a:t>Napomena: uplate se uobičajemo označavaju negativnom vrijednošću.</a:t>
              </a:r>
            </a:p>
            <a:p>
              <a:pPr eaLnBrk="1" fontAlgn="auto" latinLnBrk="0" hangingPunct="1"/>
              <a:endParaRPr lang="hr-HR">
                <a:effectLst/>
              </a:endParaRPr>
            </a:p>
            <a:p>
              <a:pPr eaLnBrk="1" fontAlgn="auto" latinLnBrk="0" hangingPunct="1"/>
              <a:r>
                <a:rPr lang="hr-HR" sz="1100" baseline="0">
                  <a:solidFill>
                    <a:schemeClr val="dk1"/>
                  </a:solidFill>
                  <a:effectLst/>
                  <a:latin typeface="+mn-lt"/>
                  <a:ea typeface="+mn-ea"/>
                  <a:cs typeface="+mn-cs"/>
                </a:rPr>
                <a:t>rata R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ako postoji; FV = konačna vrijednost, tj. iznos koji želimo uštedjeti; 0 ili 1 ovisno o tome uplaćujemo li rate krajem ili početkom razdoblja)</a:t>
              </a:r>
              <a:endParaRPr lang="hr-HR">
                <a:effectLst/>
              </a:endParaRPr>
            </a:p>
            <a:p>
              <a:pPr eaLnBrk="1" fontAlgn="auto" latinLnBrk="0" hangingPunct="1"/>
              <a:r>
                <a:rPr lang="hr-HR" sz="1100" baseline="0">
                  <a:solidFill>
                    <a:schemeClr val="dk1"/>
                  </a:solidFill>
                  <a:effectLst/>
                  <a:latin typeface="+mn-lt"/>
                  <a:ea typeface="+mn-ea"/>
                  <a:cs typeface="+mn-cs"/>
                </a:rPr>
                <a:t>Napomena: konačni iznos koji želimo dobiti upisujemo kao pozitivnu vrijednost, a rezultat R će biti negativan.</a:t>
              </a:r>
              <a:endParaRPr lang="hr-HR">
                <a:effectLst/>
              </a:endParaRPr>
            </a:p>
            <a:p>
              <a:endParaRPr lang="hr-HR" sz="1100" b="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Početna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rata</a:t>
              </a:r>
              <a:endParaRPr lang="hr-HR">
                <a:effectLst/>
              </a:endParaRPr>
            </a:p>
            <a:p>
              <a:pPr eaLnBrk="1" fontAlgn="auto" latinLnBrk="0" hangingPunct="1"/>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a) prenumerando (isplate početkom);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r>
                <a:rPr lang="hr-HR" sz="1100" baseline="0">
                  <a:solidFill>
                    <a:schemeClr val="dk1"/>
                  </a:solidFill>
                  <a:effectLst/>
                  <a:latin typeface="+mn-lt"/>
                  <a:ea typeface="+mn-ea"/>
                  <a:cs typeface="+mn-cs"/>
                </a:rPr>
                <a:t>b) postnumerando (isplate krajem);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endParaRPr lang="hr-HR" sz="1100" baseline="0">
                <a:solidFill>
                  <a:schemeClr val="dk1"/>
                </a:solidFill>
                <a:effectLst/>
                <a:latin typeface="+mn-lt"/>
                <a:ea typeface="+mn-ea"/>
                <a:cs typeface="+mn-cs"/>
              </a:endParaRPr>
            </a:p>
            <a:p>
              <a:pPr eaLnBrk="1" fontAlgn="auto" latinLnBrk="0" hangingPunct="1"/>
              <a:r>
                <a:rPr lang="hr-HR" sz="1100" baseline="0">
                  <a:solidFill>
                    <a:schemeClr val="dk1"/>
                  </a:solidFill>
                  <a:effectLst/>
                  <a:latin typeface="+mn-lt"/>
                  <a:ea typeface="+mn-ea"/>
                  <a:cs typeface="+mn-cs"/>
                </a:rPr>
                <a:t>Početni iznos =PV(kamatna stopa %; broj razdoblja; rata koju uplaćujemo;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vrijednost ako postoji, to je iznos koji želimo da ostane na kraju; 0 ili 1 ovisno o tome primamo li isplate/rate krajem (postnumerando) ili početkom (prenumarando)  razdoblja)</a:t>
              </a:r>
            </a:p>
            <a:p>
              <a:pPr eaLnBrk="1" fontAlgn="auto" latinLnBrk="0" hangingPunct="1"/>
              <a:endParaRPr lang="hr-HR">
                <a:effectLst/>
              </a:endParaRPr>
            </a:p>
            <a:p>
              <a:r>
                <a:rPr lang="hr-HR" sz="1100" baseline="0">
                  <a:solidFill>
                    <a:schemeClr val="dk1"/>
                  </a:solidFill>
                  <a:effectLst/>
                  <a:latin typeface="+mn-lt"/>
                  <a:ea typeface="+mn-ea"/>
                  <a:cs typeface="+mn-cs"/>
                </a:rPr>
                <a:t>Napomena: uplate se uobičajemo označavaju negativnom vrijednošću, a dobivene isplate pozitivno</a:t>
              </a:r>
            </a:p>
            <a:p>
              <a:pPr eaLnBrk="1" fontAlgn="auto" latinLnBrk="0" hangingPunct="1"/>
              <a:r>
                <a:rPr lang="hr-HR" sz="1100" baseline="0">
                  <a:solidFill>
                    <a:schemeClr val="dk1"/>
                  </a:solidFill>
                  <a:effectLst/>
                  <a:latin typeface="+mn-lt"/>
                  <a:ea typeface="+mn-ea"/>
                  <a:cs typeface="+mn-cs"/>
                </a:rPr>
                <a:t>Rata R=PMT(kamatna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i="1" baseline="0">
                  <a:solidFill>
                    <a:schemeClr val="dk1"/>
                  </a:solidFill>
                  <a:effectLst/>
                  <a:latin typeface="+mn-lt"/>
                  <a:ea typeface="+mn-ea"/>
                  <a:cs typeface="+mn-cs"/>
                </a:rPr>
                <a:t>An</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postoji, to je iznos koji želimo da ostane na kraju; 0 ili 1 ovisno o tome uplaćujemo li rate krajem ili početkom razdoblja)</a:t>
              </a:r>
            </a:p>
            <a:p>
              <a:pPr eaLnBrk="1" fontAlgn="auto" latinLnBrk="0" hangingPunct="1"/>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ako govorimo</a:t>
              </a:r>
              <a:r>
                <a:rPr lang="hr-HR" sz="1100" baseline="0">
                  <a:solidFill>
                    <a:schemeClr val="dk1"/>
                  </a:solidFill>
                  <a:effectLst/>
                  <a:latin typeface="+mn-lt"/>
                  <a:ea typeface="+mn-ea"/>
                  <a:cs typeface="+mn-cs"/>
                </a:rPr>
                <a:t> o </a:t>
              </a:r>
              <a:r>
                <a:rPr lang="hr-HR" sz="1100" b="1" baseline="0">
                  <a:solidFill>
                    <a:schemeClr val="dk1"/>
                  </a:solidFill>
                  <a:effectLst/>
                  <a:latin typeface="+mn-lt"/>
                  <a:ea typeface="+mn-ea"/>
                  <a:cs typeface="+mn-cs"/>
                </a:rPr>
                <a:t>vječnoj renti (isplate do kraja života) </a:t>
              </a:r>
              <a:r>
                <a:rPr lang="hr-HR" sz="1100" baseline="0">
                  <a:solidFill>
                    <a:schemeClr val="dk1"/>
                  </a:solidFill>
                  <a:effectLst/>
                  <a:latin typeface="+mn-lt"/>
                  <a:ea typeface="+mn-ea"/>
                  <a:cs typeface="+mn-cs"/>
                </a:rPr>
                <a:t>tada je za broj godina uobičajeno staviti 9999 godina.</a:t>
              </a:r>
              <a:endParaRPr lang="hr-HR">
                <a:effectLst/>
              </a:endParaRPr>
            </a:p>
            <a:p>
              <a:endParaRPr lang="hr-HR" sz="1100" b="0" baseline="0">
                <a:solidFill>
                  <a:schemeClr val="dk1"/>
                </a:solidFill>
                <a:effectLst/>
                <a:latin typeface="+mn-lt"/>
                <a:ea typeface="+mn-ea"/>
                <a:cs typeface="+mn-cs"/>
              </a:endParaRPr>
            </a:p>
            <a:p>
              <a:endParaRPr lang="hr-HR" b="0">
                <a:effectLst/>
              </a:endParaRPr>
            </a:p>
          </xdr:txBody>
        </xdr:sp>
      </mc:Fallback>
    </mc:AlternateContent>
    <xdr:clientData/>
  </xdr:twoCellAnchor>
  <xdr:twoCellAnchor>
    <xdr:from>
      <xdr:col>0</xdr:col>
      <xdr:colOff>577850</xdr:colOff>
      <xdr:row>0</xdr:row>
      <xdr:rowOff>101600</xdr:rowOff>
    </xdr:from>
    <xdr:to>
      <xdr:col>12</xdr:col>
      <xdr:colOff>0</xdr:colOff>
      <xdr:row>22</xdr:row>
      <xdr:rowOff>44450</xdr:rowOff>
    </xdr:to>
    <mc:AlternateContent xmlns:mc="http://schemas.openxmlformats.org/markup-compatibility/2006" xmlns:a14="http://schemas.microsoft.com/office/drawing/2010/main">
      <mc:Choice Requires="a14">
        <xdr:sp macro="" textlink="">
          <xdr:nvSpPr>
            <xdr:cNvPr id="3" name="TekstniOkvir 2">
              <a:extLst>
                <a:ext uri="{FF2B5EF4-FFF2-40B4-BE49-F238E27FC236}">
                  <a16:creationId xmlns:a16="http://schemas.microsoft.com/office/drawing/2014/main" id="{49B56BD1-94F9-4A26-8BB5-FEF44C2168C5}"/>
                </a:ext>
              </a:extLst>
            </xdr:cNvPr>
            <xdr:cNvSpPr txBox="1"/>
          </xdr:nvSpPr>
          <xdr:spPr>
            <a:xfrm>
              <a:off x="577850" y="101600"/>
              <a:ext cx="67373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200"/>
                <a:t>click</a:t>
              </a:r>
              <a:r>
                <a:rPr lang="hr-HR" sz="1200" baseline="0"/>
                <a:t> through rate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𝐶𝑇𝑅</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𝑖𝑚𝑝𝑟𝑒𝑠𝑖𝑗𝑎</m:t>
                      </m:r>
                    </m:den>
                  </m:f>
                </m:oMath>
              </a14:m>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Average Cost per Click</a:t>
              </a:r>
              <a:r>
                <a:rPr lang="en-US" sz="1200">
                  <a:solidFill>
                    <a:schemeClr val="dk1"/>
                  </a:solidFill>
                  <a:effectLst/>
                  <a:latin typeface="+mn-lt"/>
                  <a:ea typeface="+mn-ea"/>
                  <a:cs typeface="+mn-cs"/>
                </a:rPr>
                <a:t>	</a:t>
              </a:r>
              <a:r>
                <a:rPr lang="hr-HR" sz="1200">
                  <a:solidFill>
                    <a:schemeClr val="dk1"/>
                  </a:solidFill>
                  <a:effectLst/>
                  <a:latin typeface="+mn-lt"/>
                  <a:ea typeface="+mn-ea"/>
                  <a:cs typeface="+mn-cs"/>
                </a:rPr>
                <a:t>	</a:t>
              </a:r>
              <a14:m>
                <m:oMath xmlns:m="http://schemas.openxmlformats.org/officeDocument/2006/math">
                  <m:r>
                    <a:rPr lang="hr-HR" sz="1200" i="1">
                      <a:solidFill>
                        <a:schemeClr val="dk1"/>
                      </a:solidFill>
                      <a:effectLst/>
                      <a:latin typeface="Cambria Math" panose="02040503050406030204" pitchFamily="18" charset="0"/>
                      <a:ea typeface="+mn-ea"/>
                      <a:cs typeface="+mn-cs"/>
                    </a:rPr>
                    <m:t>𝐴𝑣𝑔</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𝐶𝑃𝐶</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en-US" sz="1200" b="0" i="1">
                          <a:solidFill>
                            <a:schemeClr val="dk1"/>
                          </a:solidFill>
                          <a:effectLst/>
                          <a:latin typeface="Cambria Math" panose="02040503050406030204" pitchFamily="18" charset="0"/>
                          <a:ea typeface="+mn-ea"/>
                          <a:cs typeface="+mn-cs"/>
                        </a:rPr>
                        <m:t> </m:t>
                      </m:r>
                      <m:r>
                        <a:rPr lang="en-US" sz="1200" b="0" i="1">
                          <a:solidFill>
                            <a:schemeClr val="dk1"/>
                          </a:solidFill>
                          <a:effectLst/>
                          <a:latin typeface="Cambria Math" panose="02040503050406030204" pitchFamily="18" charset="0"/>
                          <a:ea typeface="+mn-ea"/>
                          <a:cs typeface="+mn-cs"/>
                        </a:rPr>
                        <m:t>𝑜𝑔𝑙𝑎</m:t>
                      </m:r>
                      <m:r>
                        <a:rPr lang="en-US" sz="1200" b="0" i="1">
                          <a:solidFill>
                            <a:schemeClr val="dk1"/>
                          </a:solidFill>
                          <a:effectLst/>
                          <a:latin typeface="Cambria Math" panose="02040503050406030204" pitchFamily="18" charset="0"/>
                          <a:ea typeface="+mn-ea"/>
                          <a:cs typeface="+mn-cs"/>
                        </a:rPr>
                        <m:t>š</m:t>
                      </m:r>
                      <m:r>
                        <a:rPr lang="en-US" sz="1200" b="0" i="1">
                          <a:solidFill>
                            <a:schemeClr val="dk1"/>
                          </a:solidFill>
                          <a:effectLst/>
                          <a:latin typeface="Cambria Math" panose="02040503050406030204" pitchFamily="18" charset="0"/>
                          <a:ea typeface="+mn-ea"/>
                          <a:cs typeface="+mn-cs"/>
                        </a:rPr>
                        <m:t>𝑎𝑣𝑎𝑛𝑗𝑎</m:t>
                      </m:r>
                      <m:r>
                        <a:rPr lang="hr-HR" sz="1200" i="1">
                          <a:solidFill>
                            <a:schemeClr val="dk1"/>
                          </a:solidFill>
                          <a:effectLst/>
                          <a:latin typeface="Cambria Math" panose="02040503050406030204" pitchFamily="18" charset="0"/>
                          <a:ea typeface="+mn-ea"/>
                          <a:cs typeface="+mn-cs"/>
                        </a:rPr>
                        <m:t> </m:t>
                      </m:r>
                      <m:r>
                        <a:rPr lang="en-US" sz="1200" b="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𝑛𝑎</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𝑘𝑙𝑖𝑘𝑜𝑣𝑒</m:t>
                      </m:r>
                      <m:r>
                        <a:rPr lang="en-US" sz="12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Stopa konverzije (conversion rate)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𝐶𝑉𝑅</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𝑘𝑜𝑛𝑣𝑒𝑟𝑧𝑖𝑗𝑎</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Customer aquisition cost		</a:t>
              </a:r>
              <a14:m>
                <m:oMath xmlns:m="http://schemas.openxmlformats.org/officeDocument/2006/math">
                  <m:r>
                    <a:rPr lang="hr-HR" sz="1200" i="1">
                      <a:solidFill>
                        <a:schemeClr val="dk1"/>
                      </a:solidFill>
                      <a:effectLst/>
                      <a:latin typeface="Cambria Math" panose="02040503050406030204" pitchFamily="18" charset="0"/>
                      <a:ea typeface="+mn-ea"/>
                      <a:cs typeface="+mn-cs"/>
                    </a:rPr>
                    <m:t>𝐶𝐴𝐶</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𝑡𝑟𝑜</m:t>
                      </m:r>
                      <m:r>
                        <a:rPr lang="hr-HR" sz="1100" i="1">
                          <a:solidFill>
                            <a:schemeClr val="dk1"/>
                          </a:solidFill>
                          <a:effectLst/>
                          <a:latin typeface="Cambria Math" panose="02040503050406030204" pitchFamily="18" charset="0"/>
                          <a:ea typeface="+mn-ea"/>
                          <a:cs typeface="+mn-cs"/>
                        </a:rPr>
                        <m:t>š</m:t>
                      </m:r>
                      <m:r>
                        <a:rPr lang="hr-HR" sz="1100" i="1">
                          <a:solidFill>
                            <a:schemeClr val="dk1"/>
                          </a:solidFill>
                          <a:effectLst/>
                          <a:latin typeface="Cambria Math" panose="02040503050406030204" pitchFamily="18" charset="0"/>
                          <a:ea typeface="+mn-ea"/>
                          <a:cs typeface="+mn-cs"/>
                        </a:rPr>
                        <m:t>𝑎𝑘</m:t>
                      </m:r>
                      <m:r>
                        <a:rPr lang="en-US" sz="1100" b="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𝑜𝑔𝑙𝑎</m:t>
                      </m:r>
                      <m:r>
                        <a:rPr lang="en-US" sz="1100" b="0" i="1">
                          <a:solidFill>
                            <a:schemeClr val="dk1"/>
                          </a:solidFill>
                          <a:effectLst/>
                          <a:latin typeface="Cambria Math" panose="02040503050406030204" pitchFamily="18" charset="0"/>
                          <a:ea typeface="+mn-ea"/>
                          <a:cs typeface="+mn-cs"/>
                        </a:rPr>
                        <m:t>š</m:t>
                      </m:r>
                      <m:r>
                        <a:rPr lang="en-US" sz="1100" b="0" i="1">
                          <a:solidFill>
                            <a:schemeClr val="dk1"/>
                          </a:solidFill>
                          <a:effectLst/>
                          <a:latin typeface="Cambria Math" panose="02040503050406030204" pitchFamily="18" charset="0"/>
                          <a:ea typeface="+mn-ea"/>
                          <a:cs typeface="+mn-cs"/>
                        </a:rPr>
                        <m:t>𝑎𝑣𝑎𝑛𝑗𝑎</m:t>
                      </m:r>
                      <m:r>
                        <a:rPr lang="hr-HR" sz="110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𝑛𝑎</m:t>
                      </m:r>
                      <m:r>
                        <a:rPr lang="hr-HR" sz="1100" i="1">
                          <a:solidFill>
                            <a:schemeClr val="dk1"/>
                          </a:solidFill>
                          <a:effectLst/>
                          <a:latin typeface="Cambria Math" panose="02040503050406030204" pitchFamily="18" charset="0"/>
                          <a:ea typeface="+mn-ea"/>
                          <a:cs typeface="+mn-cs"/>
                        </a:rPr>
                        <m:t> </m:t>
                      </m:r>
                      <m:r>
                        <a:rPr lang="hr-HR" sz="1100" i="1">
                          <a:solidFill>
                            <a:schemeClr val="dk1"/>
                          </a:solidFill>
                          <a:effectLst/>
                          <a:latin typeface="Cambria Math" panose="02040503050406030204" pitchFamily="18" charset="0"/>
                          <a:ea typeface="+mn-ea"/>
                          <a:cs typeface="+mn-cs"/>
                        </a:rPr>
                        <m:t>𝑘𝑙𝑖𝑘𝑜𝑣𝑒</m:t>
                      </m:r>
                      <m:r>
                        <a:rPr lang="en-US" sz="11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𝑛𝑜𝑣𝑖h</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𝑘𝑙𝑖𝑗𝑒𝑛𝑎𝑡𝑎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Cost per conversion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𝐶𝑃𝐶</m:t>
                  </m:r>
                  <m:r>
                    <a:rPr lang="en-US" sz="1200" b="0" i="1">
                      <a:solidFill>
                        <a:schemeClr val="dk1"/>
                      </a:solidFill>
                      <a:effectLst/>
                      <a:latin typeface="Cambria Math" panose="02040503050406030204" pitchFamily="18" charset="0"/>
                      <a:ea typeface="+mn-ea"/>
                      <a:cs typeface="+mn-cs"/>
                    </a:rPr>
                    <m:t>𝑜𝑛</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𝑡𝑟𝑜</m:t>
                      </m:r>
                      <m:r>
                        <a:rPr lang="hr-HR" sz="1100" i="1">
                          <a:solidFill>
                            <a:schemeClr val="dk1"/>
                          </a:solidFill>
                          <a:effectLst/>
                          <a:latin typeface="Cambria Math" panose="02040503050406030204" pitchFamily="18" charset="0"/>
                          <a:ea typeface="+mn-ea"/>
                          <a:cs typeface="+mn-cs"/>
                        </a:rPr>
                        <m:t>š</m:t>
                      </m:r>
                      <m:r>
                        <a:rPr lang="hr-HR" sz="1100" i="1">
                          <a:solidFill>
                            <a:schemeClr val="dk1"/>
                          </a:solidFill>
                          <a:effectLst/>
                          <a:latin typeface="Cambria Math" panose="02040503050406030204" pitchFamily="18" charset="0"/>
                          <a:ea typeface="+mn-ea"/>
                          <a:cs typeface="+mn-cs"/>
                        </a:rPr>
                        <m:t>𝑎𝑘</m:t>
                      </m:r>
                      <m:r>
                        <a:rPr lang="en-US" sz="1100" b="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𝑜𝑔𝑙𝑎</m:t>
                      </m:r>
                      <m:r>
                        <a:rPr lang="en-US" sz="1100" b="0" i="1">
                          <a:solidFill>
                            <a:schemeClr val="dk1"/>
                          </a:solidFill>
                          <a:effectLst/>
                          <a:latin typeface="Cambria Math" panose="02040503050406030204" pitchFamily="18" charset="0"/>
                          <a:ea typeface="+mn-ea"/>
                          <a:cs typeface="+mn-cs"/>
                        </a:rPr>
                        <m:t>š</m:t>
                      </m:r>
                      <m:r>
                        <a:rPr lang="en-US" sz="1100" b="0" i="1">
                          <a:solidFill>
                            <a:schemeClr val="dk1"/>
                          </a:solidFill>
                          <a:effectLst/>
                          <a:latin typeface="Cambria Math" panose="02040503050406030204" pitchFamily="18" charset="0"/>
                          <a:ea typeface="+mn-ea"/>
                          <a:cs typeface="+mn-cs"/>
                        </a:rPr>
                        <m:t>𝑎𝑣𝑎𝑛𝑗𝑎</m:t>
                      </m:r>
                      <m:r>
                        <a:rPr lang="hr-HR" sz="110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𝑛𝑎</m:t>
                      </m:r>
                      <m:r>
                        <a:rPr lang="hr-HR" sz="1100" i="1">
                          <a:solidFill>
                            <a:schemeClr val="dk1"/>
                          </a:solidFill>
                          <a:effectLst/>
                          <a:latin typeface="Cambria Math" panose="02040503050406030204" pitchFamily="18" charset="0"/>
                          <a:ea typeface="+mn-ea"/>
                          <a:cs typeface="+mn-cs"/>
                        </a:rPr>
                        <m:t> </m:t>
                      </m:r>
                      <m:r>
                        <a:rPr lang="hr-HR" sz="1100" i="1">
                          <a:solidFill>
                            <a:schemeClr val="dk1"/>
                          </a:solidFill>
                          <a:effectLst/>
                          <a:latin typeface="Cambria Math" panose="02040503050406030204" pitchFamily="18" charset="0"/>
                          <a:ea typeface="+mn-ea"/>
                          <a:cs typeface="+mn-cs"/>
                        </a:rPr>
                        <m:t>𝑘𝑙𝑖𝑘𝑜𝑣𝑒</m:t>
                      </m:r>
                      <m:r>
                        <a:rPr lang="en-US" sz="11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𝑘𝑜𝑛𝑣𝑒𝑟𝑧𝑖𝑗𝑎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return on ad spend		</a:t>
              </a:r>
              <a14:m>
                <m:oMath xmlns:m="http://schemas.openxmlformats.org/officeDocument/2006/math">
                  <m:r>
                    <a:rPr lang="hr-HR" sz="1200" i="1">
                      <a:solidFill>
                        <a:schemeClr val="dk1"/>
                      </a:solidFill>
                      <a:effectLst/>
                      <a:latin typeface="Cambria Math" panose="02040503050406030204" pitchFamily="18" charset="0"/>
                      <a:ea typeface="+mn-ea"/>
                      <a:cs typeface="+mn-cs"/>
                    </a:rPr>
                    <m:t>𝑅𝑂𝐴𝑆</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𝑝𝑟𝑖h𝑜𝑑</m:t>
                      </m:r>
                      <m:r>
                        <a:rPr lang="hr-HR" sz="120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𝑜𝑔𝑙𝑎</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𝑎𝑣𝑎𝑛𝑗𝑎</m:t>
                      </m:r>
                    </m:num>
                    <m:den>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𝑜𝑔𝑙𝑎</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𝑎𝑣𝑎𝑛𝑗𝑎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return on investment, povrat ulaganja	</a:t>
              </a:r>
              <a14:m>
                <m:oMath xmlns:m="http://schemas.openxmlformats.org/officeDocument/2006/math">
                  <m:r>
                    <a:rPr lang="hr-HR" sz="1200" i="1">
                      <a:solidFill>
                        <a:schemeClr val="dk1"/>
                      </a:solidFill>
                      <a:effectLst/>
                      <a:latin typeface="Cambria Math" panose="02040503050406030204" pitchFamily="18" charset="0"/>
                      <a:ea typeface="+mn-ea"/>
                      <a:cs typeface="+mn-cs"/>
                    </a:rPr>
                    <m:t>𝑅𝑂𝐼</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𝑝𝑟𝑖h𝑜𝑑</m:t>
                      </m:r>
                      <m:r>
                        <a:rPr lang="hr-HR" sz="120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num>
                    <m:den>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den>
                  </m:f>
                </m:oMath>
              </a14:m>
              <a:r>
                <a:rPr lang="hr-HR" sz="1200">
                  <a:solidFill>
                    <a:schemeClr val="dk1"/>
                  </a:solidFill>
                  <a:effectLst/>
                  <a:latin typeface="+mn-lt"/>
                  <a:ea typeface="+mn-ea"/>
                  <a:cs typeface="+mn-cs"/>
                </a:rPr>
                <a:t> </a:t>
              </a:r>
            </a:p>
            <a:p>
              <a:endParaRPr lang="hr-HR" sz="1200"/>
            </a:p>
          </xdr:txBody>
        </xdr:sp>
      </mc:Choice>
      <mc:Fallback xmlns="">
        <xdr:sp macro="" textlink="">
          <xdr:nvSpPr>
            <xdr:cNvPr id="3" name="TekstniOkvir 2">
              <a:extLst>
                <a:ext uri="{FF2B5EF4-FFF2-40B4-BE49-F238E27FC236}">
                  <a16:creationId xmlns:a16="http://schemas.microsoft.com/office/drawing/2014/main" id="{49B56BD1-94F9-4A26-8BB5-FEF44C2168C5}"/>
                </a:ext>
              </a:extLst>
            </xdr:cNvPr>
            <xdr:cNvSpPr txBox="1"/>
          </xdr:nvSpPr>
          <xdr:spPr>
            <a:xfrm>
              <a:off x="577850" y="101600"/>
              <a:ext cx="67373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200"/>
                <a:t>click</a:t>
              </a:r>
              <a:r>
                <a:rPr lang="hr-HR" sz="1200" baseline="0"/>
                <a:t> through rate		</a:t>
              </a:r>
              <a:r>
                <a:rPr lang="hr-HR" sz="1200" i="0">
                  <a:solidFill>
                    <a:schemeClr val="dk1"/>
                  </a:solidFill>
                  <a:effectLst/>
                  <a:latin typeface="Cambria Math" panose="02040503050406030204" pitchFamily="18" charset="0"/>
                  <a:ea typeface="+mn-ea"/>
                  <a:cs typeface="+mn-cs"/>
                </a:rPr>
                <a:t>𝐶𝑇𝑅=(𝑏𝑟𝑜𝑗 𝑘𝑙𝑖𝑘𝑜𝑣𝑎)/(𝑏𝑟𝑜𝑗 𝑖𝑚𝑝𝑟𝑒𝑠𝑖𝑗𝑎)</a:t>
              </a:r>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Average Cost per Click</a:t>
              </a:r>
              <a:r>
                <a:rPr lang="en-US" sz="1200">
                  <a:solidFill>
                    <a:schemeClr val="dk1"/>
                  </a:solidFill>
                  <a:effectLst/>
                  <a:latin typeface="+mn-lt"/>
                  <a:ea typeface="+mn-ea"/>
                  <a:cs typeface="+mn-cs"/>
                </a:rPr>
                <a:t>	</a:t>
              </a:r>
              <a:r>
                <a:rPr lang="hr-HR" sz="1200">
                  <a:solidFill>
                    <a:schemeClr val="dk1"/>
                  </a:solidFill>
                  <a:effectLst/>
                  <a:latin typeface="+mn-lt"/>
                  <a:ea typeface="+mn-ea"/>
                  <a:cs typeface="+mn-cs"/>
                </a:rPr>
                <a:t>	</a:t>
              </a:r>
              <a:r>
                <a:rPr lang="hr-HR" sz="1200" i="0">
                  <a:solidFill>
                    <a:schemeClr val="dk1"/>
                  </a:solidFill>
                  <a:effectLst/>
                  <a:latin typeface="Cambria Math" panose="02040503050406030204" pitchFamily="18" charset="0"/>
                  <a:ea typeface="+mn-ea"/>
                  <a:cs typeface="+mn-cs"/>
                </a:rPr>
                <a:t>𝐴𝑣𝑔. 𝐶𝑃𝐶=( 𝑡𝑟𝑜š𝑎𝑘</a:t>
              </a:r>
              <a:r>
                <a:rPr lang="en-US" sz="1200" b="0" i="0">
                  <a:solidFill>
                    <a:schemeClr val="dk1"/>
                  </a:solidFill>
                  <a:effectLst/>
                  <a:latin typeface="Cambria Math" panose="02040503050406030204" pitchFamily="18" charset="0"/>
                  <a:ea typeface="+mn-ea"/>
                  <a:cs typeface="+mn-cs"/>
                </a:rPr>
                <a:t> 𝑜𝑔𝑙𝑎š𝑎𝑣𝑎𝑛𝑗𝑎</a:t>
              </a:r>
              <a:r>
                <a:rPr lang="hr-HR" sz="1200" i="0">
                  <a:solidFill>
                    <a:schemeClr val="dk1"/>
                  </a:solidFill>
                  <a:effectLst/>
                  <a:latin typeface="Cambria Math" panose="02040503050406030204" pitchFamily="18" charset="0"/>
                  <a:ea typeface="+mn-ea"/>
                  <a:cs typeface="+mn-cs"/>
                </a:rPr>
                <a:t> </a:t>
              </a:r>
              <a:r>
                <a:rPr lang="en-US"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𝑛𝑎 𝑘𝑙𝑖𝑘𝑜𝑣𝑒</a:t>
              </a:r>
              <a:r>
                <a:rPr lang="en-US" sz="12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𝑘𝑙𝑖𝑘𝑜𝑣𝑎)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Stopa konverzije (conversion rate)	</a:t>
              </a:r>
              <a:r>
                <a:rPr lang="hr-HR" sz="1200" i="0">
                  <a:solidFill>
                    <a:schemeClr val="dk1"/>
                  </a:solidFill>
                  <a:effectLst/>
                  <a:latin typeface="Cambria Math" panose="02040503050406030204" pitchFamily="18" charset="0"/>
                  <a:ea typeface="+mn-ea"/>
                  <a:cs typeface="+mn-cs"/>
                </a:rPr>
                <a:t>𝐶𝑉𝑅=(𝑏𝑟𝑜𝑗 𝑘𝑜𝑛𝑣𝑒𝑟𝑧𝑖𝑗𝑎)/(𝑏𝑟𝑜𝑗 𝑘𝑙𝑖𝑘𝑜𝑣𝑎)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Customer aquisition cost		</a:t>
              </a:r>
              <a:r>
                <a:rPr lang="hr-HR" sz="1200" i="0">
                  <a:solidFill>
                    <a:schemeClr val="dk1"/>
                  </a:solidFill>
                  <a:effectLst/>
                  <a:latin typeface="Cambria Math" panose="02040503050406030204" pitchFamily="18" charset="0"/>
                  <a:ea typeface="+mn-ea"/>
                  <a:cs typeface="+mn-cs"/>
                </a:rPr>
                <a:t>𝐶𝐴𝐶=(</a:t>
              </a:r>
              <a:r>
                <a:rPr lang="hr-HR" sz="1100" i="0">
                  <a:solidFill>
                    <a:schemeClr val="dk1"/>
                  </a:solidFill>
                  <a:effectLst/>
                  <a:latin typeface="Cambria Math" panose="02040503050406030204" pitchFamily="18" charset="0"/>
                  <a:ea typeface="+mn-ea"/>
                  <a:cs typeface="+mn-cs"/>
                </a:rPr>
                <a:t>𝑡𝑟𝑜š𝑎𝑘</a:t>
              </a:r>
              <a:r>
                <a:rPr lang="en-US" sz="1100" b="0" i="0">
                  <a:solidFill>
                    <a:schemeClr val="dk1"/>
                  </a:solidFill>
                  <a:effectLst/>
                  <a:latin typeface="Cambria Math" panose="02040503050406030204" pitchFamily="18" charset="0"/>
                  <a:ea typeface="+mn-ea"/>
                  <a:cs typeface="+mn-cs"/>
                </a:rPr>
                <a:t> 𝑜𝑔𝑙𝑎š𝑎𝑣𝑎𝑛𝑗𝑎</a:t>
              </a:r>
              <a:r>
                <a:rPr lang="hr-HR" sz="110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𝑛𝑎 𝑘𝑙𝑖𝑘𝑜𝑣𝑒</a:t>
              </a:r>
              <a:r>
                <a:rPr lang="en-US" sz="11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𝑛𝑜𝑣𝑖ℎ 𝑘𝑙𝑖𝑗𝑒𝑛𝑎𝑡𝑎)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Cost per conversion		</a:t>
              </a:r>
              <a:r>
                <a:rPr lang="hr-HR" sz="1200" i="0">
                  <a:solidFill>
                    <a:schemeClr val="dk1"/>
                  </a:solidFill>
                  <a:effectLst/>
                  <a:latin typeface="Cambria Math" panose="02040503050406030204" pitchFamily="18" charset="0"/>
                  <a:ea typeface="+mn-ea"/>
                  <a:cs typeface="+mn-cs"/>
                </a:rPr>
                <a:t>𝐶𝑃𝐶</a:t>
              </a:r>
              <a:r>
                <a:rPr lang="en-US" sz="1200" b="0" i="0">
                  <a:solidFill>
                    <a:schemeClr val="dk1"/>
                  </a:solidFill>
                  <a:effectLst/>
                  <a:latin typeface="Cambria Math" panose="02040503050406030204" pitchFamily="18" charset="0"/>
                  <a:ea typeface="+mn-ea"/>
                  <a:cs typeface="+mn-cs"/>
                </a:rPr>
                <a:t>𝑜𝑛</a:t>
              </a:r>
              <a:r>
                <a:rPr lang="hr-HR" sz="12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𝑡𝑟𝑜š𝑎𝑘</a:t>
              </a:r>
              <a:r>
                <a:rPr lang="en-US" sz="1100" b="0" i="0">
                  <a:solidFill>
                    <a:schemeClr val="dk1"/>
                  </a:solidFill>
                  <a:effectLst/>
                  <a:latin typeface="Cambria Math" panose="02040503050406030204" pitchFamily="18" charset="0"/>
                  <a:ea typeface="+mn-ea"/>
                  <a:cs typeface="+mn-cs"/>
                </a:rPr>
                <a:t> 𝑜𝑔𝑙𝑎š𝑎𝑣𝑎𝑛𝑗𝑎</a:t>
              </a:r>
              <a:r>
                <a:rPr lang="hr-HR" sz="110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𝑛𝑎 𝑘𝑙𝑖𝑘𝑜𝑣𝑒</a:t>
              </a:r>
              <a:r>
                <a:rPr lang="en-US" sz="11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𝑘𝑜𝑛𝑣𝑒𝑟𝑧𝑖𝑗𝑎)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return on ad spend		</a:t>
              </a:r>
              <a:r>
                <a:rPr lang="hr-HR" sz="1200" i="0">
                  <a:solidFill>
                    <a:schemeClr val="dk1"/>
                  </a:solidFill>
                  <a:effectLst/>
                  <a:latin typeface="Cambria Math" panose="02040503050406030204" pitchFamily="18" charset="0"/>
                  <a:ea typeface="+mn-ea"/>
                  <a:cs typeface="+mn-cs"/>
                </a:rPr>
                <a:t>𝑅𝑂𝐴𝑆=(𝑢𝑘𝑢𝑝𝑎𝑛 𝑝𝑟𝑖ℎ𝑜𝑑−𝑡𝑟𝑜š𝑎𝑘 𝑜𝑔𝑙𝑎š𝑎𝑣𝑎𝑛𝑗𝑎)/(𝑡𝑟𝑜š𝑎𝑘 𝑜𝑔𝑙𝑎š𝑎𝑣𝑎𝑛𝑗𝑎)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return on investment, povrat ulaganja	</a:t>
              </a:r>
              <a:r>
                <a:rPr lang="hr-HR" sz="1200" i="0">
                  <a:solidFill>
                    <a:schemeClr val="dk1"/>
                  </a:solidFill>
                  <a:effectLst/>
                  <a:latin typeface="Cambria Math" panose="02040503050406030204" pitchFamily="18" charset="0"/>
                  <a:ea typeface="+mn-ea"/>
                  <a:cs typeface="+mn-cs"/>
                </a:rPr>
                <a:t>𝑅𝑂𝐼=(𝑢𝑘𝑢𝑝𝑎𝑛 𝑝𝑟𝑖ℎ𝑜𝑑−𝑢𝑘𝑢𝑝𝑎𝑛 𝑡𝑟𝑜š𝑎𝑘)/(𝑢𝑘𝑢𝑝𝑎𝑛 𝑡𝑟𝑜š𝑎𝑘)</a:t>
              </a:r>
              <a:r>
                <a:rPr lang="hr-HR" sz="1200">
                  <a:solidFill>
                    <a:schemeClr val="dk1"/>
                  </a:solidFill>
                  <a:effectLst/>
                  <a:latin typeface="+mn-lt"/>
                  <a:ea typeface="+mn-ea"/>
                  <a:cs typeface="+mn-cs"/>
                </a:rPr>
                <a:t> </a:t>
              </a:r>
            </a:p>
            <a:p>
              <a:endParaRPr lang="hr-HR" sz="1200"/>
            </a:p>
          </xdr:txBody>
        </xdr:sp>
      </mc:Fallback>
    </mc:AlternateContent>
    <xdr:clientData/>
  </xdr:twoCellAnchor>
  <xdr:twoCellAnchor>
    <xdr:from>
      <xdr:col>1</xdr:col>
      <xdr:colOff>0</xdr:colOff>
      <xdr:row>91</xdr:row>
      <xdr:rowOff>0</xdr:rowOff>
    </xdr:from>
    <xdr:to>
      <xdr:col>12</xdr:col>
      <xdr:colOff>47798</xdr:colOff>
      <xdr:row>129</xdr:row>
      <xdr:rowOff>0</xdr:rowOff>
    </xdr:to>
    <mc:AlternateContent xmlns:mc="http://schemas.openxmlformats.org/markup-compatibility/2006" xmlns:a14="http://schemas.microsoft.com/office/drawing/2010/main">
      <mc:Choice Requires="a14">
        <xdr:sp macro="" textlink="">
          <xdr:nvSpPr>
            <xdr:cNvPr id="4" name="TekstniOkvir 2">
              <a:extLst>
                <a:ext uri="{FF2B5EF4-FFF2-40B4-BE49-F238E27FC236}">
                  <a16:creationId xmlns:a16="http://schemas.microsoft.com/office/drawing/2014/main" id="{307993F6-5094-4EED-9DB3-00D2F38D4E94}"/>
                </a:ext>
              </a:extLst>
            </xdr:cNvPr>
            <xdr:cNvSpPr txBox="1"/>
          </xdr:nvSpPr>
          <xdr:spPr>
            <a:xfrm>
              <a:off x="609600" y="16757650"/>
              <a:ext cx="6753398" cy="699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za 3. ishod:</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Razlika zajam i kredit: Kredit je posudba </a:t>
              </a:r>
              <a:r>
                <a:rPr lang="hr-HR" sz="1100" b="1" i="0" baseline="0">
                  <a:solidFill>
                    <a:schemeClr val="dk1"/>
                  </a:solidFill>
                  <a:effectLst/>
                  <a:latin typeface="+mn-lt"/>
                  <a:ea typeface="+mn-ea"/>
                  <a:cs typeface="+mn-cs"/>
                </a:rPr>
                <a:t>novca</a:t>
              </a:r>
              <a:r>
                <a:rPr lang="hr-HR" sz="1100" i="0" baseline="0">
                  <a:solidFill>
                    <a:schemeClr val="dk1"/>
                  </a:solidFill>
                  <a:effectLst/>
                  <a:latin typeface="+mn-lt"/>
                  <a:ea typeface="+mn-ea"/>
                  <a:cs typeface="+mn-cs"/>
                </a:rPr>
                <a:t> od </a:t>
              </a:r>
              <a:r>
                <a:rPr lang="hr-HR" sz="1100" b="1" i="0" baseline="0">
                  <a:solidFill>
                    <a:schemeClr val="dk1"/>
                  </a:solidFill>
                  <a:effectLst/>
                  <a:latin typeface="+mn-lt"/>
                  <a:ea typeface="+mn-ea"/>
                  <a:cs typeface="+mn-cs"/>
                </a:rPr>
                <a:t>banke</a:t>
              </a:r>
              <a:r>
                <a:rPr lang="hr-HR" sz="1100" i="0" baseline="0">
                  <a:solidFill>
                    <a:schemeClr val="dk1"/>
                  </a:solidFill>
                  <a:effectLst/>
                  <a:latin typeface="+mn-lt"/>
                  <a:ea typeface="+mn-ea"/>
                  <a:cs typeface="+mn-cs"/>
                </a:rPr>
                <a:t> uz </a:t>
              </a:r>
              <a:r>
                <a:rPr lang="hr-HR" sz="1100" b="1" i="0" baseline="0">
                  <a:solidFill>
                    <a:schemeClr val="dk1"/>
                  </a:solidFill>
                  <a:effectLst/>
                  <a:latin typeface="+mn-lt"/>
                  <a:ea typeface="+mn-ea"/>
                  <a:cs typeface="+mn-cs"/>
                </a:rPr>
                <a:t>određenu kamatu</a:t>
              </a:r>
              <a:r>
                <a:rPr lang="hr-HR" sz="1100" i="0" baseline="0">
                  <a:solidFill>
                    <a:schemeClr val="dk1"/>
                  </a:solidFill>
                  <a:effectLst/>
                  <a:latin typeface="+mn-lt"/>
                  <a:ea typeface="+mn-ea"/>
                  <a:cs typeface="+mn-cs"/>
                </a:rPr>
                <a:t>. Zajam je bilo kakva pozajmica, npr. posudba novca od osiguravajuće kuće ili nekog predmeta od bilo koje fizičke ili pravne osobe. Zajam može biti vraćen uz kamatu, ali i ne mora. Svaki kredit je zajam, ali obrnuto ne vrijedi.</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Mi nećemo raditi razliku između zajma i kredita, već ćemo se baviti načinom njihove otplate.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Najčešća metoda otplate je </a:t>
              </a:r>
              <a:r>
                <a:rPr lang="hr-HR" sz="1100" b="1" i="0" baseline="0">
                  <a:solidFill>
                    <a:schemeClr val="dk1"/>
                  </a:solidFill>
                  <a:effectLst/>
                  <a:latin typeface="+mn-lt"/>
                  <a:ea typeface="+mn-ea"/>
                  <a:cs typeface="+mn-cs"/>
                </a:rPr>
                <a:t>metoda jednakim anuitetima</a:t>
              </a:r>
              <a:r>
                <a:rPr lang="hr-HR" sz="1100" i="0" baseline="0">
                  <a:solidFill>
                    <a:schemeClr val="dk1"/>
                  </a:solidFill>
                  <a:effectLst/>
                  <a:latin typeface="+mn-lt"/>
                  <a:ea typeface="+mn-ea"/>
                  <a:cs typeface="+mn-cs"/>
                </a:rPr>
                <a:t>/obrocima.</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𝑟</m:t>
                  </m:r>
                </m:oMath>
              </a14:m>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Svaki anuitet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sastoji se od 2 dijela: otplate kamate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i otplatne kvote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Za posuđen iznos zajma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zadanu kamatnu stopu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broj razdoblja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anuitet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računa se izrazom</a:t>
              </a:r>
            </a:p>
            <a:p>
              <a:pPr marL="0" marR="0" lvl="0" indent="0" defTabSz="914400" eaLnBrk="1" fontAlgn="auto" latinLnBrk="0" hangingPunct="1">
                <a:lnSpc>
                  <a:spcPct val="100000"/>
                </a:lnSpc>
                <a:spcBef>
                  <a:spcPts val="0"/>
                </a:spcBef>
                <a:spcAft>
                  <a:spcPts val="0"/>
                </a:spcAft>
                <a:buClrTx/>
                <a:buSzTx/>
                <a:buFontTx/>
                <a:buNone/>
                <a:tabLst/>
                <a:defRPr/>
              </a:pPr>
              <a:r>
                <a:rPr lang="hr-HR" sz="1100" b="0" baseline="0">
                  <a:solidFill>
                    <a:schemeClr val="dk1"/>
                  </a:solidFill>
                  <a:effectLst/>
                  <a:ea typeface="+mn-ea"/>
                  <a:cs typeface="+mn-cs"/>
                </a:rPr>
                <a:t>a</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den>
                  </m:f>
                </m:oMath>
              </a14:m>
              <a:r>
                <a:rPr lang="hr-HR" sz="1100" i="0" baseline="0">
                  <a:solidFill>
                    <a:schemeClr val="dk1"/>
                  </a:solidFill>
                  <a:effectLst/>
                  <a:latin typeface="+mn-lt"/>
                  <a:ea typeface="+mn-ea"/>
                  <a:cs typeface="+mn-cs"/>
                </a:rPr>
                <a:t>. Uočite identičan izraz za početnu vrijednost više uplata/isplata postnumerando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𝐴</m:t>
                      </m:r>
                    </m:e>
                    <m:sub>
                      <m:r>
                        <a:rPr lang="hr-HR" sz="1100" b="0" i="1" baseline="0">
                          <a:solidFill>
                            <a:schemeClr val="dk1"/>
                          </a:solidFill>
                          <a:effectLst/>
                          <a:latin typeface="Cambria Math" panose="02040503050406030204" pitchFamily="18" charset="0"/>
                          <a:ea typeface="+mn-ea"/>
                          <a:cs typeface="+mn-cs"/>
                        </a:rPr>
                        <m:t>𝑛</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den>
                  </m:f>
                </m:oMath>
              </a14:m>
              <a:r>
                <a:rPr lang="hr-HR" sz="1100" i="0" baseline="0">
                  <a:solidFill>
                    <a:schemeClr val="dk1"/>
                  </a:solidFill>
                  <a:effectLst/>
                  <a:latin typeface="+mn-lt"/>
                  <a:ea typeface="+mn-ea"/>
                  <a:cs typeface="+mn-cs"/>
                </a:rPr>
                <a:t>. I kod zajma također imamo veliki početni iznos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koji vraćamo u više jednakih obroka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U excelu se vrijednost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računa baš poput iznosa jednake rate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u prethodnoj lekciji.</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Koristimo naredbu PAYMENT i i upisujemo 5 podataka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oMath>
              </a14:m>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anuiteti trebaju računati na 2 decimale pa prilagodimo formulu i pišemo </a:t>
              </a:r>
              <a:r>
                <a:rPr lang="hr-HR" sz="1100" b="1" baseline="0">
                  <a:solidFill>
                    <a:schemeClr val="dk1"/>
                  </a:solidFill>
                  <a:effectLst/>
                  <a:latin typeface="+mn-lt"/>
                  <a:ea typeface="+mn-ea"/>
                  <a:cs typeface="+mn-cs"/>
                </a:rPr>
                <a:t>=ROUND(PMT(kamatna stopa (%); broj razdoblja; iznos kredita </a:t>
              </a:r>
              <a14:m>
                <m:oMath xmlns:m="http://schemas.openxmlformats.org/officeDocument/2006/math">
                  <m:sSub>
                    <m:sSubPr>
                      <m:ctrlPr>
                        <a:rPr lang="hr-HR" sz="1100" b="1" i="1" baseline="0">
                          <a:solidFill>
                            <a:schemeClr val="dk1"/>
                          </a:solidFill>
                          <a:effectLst/>
                          <a:latin typeface="Cambria Math" panose="02040503050406030204" pitchFamily="18" charset="0"/>
                          <a:ea typeface="+mn-ea"/>
                          <a:cs typeface="+mn-cs"/>
                        </a:rPr>
                      </m:ctrlPr>
                    </m:sSubPr>
                    <m:e>
                      <m:r>
                        <a:rPr lang="hr-HR" sz="1100" b="1" i="1" baseline="0">
                          <a:solidFill>
                            <a:schemeClr val="dk1"/>
                          </a:solidFill>
                          <a:effectLst/>
                          <a:latin typeface="Cambria Math" panose="02040503050406030204" pitchFamily="18" charset="0"/>
                          <a:ea typeface="+mn-ea"/>
                          <a:cs typeface="+mn-cs"/>
                        </a:rPr>
                        <m:t>𝑪</m:t>
                      </m:r>
                    </m:e>
                    <m:sub>
                      <m:r>
                        <a:rPr lang="hr-HR" sz="1100" b="1" i="1" baseline="0">
                          <a:solidFill>
                            <a:schemeClr val="dk1"/>
                          </a:solidFill>
                          <a:effectLst/>
                          <a:latin typeface="Cambria Math" panose="02040503050406030204" pitchFamily="18" charset="0"/>
                          <a:ea typeface="+mn-ea"/>
                          <a:cs typeface="+mn-cs"/>
                        </a:rPr>
                        <m:t>𝟎</m:t>
                      </m:r>
                    </m:sub>
                  </m:sSub>
                  <m:r>
                    <m:rPr>
                      <m:nor/>
                    </m:rPr>
                    <a:rPr lang="hr-HR" sz="1100" b="1" i="0" baseline="0">
                      <a:solidFill>
                        <a:schemeClr val="dk1"/>
                      </a:solidFill>
                      <a:effectLst/>
                      <a:latin typeface="+mn-lt"/>
                      <a:ea typeface="+mn-ea"/>
                      <a:cs typeface="+mn-cs"/>
                    </a:rPr>
                    <m:t> </m:t>
                  </m:r>
                </m:oMath>
              </a14:m>
              <a:r>
                <a:rPr lang="hr-HR" sz="1100" b="1" baseline="0">
                  <a:solidFill>
                    <a:schemeClr val="dk1"/>
                  </a:solidFill>
                  <a:effectLst/>
                  <a:latin typeface="+mn-lt"/>
                  <a:ea typeface="+mn-ea"/>
                  <a:cs typeface="+mn-cs"/>
                </a:rPr>
                <a:t>; mogući ostatak duga; 0);2)</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Ako je poznat iznos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a:effectLst/>
                </a:rPr>
                <a:t> tada iznos zajma</a:t>
              </a:r>
              <a:r>
                <a:rPr lang="hr-HR" baseline="0">
                  <a:effectLst/>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oMath>
              </a14:m>
              <a:r>
                <a:rPr lang="hr-HR">
                  <a:effectLst/>
                </a:rPr>
                <a:t>možemo izračunati</a:t>
              </a:r>
              <a:r>
                <a:rPr lang="hr-HR" baseline="0">
                  <a:effectLst/>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den>
                  </m:f>
                </m:oMath>
              </a14:m>
              <a:r>
                <a:rPr lang="hr-HR">
                  <a:effectLst/>
                </a:rPr>
                <a:t>, a u excelu</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=PV(kamatna stopa %; broj razdoblja; iznos obroka;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iznos kredita treba računati na 2 decimale pa prilagodimo formulu i pišemo</a:t>
              </a:r>
            </a:p>
            <a:p>
              <a:pPr marL="0" marR="0" lvl="0" indent="0" defTabSz="914400" eaLnBrk="1" fontAlgn="auto" latinLnBrk="0" hangingPunct="1">
                <a:lnSpc>
                  <a:spcPct val="100000"/>
                </a:lnSpc>
                <a:spcBef>
                  <a:spcPts val="0"/>
                </a:spcBef>
                <a:spcAft>
                  <a:spcPts val="0"/>
                </a:spcAft>
                <a:buClrTx/>
                <a:buSzTx/>
                <a:buFontTx/>
                <a:buNone/>
                <a:tabLst/>
                <a:defRPr/>
              </a:pPr>
              <a:r>
                <a:rPr lang="hr-HR" sz="1100" b="1" baseline="0">
                  <a:solidFill>
                    <a:schemeClr val="dk1"/>
                  </a:solidFill>
                  <a:effectLst/>
                  <a:latin typeface="+mn-lt"/>
                  <a:ea typeface="+mn-ea"/>
                  <a:cs typeface="+mn-cs"/>
                </a:rPr>
                <a:t>=ROUND(PV(kamatna stopa %; broj razdoblja; iznos obroka; eventualni ostatak duga;0);2)</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iznose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a:effectLst/>
                </a:rPr>
                <a:t> upisujemo s negativnim</a:t>
              </a:r>
              <a:r>
                <a:rPr lang="hr-HR" baseline="0">
                  <a:effectLst/>
                </a:rPr>
                <a:t> predznakom, jer ga mi plaćamo, a iznos zajma/kredita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baseline="0">
                  <a:effectLst/>
                </a:rPr>
                <a:t> pozitivnim jer taj iznos dobivamo.</a:t>
              </a:r>
            </a:p>
          </xdr:txBody>
        </xdr:sp>
      </mc:Choice>
      <mc:Fallback xmlns="">
        <xdr:sp macro="" textlink="">
          <xdr:nvSpPr>
            <xdr:cNvPr id="4" name="TekstniOkvir 2">
              <a:extLst>
                <a:ext uri="{FF2B5EF4-FFF2-40B4-BE49-F238E27FC236}">
                  <a16:creationId xmlns:a16="http://schemas.microsoft.com/office/drawing/2014/main" id="{307993F6-5094-4EED-9DB3-00D2F38D4E94}"/>
                </a:ext>
              </a:extLst>
            </xdr:cNvPr>
            <xdr:cNvSpPr txBox="1"/>
          </xdr:nvSpPr>
          <xdr:spPr>
            <a:xfrm>
              <a:off x="609600" y="16757650"/>
              <a:ext cx="6753398" cy="699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za 3. ishod:</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Razlika zajam i kredit: Kredit je posudba </a:t>
              </a:r>
              <a:r>
                <a:rPr lang="hr-HR" sz="1100" b="1" i="0" baseline="0">
                  <a:solidFill>
                    <a:schemeClr val="dk1"/>
                  </a:solidFill>
                  <a:effectLst/>
                  <a:latin typeface="+mn-lt"/>
                  <a:ea typeface="+mn-ea"/>
                  <a:cs typeface="+mn-cs"/>
                </a:rPr>
                <a:t>novca</a:t>
              </a:r>
              <a:r>
                <a:rPr lang="hr-HR" sz="1100" i="0" baseline="0">
                  <a:solidFill>
                    <a:schemeClr val="dk1"/>
                  </a:solidFill>
                  <a:effectLst/>
                  <a:latin typeface="+mn-lt"/>
                  <a:ea typeface="+mn-ea"/>
                  <a:cs typeface="+mn-cs"/>
                </a:rPr>
                <a:t> od </a:t>
              </a:r>
              <a:r>
                <a:rPr lang="hr-HR" sz="1100" b="1" i="0" baseline="0">
                  <a:solidFill>
                    <a:schemeClr val="dk1"/>
                  </a:solidFill>
                  <a:effectLst/>
                  <a:latin typeface="+mn-lt"/>
                  <a:ea typeface="+mn-ea"/>
                  <a:cs typeface="+mn-cs"/>
                </a:rPr>
                <a:t>banke</a:t>
              </a:r>
              <a:r>
                <a:rPr lang="hr-HR" sz="1100" i="0" baseline="0">
                  <a:solidFill>
                    <a:schemeClr val="dk1"/>
                  </a:solidFill>
                  <a:effectLst/>
                  <a:latin typeface="+mn-lt"/>
                  <a:ea typeface="+mn-ea"/>
                  <a:cs typeface="+mn-cs"/>
                </a:rPr>
                <a:t> uz </a:t>
              </a:r>
              <a:r>
                <a:rPr lang="hr-HR" sz="1100" b="1" i="0" baseline="0">
                  <a:solidFill>
                    <a:schemeClr val="dk1"/>
                  </a:solidFill>
                  <a:effectLst/>
                  <a:latin typeface="+mn-lt"/>
                  <a:ea typeface="+mn-ea"/>
                  <a:cs typeface="+mn-cs"/>
                </a:rPr>
                <a:t>određenu kamatu</a:t>
              </a:r>
              <a:r>
                <a:rPr lang="hr-HR" sz="1100" i="0" baseline="0">
                  <a:solidFill>
                    <a:schemeClr val="dk1"/>
                  </a:solidFill>
                  <a:effectLst/>
                  <a:latin typeface="+mn-lt"/>
                  <a:ea typeface="+mn-ea"/>
                  <a:cs typeface="+mn-cs"/>
                </a:rPr>
                <a:t>. Zajam je bilo kakva pozajmica, npr. posudba novca od osiguravajuće kuće ili nekog predmeta od bilo koje fizičke ili pravne osobe. Zajam može biti vraćen uz kamatu, ali i ne mora. Svaki kredit je zajam, ali obrnuto ne vrijedi.</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Mi nećemo raditi razliku između zajma i kredita, već ćemo se baviti načinom njihove otplate.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Najčešća metoda otplate je </a:t>
              </a:r>
              <a:r>
                <a:rPr lang="hr-HR" sz="1100" b="1" i="0" baseline="0">
                  <a:solidFill>
                    <a:schemeClr val="dk1"/>
                  </a:solidFill>
                  <a:effectLst/>
                  <a:latin typeface="+mn-lt"/>
                  <a:ea typeface="+mn-ea"/>
                  <a:cs typeface="+mn-cs"/>
                </a:rPr>
                <a:t>metoda jednakim anuitetima</a:t>
              </a:r>
              <a:r>
                <a:rPr lang="hr-HR" sz="1100" i="0" baseline="0">
                  <a:solidFill>
                    <a:schemeClr val="dk1"/>
                  </a:solidFill>
                  <a:effectLst/>
                  <a:latin typeface="+mn-lt"/>
                  <a:ea typeface="+mn-ea"/>
                  <a:cs typeface="+mn-cs"/>
                </a:rPr>
                <a:t>/obrocima.</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𝑟</a:t>
              </a:r>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Svaki anuitet </a:t>
              </a: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sastoji se od 2 dijela: otplate kamate </a:t>
              </a: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i otplatne kvote </a:t>
              </a: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Za posuđen iznos zajma </a:t>
              </a: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zadanu kamatnu stopu </a:t>
              </a: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broj razdoblja </a:t>
              </a: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anuitet </a:t>
              </a:r>
              <a:r>
                <a:rPr lang="hr-HR" sz="1100" b="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računa se izrazom</a:t>
              </a:r>
            </a:p>
            <a:p>
              <a:pPr marL="0" marR="0" lvl="0" indent="0" defTabSz="914400" eaLnBrk="1" fontAlgn="auto" latinLnBrk="0" hangingPunct="1">
                <a:lnSpc>
                  <a:spcPct val="100000"/>
                </a:lnSpc>
                <a:spcBef>
                  <a:spcPts val="0"/>
                </a:spcBef>
                <a:spcAft>
                  <a:spcPts val="0"/>
                </a:spcAft>
                <a:buClrTx/>
                <a:buSzTx/>
                <a:buFontTx/>
                <a:buNone/>
                <a:tabLst/>
                <a:defRPr/>
              </a:pPr>
              <a:r>
                <a:rPr lang="hr-HR" sz="1100" b="0" baseline="0">
                  <a:solidFill>
                    <a:schemeClr val="dk1"/>
                  </a:solidFill>
                  <a:effectLst/>
                  <a:ea typeface="+mn-ea"/>
                  <a:cs typeface="+mn-cs"/>
                </a:rPr>
                <a:t>a</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"∙(𝑟^𝑛∙(𝑟−1))/(𝑟^𝑛−1)</a:t>
              </a:r>
              <a:r>
                <a:rPr lang="hr-HR" sz="1100" i="0" baseline="0">
                  <a:solidFill>
                    <a:schemeClr val="dk1"/>
                  </a:solidFill>
                  <a:effectLst/>
                  <a:latin typeface="+mn-lt"/>
                  <a:ea typeface="+mn-ea"/>
                  <a:cs typeface="+mn-cs"/>
                </a:rPr>
                <a:t>. Uočite identičan izraz za početnu vrijednost više uplata/isplata postnumerando </a:t>
              </a:r>
              <a:r>
                <a:rPr lang="hr-HR" sz="1100" b="0" i="0" baseline="0">
                  <a:solidFill>
                    <a:schemeClr val="dk1"/>
                  </a:solidFill>
                  <a:effectLst/>
                  <a:latin typeface="Cambria Math" panose="02040503050406030204" pitchFamily="18" charset="0"/>
                  <a:ea typeface="+mn-ea"/>
                  <a:cs typeface="+mn-cs"/>
                </a:rPr>
                <a:t>𝑅=𝐴_𝑛∙(𝑟^𝑛∙(𝑟−1))/(𝑟^𝑛−1)</a:t>
              </a:r>
              <a:r>
                <a:rPr lang="hr-HR" sz="1100" i="0" baseline="0">
                  <a:solidFill>
                    <a:schemeClr val="dk1"/>
                  </a:solidFill>
                  <a:effectLst/>
                  <a:latin typeface="+mn-lt"/>
                  <a:ea typeface="+mn-ea"/>
                  <a:cs typeface="+mn-cs"/>
                </a:rPr>
                <a:t>. I kod zajma također imamo veliki početni iznos </a:t>
              </a: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koji vraćamo u više jednakih obroka </a:t>
              </a:r>
              <a:r>
                <a:rPr lang="hr-HR" sz="1100" b="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U excelu se vrijednost anuiteta </a:t>
              </a: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računa baš poput iznosa jednake rate </a:t>
              </a:r>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u prethodnoj lekciji.</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Koristimo naredbu PAYMENT i i upisujemo 5 podataka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anuiteti trebaju računati na 2 decimale pa prilagodimo formulu i pišemo </a:t>
              </a:r>
              <a:r>
                <a:rPr lang="hr-HR" sz="1100" b="1" baseline="0">
                  <a:solidFill>
                    <a:schemeClr val="dk1"/>
                  </a:solidFill>
                  <a:effectLst/>
                  <a:latin typeface="+mn-lt"/>
                  <a:ea typeface="+mn-ea"/>
                  <a:cs typeface="+mn-cs"/>
                </a:rPr>
                <a:t>=ROUND(PMT(kamatna stopa (%); broj razdoblja; iznos kredita </a:t>
              </a:r>
              <a:r>
                <a:rPr lang="hr-HR" sz="1100" b="1" i="0" baseline="0">
                  <a:solidFill>
                    <a:schemeClr val="dk1"/>
                  </a:solidFill>
                  <a:effectLst/>
                  <a:latin typeface="Cambria Math" panose="02040503050406030204" pitchFamily="18" charset="0"/>
                  <a:ea typeface="+mn-ea"/>
                  <a:cs typeface="+mn-cs"/>
                </a:rPr>
                <a:t>𝑪_𝟎</a:t>
              </a:r>
              <a:r>
                <a:rPr lang="hr-HR" sz="1100" b="1" i="0" baseline="0">
                  <a:solidFill>
                    <a:schemeClr val="dk1"/>
                  </a:solidFill>
                  <a:effectLst/>
                  <a:latin typeface="+mn-lt"/>
                  <a:ea typeface="+mn-ea"/>
                  <a:cs typeface="+mn-cs"/>
                </a:rPr>
                <a:t> </a:t>
              </a:r>
              <a:r>
                <a:rPr lang="hr-HR" sz="1100" b="1" i="0" baseline="0">
                  <a:solidFill>
                    <a:schemeClr val="dk1"/>
                  </a:solidFill>
                  <a:effectLst/>
                  <a:latin typeface="Cambria Math" panose="02040503050406030204" pitchFamily="18" charset="0"/>
                  <a:ea typeface="+mn-ea"/>
                  <a:cs typeface="+mn-cs"/>
                </a:rPr>
                <a:t>" </a:t>
              </a:r>
              <a:r>
                <a:rPr lang="en-US" sz="1100" b="1" i="0" baseline="0">
                  <a:solidFill>
                    <a:schemeClr val="dk1"/>
                  </a:solidFill>
                  <a:effectLst/>
                  <a:latin typeface="+mn-lt"/>
                  <a:ea typeface="+mn-ea"/>
                  <a:cs typeface="+mn-cs"/>
                </a:rPr>
                <a:t>"</a:t>
              </a:r>
              <a:r>
                <a:rPr lang="hr-HR" sz="1100" b="1" baseline="0">
                  <a:solidFill>
                    <a:schemeClr val="dk1"/>
                  </a:solidFill>
                  <a:effectLst/>
                  <a:latin typeface="+mn-lt"/>
                  <a:ea typeface="+mn-ea"/>
                  <a:cs typeface="+mn-cs"/>
                </a:rPr>
                <a:t>; mogući ostatak duga; 0);2)</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Ako je poznat iznos anuiteta </a:t>
              </a:r>
              <a:r>
                <a:rPr lang="hr-HR" sz="1100" i="0" baseline="0">
                  <a:solidFill>
                    <a:schemeClr val="dk1"/>
                  </a:solidFill>
                  <a:effectLst/>
                  <a:latin typeface="Cambria Math" panose="02040503050406030204" pitchFamily="18" charset="0"/>
                  <a:ea typeface="+mn-ea"/>
                  <a:cs typeface="+mn-cs"/>
                </a:rPr>
                <a:t>𝑎</a:t>
              </a:r>
              <a:r>
                <a:rPr lang="hr-HR">
                  <a:effectLst/>
                </a:rPr>
                <a:t> tada iznos zajma</a:t>
              </a:r>
              <a:r>
                <a:rPr lang="hr-HR" baseline="0">
                  <a:effectLst/>
                </a:rPr>
                <a:t> </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a:effectLst/>
                </a:rPr>
                <a:t>možemo izračunati</a:t>
              </a:r>
              <a:r>
                <a:rPr lang="hr-HR" baseline="0">
                  <a:effectLst/>
                </a:rPr>
                <a:t> </a:t>
              </a:r>
              <a:r>
                <a:rPr lang="hr-HR" sz="1100" b="0" i="0" baseline="0">
                  <a:solidFill>
                    <a:schemeClr val="dk1"/>
                  </a:solidFill>
                  <a:effectLst/>
                  <a:latin typeface="Cambria Math" panose="02040503050406030204" pitchFamily="18" charset="0"/>
                  <a:ea typeface="+mn-ea"/>
                  <a:cs typeface="+mn-cs"/>
                </a:rPr>
                <a:t>𝐶_0=𝑎∙(𝑟^𝑛−1)/(𝑟^𝑛∙(𝑟−1) )</a:t>
              </a:r>
              <a:r>
                <a:rPr lang="hr-HR">
                  <a:effectLst/>
                </a:rPr>
                <a:t>, a u excelu</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=PV(kamatna stopa %; broj razdoblja; iznos obroka;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iznos kredita treba računati na 2 decimale pa prilagodimo formulu i pišemo</a:t>
              </a:r>
            </a:p>
            <a:p>
              <a:pPr marL="0" marR="0" lvl="0" indent="0" defTabSz="914400" eaLnBrk="1" fontAlgn="auto" latinLnBrk="0" hangingPunct="1">
                <a:lnSpc>
                  <a:spcPct val="100000"/>
                </a:lnSpc>
                <a:spcBef>
                  <a:spcPts val="0"/>
                </a:spcBef>
                <a:spcAft>
                  <a:spcPts val="0"/>
                </a:spcAft>
                <a:buClrTx/>
                <a:buSzTx/>
                <a:buFontTx/>
                <a:buNone/>
                <a:tabLst/>
                <a:defRPr/>
              </a:pPr>
              <a:r>
                <a:rPr lang="hr-HR" sz="1100" b="1" baseline="0">
                  <a:solidFill>
                    <a:schemeClr val="dk1"/>
                  </a:solidFill>
                  <a:effectLst/>
                  <a:latin typeface="+mn-lt"/>
                  <a:ea typeface="+mn-ea"/>
                  <a:cs typeface="+mn-cs"/>
                </a:rPr>
                <a:t>=ROUND(PV(kamatna stopa %; broj razdoblja; iznos obroka; eventualni ostatak duga;0);2)</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iznose anuiteta </a:t>
              </a:r>
              <a:r>
                <a:rPr lang="hr-HR" sz="1100" i="0" baseline="0">
                  <a:solidFill>
                    <a:schemeClr val="dk1"/>
                  </a:solidFill>
                  <a:effectLst/>
                  <a:latin typeface="Cambria Math" panose="02040503050406030204" pitchFamily="18" charset="0"/>
                  <a:ea typeface="+mn-ea"/>
                  <a:cs typeface="+mn-cs"/>
                </a:rPr>
                <a:t>𝑎</a:t>
              </a:r>
              <a:r>
                <a:rPr lang="hr-HR">
                  <a:effectLst/>
                </a:rPr>
                <a:t> upisujemo s negativnim</a:t>
              </a:r>
              <a:r>
                <a:rPr lang="hr-HR" baseline="0">
                  <a:effectLst/>
                </a:rPr>
                <a:t> predznakom, jer ga mi plaćamo, a iznos zajma/kredita </a:t>
              </a:r>
              <a:r>
                <a:rPr lang="hr-HR" sz="1100" b="0" i="0" baseline="0">
                  <a:solidFill>
                    <a:schemeClr val="dk1"/>
                  </a:solidFill>
                  <a:effectLst/>
                  <a:latin typeface="Cambria Math" panose="02040503050406030204" pitchFamily="18" charset="0"/>
                  <a:ea typeface="+mn-ea"/>
                  <a:cs typeface="+mn-cs"/>
                </a:rPr>
                <a:t>𝐶_0</a:t>
              </a:r>
              <a:r>
                <a:rPr lang="hr-HR" baseline="0">
                  <a:effectLst/>
                </a:rPr>
                <a:t> pozitivnim jer taj iznos dobivamo.</a:t>
              </a:r>
            </a:p>
          </xdr:txBody>
        </xdr:sp>
      </mc:Fallback>
    </mc:AlternateContent>
    <xdr:clientData/>
  </xdr:twoCellAnchor>
  <xdr:twoCellAnchor>
    <xdr:from>
      <xdr:col>1</xdr:col>
      <xdr:colOff>0</xdr:colOff>
      <xdr:row>130</xdr:row>
      <xdr:rowOff>0</xdr:rowOff>
    </xdr:from>
    <xdr:to>
      <xdr:col>12</xdr:col>
      <xdr:colOff>47798</xdr:colOff>
      <xdr:row>163</xdr:row>
      <xdr:rowOff>89536</xdr:rowOff>
    </xdr:to>
    <mc:AlternateContent xmlns:mc="http://schemas.openxmlformats.org/markup-compatibility/2006" xmlns:a14="http://schemas.microsoft.com/office/drawing/2010/main">
      <mc:Choice Requires="a14">
        <xdr:sp macro="" textlink="">
          <xdr:nvSpPr>
            <xdr:cNvPr id="5" name="TekstniOkvir 4">
              <a:extLst>
                <a:ext uri="{FF2B5EF4-FFF2-40B4-BE49-F238E27FC236}">
                  <a16:creationId xmlns:a16="http://schemas.microsoft.com/office/drawing/2014/main" id="{42EE85FB-F96A-4868-9AF2-A2744A542F74}"/>
                </a:ext>
              </a:extLst>
            </xdr:cNvPr>
            <xdr:cNvSpPr txBox="1"/>
          </xdr:nvSpPr>
          <xdr:spPr>
            <a:xfrm>
              <a:off x="609600" y="23939500"/>
              <a:ext cx="6753398" cy="616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podsjeća na KAIRO.</a:t>
              </a:r>
            </a:p>
            <a:p>
              <a14:m>
                <m:oMath xmlns:m="http://schemas.openxmlformats.org/officeDocument/2006/math">
                  <m:r>
                    <a:rPr lang="hr-HR" sz="1100" b="0" i="1">
                      <a:latin typeface="Cambria Math" panose="02040503050406030204" pitchFamily="18" charset="0"/>
                    </a:rPr>
                    <m:t>𝑘</m:t>
                  </m:r>
                </m:oMath>
              </a14:m>
              <a:r>
                <a:rPr lang="hr-HR" sz="1100"/>
                <a:t> je redni broj anuiteta, kreće od broja 0</a:t>
              </a:r>
            </a:p>
            <a:p>
              <a14:m>
                <m:oMath xmlns:m="http://schemas.openxmlformats.org/officeDocument/2006/math">
                  <m:r>
                    <a:rPr lang="hr-HR" sz="1100" b="0" i="1">
                      <a:latin typeface="Cambria Math" panose="02040503050406030204" pitchFamily="18" charset="0"/>
                    </a:rPr>
                    <m:t>𝑎</m:t>
                  </m:r>
                </m:oMath>
              </a14:m>
              <a:r>
                <a:rPr lang="hr-HR" sz="1100"/>
                <a:t> iznos</a:t>
              </a:r>
              <a:r>
                <a:rPr lang="hr-HR" sz="1100" baseline="0"/>
                <a:t> anuiteta (unesite s pozitivnim predznakom)</a:t>
              </a: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otplatna kvota (otplata glavnice) u k-tom otplatnom razdoblju</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anuiteta </a:t>
              </a:r>
              <a14:m>
                <m:oMath xmlns:m="http://schemas.openxmlformats.org/officeDocument/2006/math">
                  <m:r>
                    <a:rPr lang="hr-HR" sz="1100" b="0" i="1" baseline="0">
                      <a:latin typeface="Cambria Math" panose="02040503050406030204" pitchFamily="18" charset="0"/>
                    </a:rPr>
                    <m:t>𝑎</m:t>
                  </m:r>
                </m:oMath>
              </a14:m>
              <a:r>
                <a:rPr lang="hr-HR" sz="1100" baseline="0"/>
                <a:t> za sva razdoblja otplate, ali u pozitivnom iznosu.</a:t>
              </a:r>
            </a:p>
            <a:p>
              <a:r>
                <a:rPr lang="hr-HR" sz="1100" baseline="0"/>
                <a:t>Popunjavanje 1. retka:</a:t>
              </a:r>
            </a:p>
            <a:p>
              <a:r>
                <a:rPr lang="hr-HR" sz="1100" baseline="0"/>
                <a:t>Kamata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Cambria Math" panose="02040503050406030204" pitchFamily="18" charset="0"/>
                      <a:cs typeface="+mn-cs"/>
                    </a:rPr>
                    <m:t>∙</m:t>
                  </m:r>
                  <m:r>
                    <a:rPr lang="hr-HR" sz="1100" b="0" i="1" baseline="0">
                      <a:solidFill>
                        <a:schemeClr val="dk1"/>
                      </a:solidFill>
                      <a:effectLst/>
                      <a:latin typeface="Cambria Math" panose="02040503050406030204" pitchFamily="18" charset="0"/>
                      <a:ea typeface="Cambria Math" panose="02040503050406030204" pitchFamily="18" charset="0"/>
                      <a:cs typeface="+mn-cs"/>
                    </a:rPr>
                    <m:t>𝑝</m:t>
                  </m:r>
                  <m:r>
                    <a:rPr lang="en-US" sz="1100" b="0" i="1" baseline="0">
                      <a:solidFill>
                        <a:schemeClr val="dk1"/>
                      </a:solidFill>
                      <a:effectLst/>
                      <a:latin typeface="Cambria Math" panose="02040503050406030204" pitchFamily="18" charset="0"/>
                      <a:ea typeface="Cambria Math" panose="02040503050406030204" pitchFamily="18" charset="0"/>
                      <a:cs typeface="+mn-cs"/>
                    </a:rPr>
                    <m:t>;2)</m:t>
                  </m:r>
                </m:oMath>
              </a14:m>
              <a:r>
                <a:rPr lang="hr-HR" sz="1100" i="0" baseline="0">
                  <a:solidFill>
                    <a:schemeClr val="dk1"/>
                  </a:solidFill>
                  <a:effectLst/>
                  <a:latin typeface="+mn-lt"/>
                  <a:ea typeface="+mn-ea"/>
                  <a:cs typeface="+mn-cs"/>
                </a:rPr>
                <a:t>. (jer je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zapisan kao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=5%</m:t>
                  </m:r>
                </m:oMath>
              </a14:m>
              <a:r>
                <a:rPr lang="hr-HR" sz="1100" i="0" baseline="0">
                  <a:solidFill>
                    <a:schemeClr val="dk1"/>
                  </a:solidFill>
                  <a:effectLst/>
                  <a:latin typeface="+mn-lt"/>
                  <a:ea typeface="+mn-ea"/>
                  <a:cs typeface="+mn-cs"/>
                </a:rPr>
                <a:t> što je jednako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=0,05</m:t>
                  </m:r>
                </m:oMath>
              </a14:m>
              <a:r>
                <a:rPr lang="hr-HR" sz="1100" i="0" baseline="0">
                  <a:solidFill>
                    <a:schemeClr val="dk1"/>
                  </a:solidFill>
                  <a:effectLst/>
                  <a:latin typeface="+mn-lt"/>
                  <a:ea typeface="+mn-ea"/>
                  <a:cs typeface="+mn-cs"/>
                </a:rPr>
                <a:t> pa nema potrebe dijeliti izraz sa 100 i koristiti formulu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100</m:t>
                      </m:r>
                    </m:den>
                  </m:f>
                </m:oMath>
              </a14:m>
              <a:r>
                <a:rPr lang="hr-HR" sz="1100"/>
                <a:t>). Napomena:</a:t>
              </a:r>
              <a:r>
                <a:rPr lang="hr-HR" sz="1100" baseline="0"/>
                <a:t> koristite naredbu </a:t>
              </a:r>
              <a:r>
                <a:rPr lang="hr-HR" sz="1100" b="1" baseline="0"/>
                <a:t>=ROUND(   ;2)</a:t>
              </a:r>
              <a:endParaRPr lang="hr-HR" sz="1100" b="1"/>
            </a:p>
            <a:p>
              <a:r>
                <a:rPr lang="hr-HR" sz="1100"/>
                <a:t>Otplatna kvota je otplata glavnice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r>
                <a:rPr lang="hr-HR" sz="1100"/>
                <a:t>Ostatak duga nakon</a:t>
              </a:r>
              <a:r>
                <a:rPr lang="hr-HR" sz="1100" baseline="0"/>
                <a:t> prvog otplaćenog anuiteta iznosi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endParaRPr lang="hr-HR" sz="1100"/>
            </a:p>
            <a:p>
              <a:r>
                <a:rPr lang="hr-HR" sz="1100"/>
                <a:t>Nakon toga se</a:t>
              </a:r>
              <a:r>
                <a:rPr lang="hr-HR" sz="1100" baseline="0"/>
                <a:t> popunjavaju ostali retci: </a:t>
              </a:r>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a:rPr lang="en-US" sz="1100" b="0" i="1" baseline="0">
                        <a:solidFill>
                          <a:schemeClr val="dk1"/>
                        </a:solidFill>
                        <a:effectLst/>
                        <a:latin typeface="Cambria Math" panose="02040503050406030204" pitchFamily="18" charset="0"/>
                        <a:ea typeface="+mn-ea"/>
                        <a:cs typeface="+mn-cs"/>
                      </a:rPr>
                      <m:t>;2)</m:t>
                    </m:r>
                  </m:oMath>
                </m:oMathPara>
              </a14:m>
              <a:endParaRPr lang="hr-HR" sz="1100"/>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m:oMathPara>
              </a14:m>
              <a:endParaRPr lang="hr-HR" sz="1100"/>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a:t>.</a:t>
              </a:r>
            </a:p>
            <a:p>
              <a:r>
                <a:rPr lang="hr-HR" sz="1100"/>
                <a:t>U excelu je dovoljno popuniti prvi redak</a:t>
              </a:r>
              <a:r>
                <a:rPr lang="hr-HR" sz="1100" baseline="0"/>
                <a:t> i potom kopirati/razvući u ostale retke. Pazite da usidrite s F4 odgovarajuće podatke (kamatnu stopu).</a:t>
              </a:r>
            </a:p>
            <a:p>
              <a:endParaRPr lang="hr-HR" sz="1100" baseline="0"/>
            </a:p>
            <a:p>
              <a:r>
                <a:rPr lang="hr-HR" sz="1100" baseline="0"/>
                <a:t>PROVJERA TABLICE:</a:t>
              </a:r>
            </a:p>
            <a:p>
              <a:r>
                <a:rPr lang="hr-HR" sz="1100" baseline="0"/>
                <a:t>zadnji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t> treba biti jednak nula</a:t>
              </a:r>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latin typeface="Cambria Math" panose="02040503050406030204" pitchFamily="18" charset="0"/>
                          </a:rPr>
                        </m:ctrlPr>
                      </m:naryPr>
                      <m:sub/>
                      <m:sup/>
                      <m:e>
                        <m:sSub>
                          <m:sSubPr>
                            <m:ctrlPr>
                              <a:rPr lang="hr-HR" sz="1100" i="1" baseline="0">
                                <a:latin typeface="Cambria Math" panose="02040503050406030204" pitchFamily="18" charset="0"/>
                              </a:rPr>
                            </m:ctrlPr>
                          </m:sSubPr>
                          <m:e>
                            <m:r>
                              <a:rPr lang="hr-HR" sz="1100" b="0" i="1" baseline="0">
                                <a:latin typeface="Cambria Math" panose="02040503050406030204" pitchFamily="18" charset="0"/>
                              </a:rPr>
                              <m:t>𝑅</m:t>
                            </m:r>
                          </m:e>
                          <m:sub>
                            <m:r>
                              <a:rPr lang="hr-HR" sz="1100" b="0" i="1" baseline="0">
                                <a:latin typeface="Cambria Math" panose="02040503050406030204" pitchFamily="18" charset="0"/>
                              </a:rPr>
                              <m:t>𝑘</m:t>
                            </m:r>
                          </m:sub>
                        </m:sSub>
                      </m:e>
                    </m:nary>
                    <m:r>
                      <a:rPr lang="hr-HR" sz="1100" b="0" i="1" baseline="0">
                        <a:latin typeface="Cambria Math" panose="02040503050406030204" pitchFamily="18" charset="0"/>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m:oMathPara>
              </a14:m>
              <a:endParaRPr lang="hr-HR" sz="1100" baseline="0"/>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r>
                          <a:rPr lang="hr-HR" sz="1100" i="1" baseline="0">
                            <a:solidFill>
                              <a:schemeClr val="dk1"/>
                            </a:solidFill>
                            <a:effectLst/>
                            <a:latin typeface="Cambria Math" panose="02040503050406030204" pitchFamily="18" charset="0"/>
                            <a:ea typeface="+mn-ea"/>
                            <a:cs typeface="+mn-cs"/>
                          </a:rPr>
                          <m:t>𝑎</m:t>
                        </m:r>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e>
                    </m:nary>
                  </m:oMath>
                </m:oMathPara>
              </a14:m>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Choice>
      <mc:Fallback xmlns="">
        <xdr:sp macro="" textlink="">
          <xdr:nvSpPr>
            <xdr:cNvPr id="5" name="TekstniOkvir 4">
              <a:extLst>
                <a:ext uri="{FF2B5EF4-FFF2-40B4-BE49-F238E27FC236}">
                  <a16:creationId xmlns:a16="http://schemas.microsoft.com/office/drawing/2014/main" id="{42EE85FB-F96A-4868-9AF2-A2744A542F74}"/>
                </a:ext>
              </a:extLst>
            </xdr:cNvPr>
            <xdr:cNvSpPr txBox="1"/>
          </xdr:nvSpPr>
          <xdr:spPr>
            <a:xfrm>
              <a:off x="609600" y="23939500"/>
              <a:ext cx="6753398" cy="616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podsjeća na KAIRO.</a:t>
              </a:r>
            </a:p>
            <a:p>
              <a:r>
                <a:rPr lang="hr-HR" sz="1100" b="0" i="0">
                  <a:latin typeface="Cambria Math" panose="02040503050406030204" pitchFamily="18" charset="0"/>
                </a:rPr>
                <a:t>𝑘</a:t>
              </a:r>
              <a:r>
                <a:rPr lang="hr-HR" sz="1100"/>
                <a:t> je redni broj anuiteta, kreće od broja 0</a:t>
              </a:r>
            </a:p>
            <a:p>
              <a:r>
                <a:rPr lang="hr-HR" sz="1100" b="0" i="0">
                  <a:latin typeface="Cambria Math" panose="02040503050406030204" pitchFamily="18" charset="0"/>
                </a:rPr>
                <a:t>𝑎</a:t>
              </a:r>
              <a:r>
                <a:rPr lang="hr-HR" sz="1100"/>
                <a:t> iznos</a:t>
              </a:r>
              <a:r>
                <a:rPr lang="hr-HR" sz="1100" baseline="0"/>
                <a:t> anuiteta (unesite s pozitivnim predznakom)</a:t>
              </a:r>
            </a:p>
            <a:p>
              <a:pPr eaLnBrk="1" fontAlgn="auto" latinLnBrk="0" hangingPunct="1"/>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 otplatna kvota (otplata glavnice) u k-tom otplatnom razdoblju</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𝐶_𝑘</a:t>
              </a:r>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anuiteta </a:t>
              </a:r>
              <a:r>
                <a:rPr lang="hr-HR" sz="1100" b="0" i="0" baseline="0">
                  <a:latin typeface="Cambria Math" panose="02040503050406030204" pitchFamily="18" charset="0"/>
                </a:rPr>
                <a:t>𝑎</a:t>
              </a:r>
              <a:r>
                <a:rPr lang="hr-HR" sz="1100" baseline="0"/>
                <a:t> za sva razdoblja otplate, ali u pozitivnom iznosu.</a:t>
              </a:r>
            </a:p>
            <a:p>
              <a:r>
                <a:rPr lang="hr-HR" sz="1100" baseline="0"/>
                <a:t>Popunjavanje 1. retka:</a:t>
              </a:r>
            </a:p>
            <a:p>
              <a:r>
                <a:rPr lang="hr-HR" sz="1100" baseline="0"/>
                <a:t>Kamata </a:t>
              </a:r>
              <a:r>
                <a:rPr lang="hr-HR" sz="1100" b="0" i="0" baseline="0">
                  <a:solidFill>
                    <a:schemeClr val="dk1"/>
                  </a:solidFill>
                  <a:effectLst/>
                  <a:latin typeface="Cambria Math" panose="02040503050406030204" pitchFamily="18" charset="0"/>
                  <a:ea typeface="+mn-ea"/>
                  <a:cs typeface="+mn-cs"/>
                </a:rPr>
                <a:t>𝐼_1=</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Cambria Math" panose="02040503050406030204" pitchFamily="18" charset="0"/>
                  <a:ea typeface="Cambria Math" panose="02040503050406030204" pitchFamily="18" charset="0"/>
                  <a:cs typeface="+mn-cs"/>
                </a:rPr>
                <a:t>∙𝑝</a:t>
              </a:r>
              <a:r>
                <a:rPr lang="en-US" sz="1100" b="0" i="0" baseline="0">
                  <a:solidFill>
                    <a:schemeClr val="dk1"/>
                  </a:solidFill>
                  <a:effectLst/>
                  <a:latin typeface="Cambria Math" panose="02040503050406030204" pitchFamily="18" charset="0"/>
                  <a:ea typeface="Cambria Math" panose="02040503050406030204" pitchFamily="18" charset="0"/>
                  <a:cs typeface="+mn-cs"/>
                </a:rPr>
                <a:t>;2)</a:t>
              </a:r>
              <a:r>
                <a:rPr lang="hr-HR" sz="1100" i="0" baseline="0">
                  <a:solidFill>
                    <a:schemeClr val="dk1"/>
                  </a:solidFill>
                  <a:effectLst/>
                  <a:latin typeface="+mn-lt"/>
                  <a:ea typeface="+mn-ea"/>
                  <a:cs typeface="+mn-cs"/>
                </a:rPr>
                <a:t>. (jer je </a:t>
              </a:r>
              <a:r>
                <a:rPr lang="hr-HR" sz="1100" b="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zapisan kao </a:t>
              </a:r>
              <a:r>
                <a:rPr lang="hr-HR" sz="1100" b="0" i="0" baseline="0">
                  <a:solidFill>
                    <a:schemeClr val="dk1"/>
                  </a:solidFill>
                  <a:effectLst/>
                  <a:latin typeface="Cambria Math" panose="02040503050406030204" pitchFamily="18" charset="0"/>
                  <a:ea typeface="+mn-ea"/>
                  <a:cs typeface="+mn-cs"/>
                </a:rPr>
                <a:t>𝑝=5%</a:t>
              </a:r>
              <a:r>
                <a:rPr lang="hr-HR" sz="1100" i="0" baseline="0">
                  <a:solidFill>
                    <a:schemeClr val="dk1"/>
                  </a:solidFill>
                  <a:effectLst/>
                  <a:latin typeface="+mn-lt"/>
                  <a:ea typeface="+mn-ea"/>
                  <a:cs typeface="+mn-cs"/>
                </a:rPr>
                <a:t> što je jednako </a:t>
              </a:r>
              <a:r>
                <a:rPr lang="hr-HR" sz="1100" b="0" i="0" baseline="0">
                  <a:solidFill>
                    <a:schemeClr val="dk1"/>
                  </a:solidFill>
                  <a:effectLst/>
                  <a:latin typeface="Cambria Math" panose="02040503050406030204" pitchFamily="18" charset="0"/>
                  <a:ea typeface="+mn-ea"/>
                  <a:cs typeface="+mn-cs"/>
                </a:rPr>
                <a:t>𝑝=0,05</a:t>
              </a:r>
              <a:r>
                <a:rPr lang="hr-HR" sz="1100" i="0" baseline="0">
                  <a:solidFill>
                    <a:schemeClr val="dk1"/>
                  </a:solidFill>
                  <a:effectLst/>
                  <a:latin typeface="+mn-lt"/>
                  <a:ea typeface="+mn-ea"/>
                  <a:cs typeface="+mn-cs"/>
                </a:rPr>
                <a:t> pa nema potrebe dijeliti izraz sa 100 i koristiti formulu </a:t>
              </a:r>
              <a:r>
                <a:rPr lang="hr-HR" sz="1100" b="0" i="0" baseline="0">
                  <a:solidFill>
                    <a:schemeClr val="dk1"/>
                  </a:solidFill>
                  <a:effectLst/>
                  <a:latin typeface="Cambria Math" panose="02040503050406030204" pitchFamily="18" charset="0"/>
                  <a:ea typeface="+mn-ea"/>
                  <a:cs typeface="+mn-cs"/>
                </a:rPr>
                <a:t>𝐼_1=(𝐶_0∙𝑝</a:t>
              </a:r>
              <a:r>
                <a:rPr lang="hr-HR" sz="1100" b="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)/100</a:t>
              </a:r>
              <a:r>
                <a:rPr lang="hr-HR" sz="1100"/>
                <a:t>). Napomena:</a:t>
              </a:r>
              <a:r>
                <a:rPr lang="hr-HR" sz="1100" baseline="0"/>
                <a:t> koristite naredbu </a:t>
              </a:r>
              <a:r>
                <a:rPr lang="hr-HR" sz="1100" b="1" baseline="0"/>
                <a:t>=ROUND(   ;2)</a:t>
              </a:r>
              <a:endParaRPr lang="hr-HR" sz="1100" b="1"/>
            </a:p>
            <a:p>
              <a:r>
                <a:rPr lang="hr-HR" sz="1100"/>
                <a:t>Otplatna kvota je otplata glavnice </a:t>
              </a:r>
              <a:r>
                <a:rPr lang="hr-HR" sz="1100" b="0" i="0" baseline="0">
                  <a:solidFill>
                    <a:schemeClr val="dk1"/>
                  </a:solidFill>
                  <a:effectLst/>
                  <a:latin typeface="Cambria Math" panose="02040503050406030204" pitchFamily="18" charset="0"/>
                  <a:ea typeface="+mn-ea"/>
                  <a:cs typeface="+mn-cs"/>
                </a:rPr>
                <a:t>𝑅_1=</a:t>
              </a: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−𝐼_1</a:t>
              </a:r>
              <a:r>
                <a:rPr lang="hr-HR" sz="1100"/>
                <a:t>.</a:t>
              </a:r>
            </a:p>
            <a:p>
              <a:r>
                <a:rPr lang="hr-HR" sz="1100"/>
                <a:t>Ostatak duga nakon</a:t>
              </a:r>
              <a:r>
                <a:rPr lang="hr-HR" sz="1100" baseline="0"/>
                <a:t> prvog otplaćenog anuiteta iznosi </a:t>
              </a:r>
              <a:r>
                <a:rPr lang="hr-HR" sz="1100" b="0" i="0" baseline="0">
                  <a:solidFill>
                    <a:schemeClr val="dk1"/>
                  </a:solidFill>
                  <a:effectLst/>
                  <a:latin typeface="Cambria Math" panose="02040503050406030204" pitchFamily="18" charset="0"/>
                  <a:ea typeface="+mn-ea"/>
                  <a:cs typeface="+mn-cs"/>
                </a:rPr>
                <a:t>𝐶_1=𝐶_0−𝑅_1</a:t>
              </a:r>
              <a:r>
                <a:rPr lang="hr-HR" sz="1100"/>
                <a:t>.</a:t>
              </a:r>
            </a:p>
            <a:p>
              <a:endParaRPr lang="hr-HR" sz="1100"/>
            </a:p>
            <a:p>
              <a:r>
                <a:rPr lang="hr-HR" sz="1100"/>
                <a:t>Nakon toga se</a:t>
              </a:r>
              <a:r>
                <a:rPr lang="hr-HR" sz="1100" baseline="0"/>
                <a:t> popunjavaju ostali retci: </a:t>
              </a:r>
            </a:p>
            <a:p>
              <a:pPr/>
              <a:r>
                <a:rPr lang="hr-HR" sz="1100" b="0" i="0" baseline="0">
                  <a:solidFill>
                    <a:schemeClr val="dk1"/>
                  </a:solidFill>
                  <a:effectLst/>
                  <a:latin typeface="Cambria Math" panose="02040503050406030204" pitchFamily="18" charset="0"/>
                  <a:ea typeface="+mn-ea"/>
                  <a:cs typeface="+mn-cs"/>
                </a:rPr>
                <a:t>𝐼_𝑘=</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𝐶_(𝑘−1)∙𝑝</a:t>
              </a:r>
              <a:r>
                <a:rPr lang="en-US" sz="1100" b="0" i="0" baseline="0">
                  <a:solidFill>
                    <a:schemeClr val="dk1"/>
                  </a:solidFill>
                  <a:effectLst/>
                  <a:latin typeface="Cambria Math" panose="02040503050406030204" pitchFamily="18" charset="0"/>
                  <a:ea typeface="+mn-ea"/>
                  <a:cs typeface="+mn-cs"/>
                </a:rPr>
                <a:t>;2)</a:t>
              </a:r>
              <a:endParaRPr lang="hr-HR" sz="1100"/>
            </a:p>
            <a:p>
              <a:pP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−𝐼_𝑘</a:t>
              </a:r>
              <a:endParaRPr lang="hr-HR" sz="1100"/>
            </a:p>
            <a:p>
              <a:r>
                <a:rPr lang="hr-HR" sz="1100" b="0" i="0" baseline="0">
                  <a:solidFill>
                    <a:schemeClr val="dk1"/>
                  </a:solidFill>
                  <a:effectLst/>
                  <a:latin typeface="Cambria Math" panose="02040503050406030204" pitchFamily="18" charset="0"/>
                  <a:ea typeface="+mn-ea"/>
                  <a:cs typeface="+mn-cs"/>
                </a:rPr>
                <a:t>𝐶_𝑘=𝐶_(𝑘−1)−𝑅_𝑘</a:t>
              </a:r>
              <a:r>
                <a:rPr lang="hr-HR" sz="1100"/>
                <a:t>.</a:t>
              </a:r>
            </a:p>
            <a:p>
              <a:r>
                <a:rPr lang="hr-HR" sz="1100"/>
                <a:t>U excelu je dovoljno popuniti prvi redak</a:t>
              </a:r>
              <a:r>
                <a:rPr lang="hr-HR" sz="1100" baseline="0"/>
                <a:t> i potom kopirati/razvući u ostale retke. Pazite da usidrite s F4 odgovarajuće podatke (kamatnu stopu).</a:t>
              </a:r>
            </a:p>
            <a:p>
              <a:endParaRPr lang="hr-HR" sz="1100" baseline="0"/>
            </a:p>
            <a:p>
              <a:r>
                <a:rPr lang="hr-HR" sz="1100" baseline="0"/>
                <a:t>PROVJERA TABLICE:</a:t>
              </a:r>
            </a:p>
            <a:p>
              <a:r>
                <a:rPr lang="hr-HR" sz="1100" baseline="0"/>
                <a:t>zadnji ostatak duga </a:t>
              </a:r>
              <a:r>
                <a:rPr lang="hr-HR" sz="1100" b="0" i="0" baseline="0">
                  <a:solidFill>
                    <a:schemeClr val="dk1"/>
                  </a:solidFill>
                  <a:effectLst/>
                  <a:latin typeface="Cambria Math" panose="02040503050406030204" pitchFamily="18" charset="0"/>
                  <a:ea typeface="+mn-ea"/>
                  <a:cs typeface="+mn-cs"/>
                </a:rPr>
                <a:t>𝐶_𝑛</a:t>
              </a:r>
              <a:r>
                <a:rPr lang="hr-HR" sz="1100" baseline="0"/>
                <a:t> treba biti jednak nula</a:t>
              </a:r>
            </a:p>
            <a:p>
              <a:pPr/>
              <a:r>
                <a:rPr lang="hr-HR" sz="1100" i="0" baseline="0">
                  <a:latin typeface="Cambria Math" panose="02040503050406030204" pitchFamily="18" charset="0"/>
                </a:rPr>
                <a:t>∑</a:t>
              </a:r>
              <a:r>
                <a:rPr lang="hr-HR" sz="1100" b="0" i="0" baseline="0">
                  <a:latin typeface="Cambria Math" panose="02040503050406030204" pitchFamily="18" charset="0"/>
                </a:rPr>
                <a:t>▒𝑅_𝑘 =</a:t>
              </a:r>
              <a:r>
                <a:rPr lang="hr-HR" sz="1100" b="0" i="0" baseline="0">
                  <a:solidFill>
                    <a:schemeClr val="dk1"/>
                  </a:solidFill>
                  <a:effectLst/>
                  <a:latin typeface="Cambria Math" panose="02040503050406030204" pitchFamily="18" charset="0"/>
                  <a:ea typeface="+mn-ea"/>
                  <a:cs typeface="+mn-cs"/>
                </a:rPr>
                <a:t>𝐶_0</a:t>
              </a:r>
              <a:endParaRPr lang="hr-HR" sz="1100" baseline="0"/>
            </a:p>
            <a:p>
              <a:pP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▒𝐼_𝑘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▒𝑅_𝑘 </a:t>
              </a:r>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Fallback>
    </mc:AlternateContent>
    <xdr:clientData/>
  </xdr:twoCellAnchor>
  <xdr:twoCellAnchor>
    <xdr:from>
      <xdr:col>1</xdr:col>
      <xdr:colOff>0</xdr:colOff>
      <xdr:row>166</xdr:row>
      <xdr:rowOff>0</xdr:rowOff>
    </xdr:from>
    <xdr:to>
      <xdr:col>9</xdr:col>
      <xdr:colOff>587201</xdr:colOff>
      <xdr:row>170</xdr:row>
      <xdr:rowOff>0</xdr:rowOff>
    </xdr:to>
    <mc:AlternateContent xmlns:mc="http://schemas.openxmlformats.org/markup-compatibility/2006" xmlns:a14="http://schemas.microsoft.com/office/drawing/2010/main">
      <mc:Choice Requires="a14">
        <xdr:sp macro="" textlink="">
          <xdr:nvSpPr>
            <xdr:cNvPr id="6" name="TekstniOkvir 5">
              <a:extLst>
                <a:ext uri="{FF2B5EF4-FFF2-40B4-BE49-F238E27FC236}">
                  <a16:creationId xmlns:a16="http://schemas.microsoft.com/office/drawing/2014/main" id="{5BB79D2B-C48E-457C-9273-7CC9A2CFD27C}"/>
                </a:ext>
              </a:extLst>
            </xdr:cNvPr>
            <xdr:cNvSpPr txBox="1"/>
          </xdr:nvSpPr>
          <xdr:spPr>
            <a:xfrm>
              <a:off x="609600" y="30568900"/>
              <a:ext cx="5464001"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Ako tijekom otplate dođe do bilo kakve promjene</a:t>
              </a:r>
              <a:r>
                <a:rPr lang="hr-HR" sz="1100" baseline="0"/>
                <a:t> uvjeta kreditiranja tada se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baseline="0"/>
                <a:t> u tom trenutku računa kao novi kredit za preostalo razdoblje.</a:t>
              </a:r>
            </a:p>
            <a:p>
              <a:endParaRPr lang="hr-HR" sz="1100" baseline="0"/>
            </a:p>
            <a:p>
              <a:endParaRPr lang="hr-HR" sz="1100" baseline="0"/>
            </a:p>
          </xdr:txBody>
        </xdr:sp>
      </mc:Choice>
      <mc:Fallback xmlns="">
        <xdr:sp macro="" textlink="">
          <xdr:nvSpPr>
            <xdr:cNvPr id="6" name="TekstniOkvir 5">
              <a:extLst>
                <a:ext uri="{FF2B5EF4-FFF2-40B4-BE49-F238E27FC236}">
                  <a16:creationId xmlns:a16="http://schemas.microsoft.com/office/drawing/2014/main" id="{5BB79D2B-C48E-457C-9273-7CC9A2CFD27C}"/>
                </a:ext>
              </a:extLst>
            </xdr:cNvPr>
            <xdr:cNvSpPr txBox="1"/>
          </xdr:nvSpPr>
          <xdr:spPr>
            <a:xfrm>
              <a:off x="609600" y="30568900"/>
              <a:ext cx="5464001"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Ako tijekom otplate dođe do bilo kakve promjene</a:t>
              </a:r>
              <a:r>
                <a:rPr lang="hr-HR" sz="1100" baseline="0"/>
                <a:t> uvjeta kreditiranja tada se ostatak duga </a:t>
              </a:r>
              <a:r>
                <a:rPr lang="hr-HR" sz="1100" b="0" i="0" baseline="0">
                  <a:solidFill>
                    <a:schemeClr val="dk1"/>
                  </a:solidFill>
                  <a:effectLst/>
                  <a:latin typeface="Cambria Math" panose="02040503050406030204" pitchFamily="18" charset="0"/>
                  <a:ea typeface="+mn-ea"/>
                  <a:cs typeface="+mn-cs"/>
                </a:rPr>
                <a:t>𝐶_𝑘</a:t>
              </a:r>
              <a:r>
                <a:rPr lang="hr-HR" sz="1100" baseline="0"/>
                <a:t> u tom trenutku računa kao novi kredit za preostalo razdoblje.</a:t>
              </a:r>
            </a:p>
            <a:p>
              <a:endParaRPr lang="hr-HR" sz="1100" baseline="0"/>
            </a:p>
            <a:p>
              <a:endParaRPr lang="hr-HR" sz="1100" baseline="0"/>
            </a:p>
          </xdr:txBody>
        </xdr:sp>
      </mc:Fallback>
    </mc:AlternateContent>
    <xdr:clientData/>
  </xdr:twoCellAnchor>
  <xdr:twoCellAnchor>
    <xdr:from>
      <xdr:col>1</xdr:col>
      <xdr:colOff>0</xdr:colOff>
      <xdr:row>171</xdr:row>
      <xdr:rowOff>0</xdr:rowOff>
    </xdr:from>
    <xdr:to>
      <xdr:col>14</xdr:col>
      <xdr:colOff>76950</xdr:colOff>
      <xdr:row>187</xdr:row>
      <xdr:rowOff>97155</xdr:rowOff>
    </xdr:to>
    <mc:AlternateContent xmlns:mc="http://schemas.openxmlformats.org/markup-compatibility/2006" xmlns:a14="http://schemas.microsoft.com/office/drawing/2010/main">
      <mc:Choice Requires="a14">
        <xdr:sp macro="" textlink="">
          <xdr:nvSpPr>
            <xdr:cNvPr id="7" name="TekstniOkvir 6">
              <a:extLst>
                <a:ext uri="{FF2B5EF4-FFF2-40B4-BE49-F238E27FC236}">
                  <a16:creationId xmlns:a16="http://schemas.microsoft.com/office/drawing/2014/main" id="{C48F5E3F-507F-4004-8BB1-A7A63ACA9B28}"/>
                </a:ext>
              </a:extLst>
            </xdr:cNvPr>
            <xdr:cNvSpPr txBox="1"/>
          </xdr:nvSpPr>
          <xdr:spPr>
            <a:xfrm>
              <a:off x="609600" y="31489650"/>
              <a:ext cx="8001750" cy="304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Osim metode jednakih anuiteta postoji </a:t>
              </a:r>
              <a:r>
                <a:rPr lang="hr-HR" sz="1100" b="1" i="0" baseline="0">
                  <a:solidFill>
                    <a:schemeClr val="dk1"/>
                  </a:solidFill>
                  <a:effectLst/>
                  <a:latin typeface="+mn-lt"/>
                  <a:ea typeface="+mn-ea"/>
                  <a:cs typeface="+mn-cs"/>
                </a:rPr>
                <a:t>metoda jednakih otplatnih kvota</a:t>
              </a:r>
              <a:r>
                <a:rPr lang="hr-HR" sz="1100" i="0" baseline="0">
                  <a:solidFill>
                    <a:schemeClr val="dk1"/>
                  </a:solidFill>
                  <a:effectLst/>
                  <a:latin typeface="+mn-lt"/>
                  <a:ea typeface="+mn-ea"/>
                  <a:cs typeface="+mn-cs"/>
                </a:rPr>
                <a:t>. Kod te metode prvo se izračuna otplatna kvota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𝑅𝑂𝑈𝑁𝐷</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𝑛</m:t>
                      </m:r>
                    </m:den>
                  </m:f>
                  <m:r>
                    <a:rPr lang="hr-HR" sz="1100" b="0" i="1" baseline="0">
                      <a:solidFill>
                        <a:schemeClr val="dk1"/>
                      </a:solidFill>
                      <a:effectLst/>
                      <a:latin typeface="Cambria Math" panose="02040503050406030204" pitchFamily="18" charset="0"/>
                      <a:ea typeface="+mn-ea"/>
                      <a:cs typeface="+mn-cs"/>
                    </a:rPr>
                    <m:t>;2)</m:t>
                  </m:r>
                </m:oMath>
              </a14:m>
              <a:r>
                <a:rPr lang="hr-HR" sz="1100" i="0" baseline="0">
                  <a:solidFill>
                    <a:schemeClr val="dk1"/>
                  </a:solidFill>
                  <a:effectLst/>
                  <a:latin typeface="+mn-lt"/>
                  <a:ea typeface="+mn-ea"/>
                  <a:cs typeface="+mn-cs"/>
                </a:rPr>
                <a:t>, a potom se za potrebe otplatne tablice računaju anuiteti i kamate u pojedinom razdoblju.</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Važno: kod ove metode anuiteti se smanjuju što se kredit više otplaćuje.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Oznake su vrlo slične metodi jednakih anuiteta: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r>
                    <m:rPr>
                      <m:nor/>
                    </m:rPr>
                    <a:rPr lang="hr-HR" sz="1100" i="0" baseline="0">
                      <a:solidFill>
                        <a:schemeClr val="dk1"/>
                      </a:solidFill>
                      <a:effectLst/>
                      <a:latin typeface="+mn-lt"/>
                      <a:ea typeface="+mn-ea"/>
                      <a:cs typeface="+mn-cs"/>
                    </a:rPr>
                    <m:t> </m:t>
                  </m:r>
                </m:oMath>
              </a14:m>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𝑟</m:t>
                  </m:r>
                </m:oMath>
              </a14:m>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ako se radi o mjesečnim, kvartalnim ili polugodišnjim uplatama anuiteta ne zaboravite odrediti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𝑚</m:t>
                  </m:r>
                </m:oMath>
              </a14:m>
              <a:r>
                <a:rPr lang="hr-HR" sz="1100" baseline="0">
                  <a:solidFill>
                    <a:schemeClr val="dk1"/>
                  </a:solidFill>
                  <a:effectLst/>
                  <a:latin typeface="+mn-lt"/>
                  <a:ea typeface="+mn-ea"/>
                  <a:cs typeface="+mn-cs"/>
                </a:rPr>
                <a:t> i potom odgovarajuće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 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a:t>
              </a:r>
            </a:p>
          </xdr:txBody>
        </xdr:sp>
      </mc:Choice>
      <mc:Fallback xmlns="">
        <xdr:sp macro="" textlink="">
          <xdr:nvSpPr>
            <xdr:cNvPr id="7" name="TekstniOkvir 6">
              <a:extLst>
                <a:ext uri="{FF2B5EF4-FFF2-40B4-BE49-F238E27FC236}">
                  <a16:creationId xmlns:a16="http://schemas.microsoft.com/office/drawing/2014/main" id="{C48F5E3F-507F-4004-8BB1-A7A63ACA9B28}"/>
                </a:ext>
              </a:extLst>
            </xdr:cNvPr>
            <xdr:cNvSpPr txBox="1"/>
          </xdr:nvSpPr>
          <xdr:spPr>
            <a:xfrm>
              <a:off x="609600" y="31489650"/>
              <a:ext cx="8001750" cy="304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Osim metode jednakih anuiteta postoji </a:t>
              </a:r>
              <a:r>
                <a:rPr lang="hr-HR" sz="1100" b="1" i="0" baseline="0">
                  <a:solidFill>
                    <a:schemeClr val="dk1"/>
                  </a:solidFill>
                  <a:effectLst/>
                  <a:latin typeface="+mn-lt"/>
                  <a:ea typeface="+mn-ea"/>
                  <a:cs typeface="+mn-cs"/>
                </a:rPr>
                <a:t>metoda jednakih otplatnih kvota</a:t>
              </a:r>
              <a:r>
                <a:rPr lang="hr-HR" sz="1100" i="0" baseline="0">
                  <a:solidFill>
                    <a:schemeClr val="dk1"/>
                  </a:solidFill>
                  <a:effectLst/>
                  <a:latin typeface="+mn-lt"/>
                  <a:ea typeface="+mn-ea"/>
                  <a:cs typeface="+mn-cs"/>
                </a:rPr>
                <a:t>. Kod te metode prvo se izračuna otplatna kvota </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=𝑅𝑂𝑈𝑁𝐷((𝐶_0</a:t>
              </a:r>
              <a:r>
                <a:rPr lang="hr-HR" sz="1100" b="0" i="0" baseline="0">
                  <a:solidFill>
                    <a:schemeClr val="dk1"/>
                  </a:solidFill>
                  <a:effectLst/>
                  <a:latin typeface="+mn-lt"/>
                  <a:ea typeface="+mn-ea"/>
                  <a:cs typeface="+mn-cs"/>
                </a:rPr>
                <a:t> "</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)/𝑛;2)</a:t>
              </a:r>
              <a:r>
                <a:rPr lang="hr-HR" sz="1100" i="0" baseline="0">
                  <a:solidFill>
                    <a:schemeClr val="dk1"/>
                  </a:solidFill>
                  <a:effectLst/>
                  <a:latin typeface="+mn-lt"/>
                  <a:ea typeface="+mn-ea"/>
                  <a:cs typeface="+mn-cs"/>
                </a:rPr>
                <a:t>, a potom se za potrebe otplatne tablice računaju anuiteti i kamate u pojedinom razdoblju.</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Važno: kod ove metode anuiteti se smanjuju što se kredit više otplaćuje.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Oznake su vrlo slične metodi jednakih anuiteta:</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𝑎_𝑘</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𝑟</a:t>
              </a:r>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ako se radi o mjesečnim, kvartalnim ili polugodišnjim uplatama anuiteta ne zaboravite odrediti </a:t>
              </a:r>
              <a:r>
                <a:rPr lang="hr-HR" sz="1100" b="0" i="0" baseline="0">
                  <a:solidFill>
                    <a:schemeClr val="dk1"/>
                  </a:solidFill>
                  <a:effectLst/>
                  <a:latin typeface="Cambria Math" panose="02040503050406030204" pitchFamily="18" charset="0"/>
                  <a:ea typeface="+mn-ea"/>
                  <a:cs typeface="+mn-cs"/>
                </a:rPr>
                <a:t>𝑚</a:t>
              </a:r>
              <a:r>
                <a:rPr lang="hr-HR" sz="1100" baseline="0">
                  <a:solidFill>
                    <a:schemeClr val="dk1"/>
                  </a:solidFill>
                  <a:effectLst/>
                  <a:latin typeface="+mn-lt"/>
                  <a:ea typeface="+mn-ea"/>
                  <a:cs typeface="+mn-cs"/>
                </a:rPr>
                <a:t> i potom odgovarajuće </a:t>
              </a:r>
              <a:r>
                <a:rPr lang="hr-HR" sz="1100" b="0" i="0" baseline="0">
                  <a:solidFill>
                    <a:schemeClr val="dk1"/>
                  </a:solidFill>
                  <a:effectLst/>
                  <a:latin typeface="Cambria Math" panose="02040503050406030204" pitchFamily="18" charset="0"/>
                  <a:ea typeface="+mn-ea"/>
                  <a:cs typeface="+mn-cs"/>
                </a:rPr>
                <a:t>𝑝_𝑟</a:t>
              </a:r>
              <a:r>
                <a:rPr lang="hr-HR" sz="110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𝑟_𝑟</a:t>
              </a:r>
              <a:r>
                <a:rPr lang="hr-HR" sz="1100" baseline="0">
                  <a:solidFill>
                    <a:schemeClr val="dk1"/>
                  </a:solidFill>
                  <a:effectLst/>
                  <a:latin typeface="+mn-lt"/>
                  <a:ea typeface="+mn-ea"/>
                  <a:cs typeface="+mn-cs"/>
                </a:rPr>
                <a:t> i </a:t>
              </a:r>
              <a:r>
                <a:rPr lang="hr-HR" sz="1100" b="0" i="0" baseline="0">
                  <a:solidFill>
                    <a:schemeClr val="dk1"/>
                  </a:solidFill>
                  <a:effectLst/>
                  <a:latin typeface="Cambria Math" panose="02040503050406030204" pitchFamily="18" charset="0"/>
                  <a:ea typeface="+mn-ea"/>
                  <a:cs typeface="+mn-cs"/>
                </a:rPr>
                <a:t>𝑛_𝑟</a:t>
              </a:r>
              <a:r>
                <a:rPr lang="hr-HR" sz="1100" baseline="0">
                  <a:solidFill>
                    <a:schemeClr val="dk1"/>
                  </a:solidFill>
                  <a:effectLst/>
                  <a:latin typeface="+mn-lt"/>
                  <a:ea typeface="+mn-ea"/>
                  <a:cs typeface="+mn-cs"/>
                </a:rPr>
                <a:t>.</a:t>
              </a:r>
            </a:p>
          </xdr:txBody>
        </xdr:sp>
      </mc:Fallback>
    </mc:AlternateContent>
    <xdr:clientData/>
  </xdr:twoCellAnchor>
  <xdr:twoCellAnchor>
    <xdr:from>
      <xdr:col>1</xdr:col>
      <xdr:colOff>0</xdr:colOff>
      <xdr:row>189</xdr:row>
      <xdr:rowOff>0</xdr:rowOff>
    </xdr:from>
    <xdr:to>
      <xdr:col>14</xdr:col>
      <xdr:colOff>76950</xdr:colOff>
      <xdr:row>220</xdr:row>
      <xdr:rowOff>144780</xdr:rowOff>
    </xdr:to>
    <mc:AlternateContent xmlns:mc="http://schemas.openxmlformats.org/markup-compatibility/2006" xmlns:a14="http://schemas.microsoft.com/office/drawing/2010/main">
      <mc:Choice Requires="a14">
        <xdr:sp macro="" textlink="">
          <xdr:nvSpPr>
            <xdr:cNvPr id="8" name="TekstniOkvir 7">
              <a:extLst>
                <a:ext uri="{FF2B5EF4-FFF2-40B4-BE49-F238E27FC236}">
                  <a16:creationId xmlns:a16="http://schemas.microsoft.com/office/drawing/2014/main" id="{46AEE5E2-EE1C-43D9-BF11-928A4CA1DDA5}"/>
                </a:ext>
              </a:extLst>
            </xdr:cNvPr>
            <xdr:cNvSpPr txBox="1"/>
          </xdr:nvSpPr>
          <xdr:spPr>
            <a:xfrm>
              <a:off x="609600" y="34804350"/>
              <a:ext cx="8001750" cy="5853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a:t>
              </a:r>
              <a:r>
                <a:rPr lang="hr-HR" sz="1100" baseline="0">
                  <a:solidFill>
                    <a:schemeClr val="dk1"/>
                  </a:solidFill>
                  <a:effectLst/>
                  <a:latin typeface="+mn-lt"/>
                  <a:ea typeface="+mn-ea"/>
                  <a:cs typeface="+mn-cs"/>
                </a:rPr>
                <a:t>podsjeća</a:t>
              </a:r>
              <a:r>
                <a:rPr lang="hr-HR" sz="1100" baseline="0"/>
                <a:t> na KAIRO.</a:t>
              </a:r>
            </a:p>
            <a:p>
              <a14:m>
                <m:oMath xmlns:m="http://schemas.openxmlformats.org/officeDocument/2006/math">
                  <m:r>
                    <a:rPr lang="hr-HR" sz="1100" b="0" i="1">
                      <a:latin typeface="Cambria Math" panose="02040503050406030204" pitchFamily="18" charset="0"/>
                    </a:rPr>
                    <m:t>𝑘</m:t>
                  </m:r>
                </m:oMath>
              </a14:m>
              <a:r>
                <a:rPr lang="hr-HR" sz="1100"/>
                <a:t> je redni broj anuiteta, kreće od 0</a:t>
              </a:r>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a:t> iznos</a:t>
              </a:r>
              <a:r>
                <a:rPr lang="hr-HR" sz="1100" baseline="0"/>
                <a:t> anuiteta u k-tom razdoblju</a:t>
              </a: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otplatna kvota (otplata glavnice)</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otplatnih kvota </a:t>
              </a:r>
              <a14:m>
                <m:oMath xmlns:m="http://schemas.openxmlformats.org/officeDocument/2006/math">
                  <m:r>
                    <a:rPr lang="hr-HR" sz="1100" b="0" i="1" baseline="0">
                      <a:latin typeface="Cambria Math" panose="02040503050406030204" pitchFamily="18" charset="0"/>
                    </a:rPr>
                    <m:t>𝑅</m:t>
                  </m:r>
                </m:oMath>
              </a14:m>
              <a:r>
                <a:rPr lang="hr-HR" sz="1100" baseline="0"/>
                <a:t> za sva razdoblja otplate.</a:t>
              </a:r>
            </a:p>
            <a:p>
              <a:r>
                <a:rPr lang="hr-HR" sz="1100" baseline="0"/>
                <a:t>Popunjavanje 1. retka:</a:t>
              </a:r>
            </a:p>
            <a:p>
              <a:r>
                <a:rPr lang="hr-HR" sz="1100" baseline="0"/>
                <a:t>Kamata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𝑅𝑂𝑈𝑁𝐷</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Cambria Math" panose="02040503050406030204" pitchFamily="18" charset="0"/>
                      <a:cs typeface="+mn-cs"/>
                    </a:rPr>
                    <m:t>∙</m:t>
                  </m:r>
                  <m:r>
                    <a:rPr lang="en-US" sz="1100" b="0" i="1" baseline="0">
                      <a:solidFill>
                        <a:schemeClr val="dk1"/>
                      </a:solidFill>
                      <a:effectLst/>
                      <a:latin typeface="Cambria Math" panose="02040503050406030204" pitchFamily="18" charset="0"/>
                      <a:ea typeface="Cambria Math" panose="02040503050406030204" pitchFamily="18" charset="0"/>
                      <a:cs typeface="+mn-cs"/>
                    </a:rPr>
                    <m:t>𝑝</m:t>
                  </m:r>
                  <m:r>
                    <a:rPr lang="hr-HR" sz="1100" b="0" i="1" baseline="0">
                      <a:solidFill>
                        <a:schemeClr val="dk1"/>
                      </a:solidFill>
                      <a:effectLst/>
                      <a:latin typeface="Cambria Math" panose="02040503050406030204" pitchFamily="18" charset="0"/>
                      <a:ea typeface="Cambria Math" panose="02040503050406030204" pitchFamily="18" charset="0"/>
                      <a:cs typeface="+mn-cs"/>
                    </a:rPr>
                    <m:t>;2)</m:t>
                  </m:r>
                </m:oMath>
              </a14:m>
              <a:r>
                <a:rPr lang="hr-HR" sz="1100" i="0" baseline="0">
                  <a:solidFill>
                    <a:schemeClr val="dk1"/>
                  </a:solidFill>
                  <a:effectLst/>
                  <a:latin typeface="+mn-lt"/>
                  <a:ea typeface="+mn-ea"/>
                  <a:cs typeface="+mn-cs"/>
                </a:rPr>
                <a:t>. (jer je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zapisan kao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=5%</m:t>
                  </m:r>
                </m:oMath>
              </a14:m>
              <a:r>
                <a:rPr lang="hr-HR" sz="1100" i="0" baseline="0">
                  <a:solidFill>
                    <a:schemeClr val="dk1"/>
                  </a:solidFill>
                  <a:effectLst/>
                  <a:latin typeface="+mn-lt"/>
                  <a:ea typeface="+mn-ea"/>
                  <a:cs typeface="+mn-cs"/>
                </a:rPr>
                <a:t> što je jednako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=0,05</m:t>
                  </m:r>
                </m:oMath>
              </a14:m>
              <a:r>
                <a:rPr lang="hr-HR" sz="1100" i="0" baseline="0">
                  <a:solidFill>
                    <a:schemeClr val="dk1"/>
                  </a:solidFill>
                  <a:effectLst/>
                  <a:latin typeface="+mn-lt"/>
                  <a:ea typeface="+mn-ea"/>
                  <a:cs typeface="+mn-cs"/>
                </a:rPr>
                <a:t> pa nema potrebe dijeliti izraz sa 100 i koristiti formulu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100</m:t>
                      </m:r>
                    </m:den>
                  </m:f>
                </m:oMath>
              </a14:m>
              <a:r>
                <a:rPr lang="hr-HR" sz="1100"/>
                <a:t>).</a:t>
              </a:r>
            </a:p>
            <a:p>
              <a:r>
                <a:rPr lang="hr-HR" sz="1100"/>
                <a:t>Anuitet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r>
                <a:rPr lang="hr-HR" sz="1100"/>
                <a:t>Ostatak duga nakon</a:t>
              </a:r>
              <a:r>
                <a:rPr lang="hr-HR" sz="1100" baseline="0"/>
                <a:t> prvog otplaćenog anuiteta iznosi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oMath>
              </a14:m>
              <a:r>
                <a:rPr lang="hr-HR" sz="1100"/>
                <a:t>.</a:t>
              </a:r>
            </a:p>
            <a:p>
              <a:endParaRPr lang="hr-HR" sz="1100"/>
            </a:p>
            <a:p>
              <a:r>
                <a:rPr lang="hr-HR" sz="1100"/>
                <a:t>Nakon toga se</a:t>
              </a:r>
              <a:r>
                <a:rPr lang="hr-HR" sz="1100" baseline="0"/>
                <a:t> popunjavaju ostali retci: </a:t>
              </a:r>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a:rPr lang="en-US" sz="1100" b="0" i="1" baseline="0">
                        <a:solidFill>
                          <a:schemeClr val="dk1"/>
                        </a:solidFill>
                        <a:effectLst/>
                        <a:latin typeface="Cambria Math" panose="02040503050406030204" pitchFamily="18" charset="0"/>
                        <a:ea typeface="+mn-ea"/>
                        <a:cs typeface="+mn-cs"/>
                      </a:rPr>
                      <m:t>;2)</m:t>
                    </m:r>
                  </m:oMath>
                </m:oMathPara>
              </a14:m>
              <a:endParaRPr lang="hr-HR" sz="1100"/>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m:oMathPara>
              </a14:m>
              <a:endParaRPr lang="hr-HR" sz="1100"/>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oMath>
              </a14:m>
              <a:r>
                <a:rPr lang="hr-HR" sz="1100"/>
                <a:t>.</a:t>
              </a:r>
            </a:p>
            <a:p>
              <a:r>
                <a:rPr lang="hr-HR" sz="1100"/>
                <a:t>U excelu je dovoljno popuniti prvi redak</a:t>
              </a:r>
              <a:r>
                <a:rPr lang="hr-HR" sz="1100" baseline="0"/>
                <a:t> i potom kopirati/razvući u ostale retke. Pazite da usidrite s F4 odgovarajuće podatke.</a:t>
              </a:r>
            </a:p>
            <a:p>
              <a:endParaRPr lang="hr-HR" sz="1100" baseline="0"/>
            </a:p>
            <a:p>
              <a:r>
                <a:rPr lang="hr-HR" sz="1100" baseline="0"/>
                <a:t>PROVJERA TABLICE:</a:t>
              </a:r>
            </a:p>
            <a:p>
              <a:r>
                <a:rPr lang="hr-HR" sz="1100" baseline="0"/>
                <a:t>zadnji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t> treba biti jednak nula</a:t>
              </a:r>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latin typeface="Cambria Math" panose="02040503050406030204" pitchFamily="18" charset="0"/>
                          </a:rPr>
                        </m:ctrlPr>
                      </m:naryPr>
                      <m:sub/>
                      <m:sup/>
                      <m:e>
                        <m:r>
                          <a:rPr lang="hr-HR" sz="1100" i="1" baseline="0">
                            <a:latin typeface="Cambria Math" panose="02040503050406030204" pitchFamily="18" charset="0"/>
                          </a:rPr>
                          <m:t>𝑅</m:t>
                        </m:r>
                      </m:e>
                    </m:nary>
                    <m:r>
                      <a:rPr lang="hr-HR" sz="1100" b="0" i="1" baseline="0">
                        <a:latin typeface="Cambria Math" panose="02040503050406030204" pitchFamily="18" charset="0"/>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m:oMathPara>
              </a14:m>
              <a:endParaRPr lang="hr-HR" sz="1100" baseline="0"/>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r>
                          <a:rPr lang="hr-HR" sz="1100" i="1" baseline="0">
                            <a:solidFill>
                              <a:schemeClr val="dk1"/>
                            </a:solidFill>
                            <a:effectLst/>
                            <a:latin typeface="Cambria Math" panose="02040503050406030204" pitchFamily="18" charset="0"/>
                            <a:ea typeface="+mn-ea"/>
                            <a:cs typeface="+mn-cs"/>
                          </a:rPr>
                          <m:t>𝑅</m:t>
                        </m:r>
                      </m:e>
                    </m:nary>
                  </m:oMath>
                </m:oMathPara>
              </a14:m>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Choice>
      <mc:Fallback xmlns="">
        <xdr:sp macro="" textlink="">
          <xdr:nvSpPr>
            <xdr:cNvPr id="8" name="TekstniOkvir 7">
              <a:extLst>
                <a:ext uri="{FF2B5EF4-FFF2-40B4-BE49-F238E27FC236}">
                  <a16:creationId xmlns:a16="http://schemas.microsoft.com/office/drawing/2014/main" id="{46AEE5E2-EE1C-43D9-BF11-928A4CA1DDA5}"/>
                </a:ext>
              </a:extLst>
            </xdr:cNvPr>
            <xdr:cNvSpPr txBox="1"/>
          </xdr:nvSpPr>
          <xdr:spPr>
            <a:xfrm>
              <a:off x="609600" y="34804350"/>
              <a:ext cx="8001750" cy="5853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a:t>
              </a:r>
              <a:r>
                <a:rPr lang="hr-HR" sz="1100" baseline="0">
                  <a:solidFill>
                    <a:schemeClr val="dk1"/>
                  </a:solidFill>
                  <a:effectLst/>
                  <a:latin typeface="+mn-lt"/>
                  <a:ea typeface="+mn-ea"/>
                  <a:cs typeface="+mn-cs"/>
                </a:rPr>
                <a:t>podsjeća</a:t>
              </a:r>
              <a:r>
                <a:rPr lang="hr-HR" sz="1100" baseline="0"/>
                <a:t> na KAIRO.</a:t>
              </a:r>
            </a:p>
            <a:p>
              <a:r>
                <a:rPr lang="hr-HR" sz="1100" b="0" i="0">
                  <a:latin typeface="Cambria Math" panose="02040503050406030204" pitchFamily="18" charset="0"/>
                </a:rPr>
                <a:t>𝑘</a:t>
              </a:r>
              <a:r>
                <a:rPr lang="hr-HR" sz="1100"/>
                <a:t> je redni broj anuiteta, kreće od 0</a:t>
              </a:r>
            </a:p>
            <a:p>
              <a:r>
                <a:rPr lang="hr-HR" sz="1100" b="0" i="0" baseline="0">
                  <a:solidFill>
                    <a:schemeClr val="dk1"/>
                  </a:solidFill>
                  <a:effectLst/>
                  <a:latin typeface="Cambria Math" panose="02040503050406030204" pitchFamily="18" charset="0"/>
                  <a:ea typeface="+mn-ea"/>
                  <a:cs typeface="+mn-cs"/>
                </a:rPr>
                <a:t>𝑎_𝑘</a:t>
              </a:r>
              <a:r>
                <a:rPr lang="hr-HR" sz="1100"/>
                <a:t> iznos</a:t>
              </a:r>
              <a:r>
                <a:rPr lang="hr-HR" sz="1100" baseline="0"/>
                <a:t> anuiteta u k-tom razdoblju</a:t>
              </a:r>
            </a:p>
            <a:p>
              <a:pPr eaLnBrk="1" fontAlgn="auto" latinLnBrk="0" hangingPunct="1"/>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otplatna kvota (otplata glavnice)</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𝐶_𝑘</a:t>
              </a:r>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otplatnih kvota </a:t>
              </a:r>
              <a:r>
                <a:rPr lang="hr-HR" sz="1100" b="0" i="0" baseline="0">
                  <a:latin typeface="Cambria Math" panose="02040503050406030204" pitchFamily="18" charset="0"/>
                </a:rPr>
                <a:t>𝑅</a:t>
              </a:r>
              <a:r>
                <a:rPr lang="hr-HR" sz="1100" baseline="0"/>
                <a:t> za sva razdoblja otplate.</a:t>
              </a:r>
            </a:p>
            <a:p>
              <a:r>
                <a:rPr lang="hr-HR" sz="1100" baseline="0"/>
                <a:t>Popunjavanje 1. retka:</a:t>
              </a:r>
            </a:p>
            <a:p>
              <a:r>
                <a:rPr lang="hr-HR" sz="1100" baseline="0"/>
                <a:t>Kamata </a:t>
              </a:r>
              <a:r>
                <a:rPr lang="hr-HR" sz="1100" b="0" i="0" baseline="0">
                  <a:solidFill>
                    <a:schemeClr val="dk1"/>
                  </a:solidFill>
                  <a:effectLst/>
                  <a:latin typeface="Cambria Math" panose="02040503050406030204" pitchFamily="18" charset="0"/>
                  <a:ea typeface="+mn-ea"/>
                  <a:cs typeface="+mn-cs"/>
                </a:rPr>
                <a:t>𝐼_1=〖𝑅𝑂𝑈𝑁𝐷(𝐶〗_0</a:t>
              </a:r>
              <a:r>
                <a:rPr lang="hr-HR" sz="1100" b="0" i="0" baseline="0">
                  <a:solidFill>
                    <a:schemeClr val="dk1"/>
                  </a:solidFill>
                  <a:effectLst/>
                  <a:latin typeface="Cambria Math" panose="02040503050406030204" pitchFamily="18" charset="0"/>
                  <a:ea typeface="Cambria Math" panose="02040503050406030204" pitchFamily="18" charset="0"/>
                  <a:cs typeface="+mn-cs"/>
                </a:rPr>
                <a:t>∙</a:t>
              </a:r>
              <a:r>
                <a:rPr lang="en-US" sz="1100" b="0" i="0" baseline="0">
                  <a:solidFill>
                    <a:schemeClr val="dk1"/>
                  </a:solidFill>
                  <a:effectLst/>
                  <a:latin typeface="Cambria Math" panose="02040503050406030204" pitchFamily="18" charset="0"/>
                  <a:ea typeface="Cambria Math" panose="02040503050406030204" pitchFamily="18" charset="0"/>
                  <a:cs typeface="+mn-cs"/>
                </a:rPr>
                <a:t>𝑝</a:t>
              </a:r>
              <a:r>
                <a:rPr lang="hr-HR" sz="1100" b="0" i="0" baseline="0">
                  <a:solidFill>
                    <a:schemeClr val="dk1"/>
                  </a:solidFill>
                  <a:effectLst/>
                  <a:latin typeface="Cambria Math" panose="02040503050406030204" pitchFamily="18" charset="0"/>
                  <a:ea typeface="Cambria Math" panose="02040503050406030204" pitchFamily="18" charset="0"/>
                  <a:cs typeface="+mn-cs"/>
                </a:rPr>
                <a:t>;2)</a:t>
              </a:r>
              <a:r>
                <a:rPr lang="hr-HR" sz="1100" i="0" baseline="0">
                  <a:solidFill>
                    <a:schemeClr val="dk1"/>
                  </a:solidFill>
                  <a:effectLst/>
                  <a:latin typeface="+mn-lt"/>
                  <a:ea typeface="+mn-ea"/>
                  <a:cs typeface="+mn-cs"/>
                </a:rPr>
                <a:t>. (jer je </a:t>
              </a:r>
              <a:r>
                <a:rPr lang="hr-HR" sz="1100" b="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zapisan kao </a:t>
              </a:r>
              <a:r>
                <a:rPr lang="hr-HR" sz="1100" b="0" i="0" baseline="0">
                  <a:solidFill>
                    <a:schemeClr val="dk1"/>
                  </a:solidFill>
                  <a:effectLst/>
                  <a:latin typeface="Cambria Math" panose="02040503050406030204" pitchFamily="18" charset="0"/>
                  <a:ea typeface="+mn-ea"/>
                  <a:cs typeface="+mn-cs"/>
                </a:rPr>
                <a:t>𝑝=5%</a:t>
              </a:r>
              <a:r>
                <a:rPr lang="hr-HR" sz="1100" i="0" baseline="0">
                  <a:solidFill>
                    <a:schemeClr val="dk1"/>
                  </a:solidFill>
                  <a:effectLst/>
                  <a:latin typeface="+mn-lt"/>
                  <a:ea typeface="+mn-ea"/>
                  <a:cs typeface="+mn-cs"/>
                </a:rPr>
                <a:t> što je jednako </a:t>
              </a:r>
              <a:r>
                <a:rPr lang="hr-HR" sz="1100" b="0" i="0" baseline="0">
                  <a:solidFill>
                    <a:schemeClr val="dk1"/>
                  </a:solidFill>
                  <a:effectLst/>
                  <a:latin typeface="Cambria Math" panose="02040503050406030204" pitchFamily="18" charset="0"/>
                  <a:ea typeface="+mn-ea"/>
                  <a:cs typeface="+mn-cs"/>
                </a:rPr>
                <a:t>𝑝=0,05</a:t>
              </a:r>
              <a:r>
                <a:rPr lang="hr-HR" sz="1100" i="0" baseline="0">
                  <a:solidFill>
                    <a:schemeClr val="dk1"/>
                  </a:solidFill>
                  <a:effectLst/>
                  <a:latin typeface="+mn-lt"/>
                  <a:ea typeface="+mn-ea"/>
                  <a:cs typeface="+mn-cs"/>
                </a:rPr>
                <a:t> pa nema potrebe dijeliti izraz sa 100 i koristiti formulu </a:t>
              </a:r>
              <a:r>
                <a:rPr lang="hr-HR" sz="1100" b="0" i="0" baseline="0">
                  <a:solidFill>
                    <a:schemeClr val="dk1"/>
                  </a:solidFill>
                  <a:effectLst/>
                  <a:latin typeface="Cambria Math" panose="02040503050406030204" pitchFamily="18" charset="0"/>
                  <a:ea typeface="+mn-ea"/>
                  <a:cs typeface="+mn-cs"/>
                </a:rPr>
                <a:t>𝐼_1=(𝐶_0∙𝑝</a:t>
              </a:r>
              <a:r>
                <a:rPr lang="hr-HR" sz="1100" b="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)/100</a:t>
              </a:r>
              <a:r>
                <a:rPr lang="hr-HR" sz="1100"/>
                <a:t>).</a:t>
              </a:r>
            </a:p>
            <a:p>
              <a:r>
                <a:rPr lang="hr-HR" sz="1100"/>
                <a:t>Anuitet </a:t>
              </a:r>
              <a:r>
                <a:rPr lang="hr-HR" sz="1100" b="0" i="0" baseline="0">
                  <a:solidFill>
                    <a:schemeClr val="dk1"/>
                  </a:solidFill>
                  <a:effectLst/>
                  <a:latin typeface="Cambria Math" panose="02040503050406030204" pitchFamily="18" charset="0"/>
                  <a:ea typeface="+mn-ea"/>
                  <a:cs typeface="+mn-cs"/>
                </a:rPr>
                <a:t>𝑎_1=</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+𝐼_1</a:t>
              </a:r>
              <a:r>
                <a:rPr lang="hr-HR" sz="1100"/>
                <a:t>.</a:t>
              </a:r>
            </a:p>
            <a:p>
              <a:r>
                <a:rPr lang="hr-HR" sz="1100"/>
                <a:t>Ostatak duga nakon</a:t>
              </a:r>
              <a:r>
                <a:rPr lang="hr-HR" sz="1100" baseline="0"/>
                <a:t> prvog otplaćenog anuiteta iznosi </a:t>
              </a:r>
              <a:r>
                <a:rPr lang="hr-HR" sz="1100" b="0" i="0" baseline="0">
                  <a:solidFill>
                    <a:schemeClr val="dk1"/>
                  </a:solidFill>
                  <a:effectLst/>
                  <a:latin typeface="Cambria Math" panose="02040503050406030204" pitchFamily="18" charset="0"/>
                  <a:ea typeface="+mn-ea"/>
                  <a:cs typeface="+mn-cs"/>
                </a:rPr>
                <a:t>𝐶_1=𝐶_0−</a:t>
              </a:r>
              <a:r>
                <a:rPr lang="hr-HR" sz="1100" i="0" baseline="0">
                  <a:solidFill>
                    <a:schemeClr val="dk1"/>
                  </a:solidFill>
                  <a:effectLst/>
                  <a:latin typeface="Cambria Math" panose="02040503050406030204" pitchFamily="18" charset="0"/>
                  <a:ea typeface="+mn-ea"/>
                  <a:cs typeface="+mn-cs"/>
                </a:rPr>
                <a:t>𝑅</a:t>
              </a:r>
              <a:r>
                <a:rPr lang="hr-HR" sz="1100"/>
                <a:t>.</a:t>
              </a:r>
            </a:p>
            <a:p>
              <a:endParaRPr lang="hr-HR" sz="1100"/>
            </a:p>
            <a:p>
              <a:r>
                <a:rPr lang="hr-HR" sz="1100"/>
                <a:t>Nakon toga se</a:t>
              </a:r>
              <a:r>
                <a:rPr lang="hr-HR" sz="1100" baseline="0"/>
                <a:t> popunjavaju ostali retci: </a:t>
              </a:r>
            </a:p>
            <a:p>
              <a:pPr/>
              <a:r>
                <a:rPr lang="hr-HR" sz="1100" b="0" i="0" baseline="0">
                  <a:solidFill>
                    <a:schemeClr val="dk1"/>
                  </a:solidFill>
                  <a:effectLst/>
                  <a:latin typeface="Cambria Math" panose="02040503050406030204" pitchFamily="18" charset="0"/>
                  <a:ea typeface="+mn-ea"/>
                  <a:cs typeface="+mn-cs"/>
                </a:rPr>
                <a:t>𝐼_𝑘=</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𝐶_(𝑘−1)∙𝑝</a:t>
              </a:r>
              <a:r>
                <a:rPr lang="en-US" sz="1100" b="0" i="0" baseline="0">
                  <a:solidFill>
                    <a:schemeClr val="dk1"/>
                  </a:solidFill>
                  <a:effectLst/>
                  <a:latin typeface="Cambria Math" panose="02040503050406030204" pitchFamily="18" charset="0"/>
                  <a:ea typeface="+mn-ea"/>
                  <a:cs typeface="+mn-cs"/>
                </a:rPr>
                <a:t>;2)</a:t>
              </a:r>
              <a:endParaRPr lang="hr-HR" sz="1100"/>
            </a:p>
            <a:p>
              <a:pPr/>
              <a:r>
                <a:rPr lang="hr-HR" sz="1100" b="0" i="0" baseline="0">
                  <a:solidFill>
                    <a:schemeClr val="dk1"/>
                  </a:solidFill>
                  <a:effectLst/>
                  <a:latin typeface="Cambria Math" panose="02040503050406030204" pitchFamily="18" charset="0"/>
                  <a:ea typeface="+mn-ea"/>
                  <a:cs typeface="+mn-cs"/>
                </a:rPr>
                <a:t>𝑎_𝑘=</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+𝐼_𝑘</a:t>
              </a:r>
              <a:endParaRPr lang="hr-HR" sz="1100"/>
            </a:p>
            <a:p>
              <a:r>
                <a:rPr lang="hr-HR" sz="1100" b="0" i="0" baseline="0">
                  <a:solidFill>
                    <a:schemeClr val="dk1"/>
                  </a:solidFill>
                  <a:effectLst/>
                  <a:latin typeface="Cambria Math" panose="02040503050406030204" pitchFamily="18" charset="0"/>
                  <a:ea typeface="+mn-ea"/>
                  <a:cs typeface="+mn-cs"/>
                </a:rPr>
                <a:t>𝐶_𝑘=𝐶_(𝑘−1)−</a:t>
              </a:r>
              <a:r>
                <a:rPr lang="hr-HR" sz="1100" i="0" baseline="0">
                  <a:solidFill>
                    <a:schemeClr val="dk1"/>
                  </a:solidFill>
                  <a:effectLst/>
                  <a:latin typeface="Cambria Math" panose="02040503050406030204" pitchFamily="18" charset="0"/>
                  <a:ea typeface="+mn-ea"/>
                  <a:cs typeface="+mn-cs"/>
                </a:rPr>
                <a:t>𝑅</a:t>
              </a:r>
              <a:r>
                <a:rPr lang="hr-HR" sz="1100"/>
                <a:t>.</a:t>
              </a:r>
            </a:p>
            <a:p>
              <a:r>
                <a:rPr lang="hr-HR" sz="1100"/>
                <a:t>U excelu je dovoljno popuniti prvi redak</a:t>
              </a:r>
              <a:r>
                <a:rPr lang="hr-HR" sz="1100" baseline="0"/>
                <a:t> i potom kopirati/razvući u ostale retke. Pazite da usidrite s F4 odgovarajuće podatke.</a:t>
              </a:r>
            </a:p>
            <a:p>
              <a:endParaRPr lang="hr-HR" sz="1100" baseline="0"/>
            </a:p>
            <a:p>
              <a:r>
                <a:rPr lang="hr-HR" sz="1100" baseline="0"/>
                <a:t>PROVJERA TABLICE:</a:t>
              </a:r>
            </a:p>
            <a:p>
              <a:r>
                <a:rPr lang="hr-HR" sz="1100" baseline="0"/>
                <a:t>zadnji ostatak duga </a:t>
              </a:r>
              <a:r>
                <a:rPr lang="hr-HR" sz="1100" b="0" i="0" baseline="0">
                  <a:solidFill>
                    <a:schemeClr val="dk1"/>
                  </a:solidFill>
                  <a:effectLst/>
                  <a:latin typeface="Cambria Math" panose="02040503050406030204" pitchFamily="18" charset="0"/>
                  <a:ea typeface="+mn-ea"/>
                  <a:cs typeface="+mn-cs"/>
                </a:rPr>
                <a:t>𝐶_𝑛</a:t>
              </a:r>
              <a:r>
                <a:rPr lang="hr-HR" sz="1100" baseline="0"/>
                <a:t> treba biti jednak nula</a:t>
              </a:r>
            </a:p>
            <a:p>
              <a:pPr/>
              <a:r>
                <a:rPr lang="hr-HR" sz="1100" i="0" baseline="0">
                  <a:latin typeface="Cambria Math" panose="02040503050406030204" pitchFamily="18" charset="0"/>
                </a:rPr>
                <a:t>∑▒𝑅</a:t>
              </a:r>
              <a:r>
                <a:rPr lang="hr-HR" sz="1100" b="0" i="0" baseline="0">
                  <a:latin typeface="Cambria Math" panose="02040503050406030204" pitchFamily="18" charset="0"/>
                </a:rPr>
                <a:t>=</a:t>
              </a:r>
              <a:r>
                <a:rPr lang="hr-HR" sz="1100" b="0" i="0" baseline="0">
                  <a:solidFill>
                    <a:schemeClr val="dk1"/>
                  </a:solidFill>
                  <a:effectLst/>
                  <a:latin typeface="Cambria Math" panose="02040503050406030204" pitchFamily="18" charset="0"/>
                  <a:ea typeface="+mn-ea"/>
                  <a:cs typeface="+mn-cs"/>
                </a:rPr>
                <a:t>𝐶_0</a:t>
              </a:r>
              <a:endParaRPr lang="hr-HR" sz="1100" baseline="0"/>
            </a:p>
            <a:p>
              <a:pP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▒𝑎_𝑘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▒𝐼_𝑘 +</a:t>
              </a:r>
              <a:r>
                <a:rPr lang="hr-HR" sz="1100" i="0" baseline="0">
                  <a:solidFill>
                    <a:schemeClr val="dk1"/>
                  </a:solidFill>
                  <a:effectLst/>
                  <a:latin typeface="Cambria Math" panose="02040503050406030204" pitchFamily="18" charset="0"/>
                  <a:ea typeface="+mn-ea"/>
                  <a:cs typeface="+mn-cs"/>
                </a:rPr>
                <a:t>∑▒𝑅</a:t>
              </a:r>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Fallback>
    </mc:AlternateContent>
    <xdr:clientData/>
  </xdr:twoCellAnchor>
  <xdr:twoCellAnchor>
    <xdr:from>
      <xdr:col>1</xdr:col>
      <xdr:colOff>0</xdr:colOff>
      <xdr:row>222</xdr:row>
      <xdr:rowOff>0</xdr:rowOff>
    </xdr:from>
    <xdr:to>
      <xdr:col>10</xdr:col>
      <xdr:colOff>250074</xdr:colOff>
      <xdr:row>268</xdr:row>
      <xdr:rowOff>1</xdr:rowOff>
    </xdr:to>
    <mc:AlternateContent xmlns:mc="http://schemas.openxmlformats.org/markup-compatibility/2006" xmlns:a14="http://schemas.microsoft.com/office/drawing/2010/main">
      <mc:Choice Requires="a14">
        <xdr:sp macro="" textlink="">
          <xdr:nvSpPr>
            <xdr:cNvPr id="9" name="TekstniOkvir 8">
              <a:extLst>
                <a:ext uri="{FF2B5EF4-FFF2-40B4-BE49-F238E27FC236}">
                  <a16:creationId xmlns:a16="http://schemas.microsoft.com/office/drawing/2014/main" id="{4E20FD93-4D39-4B4F-A611-AB93D30BEB84}"/>
                </a:ext>
              </a:extLst>
            </xdr:cNvPr>
            <xdr:cNvSpPr txBox="1"/>
          </xdr:nvSpPr>
          <xdr:spPr>
            <a:xfrm>
              <a:off x="609600" y="40881300"/>
              <a:ext cx="5736474" cy="847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uz 4. ishod</a:t>
              </a:r>
            </a:p>
            <a:p>
              <a:endParaRPr lang="hr-HR" sz="1100" b="1"/>
            </a:p>
            <a:p>
              <a:r>
                <a:rPr lang="hr-HR" sz="1100" b="1"/>
                <a:t>Linearna,</a:t>
              </a:r>
              <a:r>
                <a:rPr lang="hr-HR" sz="1100" b="1" baseline="0"/>
                <a:t> kvadratna i eksponencijalna funkcija:</a:t>
              </a:r>
            </a:p>
            <a:p>
              <a:endParaRPr lang="hr-HR" sz="1100" b="1" baseline="0"/>
            </a:p>
            <a:p>
              <a:r>
                <a:rPr lang="hr-HR" sz="1100" b="1">
                  <a:solidFill>
                    <a:schemeClr val="dk1"/>
                  </a:solidFill>
                  <a:effectLst/>
                  <a:latin typeface="+mn-lt"/>
                  <a:ea typeface="+mn-ea"/>
                  <a:cs typeface="+mn-cs"/>
                </a:rPr>
                <a:t>Grafički prikaz podataka:</a:t>
              </a:r>
              <a:endParaRPr lang="hr-HR" b="1">
                <a:effectLst/>
              </a:endParaRPr>
            </a:p>
            <a:p>
              <a:r>
                <a:rPr lang="hr-HR" sz="1100">
                  <a:solidFill>
                    <a:schemeClr val="dk1"/>
                  </a:solidFill>
                  <a:effectLst/>
                  <a:latin typeface="+mn-lt"/>
                  <a:ea typeface="+mn-ea"/>
                  <a:cs typeface="+mn-cs"/>
                </a:rPr>
                <a:t>Označimo podatke iz tablice. U</a:t>
              </a:r>
              <a:r>
                <a:rPr lang="hr-HR" sz="1100" baseline="0">
                  <a:solidFill>
                    <a:schemeClr val="dk1"/>
                  </a:solidFill>
                  <a:effectLst/>
                  <a:latin typeface="+mn-lt"/>
                  <a:ea typeface="+mn-ea"/>
                  <a:cs typeface="+mn-cs"/>
                </a:rPr>
                <a:t> izborniku odaberemo </a:t>
              </a:r>
              <a:r>
                <a:rPr lang="hr-HR" sz="1100" i="1" baseline="0">
                  <a:solidFill>
                    <a:schemeClr val="dk1"/>
                  </a:solidFill>
                  <a:effectLst/>
                  <a:latin typeface="+mn-lt"/>
                  <a:ea typeface="+mn-ea"/>
                  <a:cs typeface="+mn-cs"/>
                </a:rPr>
                <a:t>Umetanje</a:t>
              </a:r>
              <a:r>
                <a:rPr lang="hr-HR" sz="1100" baseline="0">
                  <a:solidFill>
                    <a:schemeClr val="dk1"/>
                  </a:solidFill>
                  <a:effectLst/>
                  <a:latin typeface="+mn-lt"/>
                  <a:ea typeface="+mn-ea"/>
                  <a:cs typeface="+mn-cs"/>
                </a:rPr>
                <a:t>, potom jedan od ponuđenih grafikona: najbolje </a:t>
              </a:r>
              <a:r>
                <a:rPr lang="hr-HR" sz="1100" i="1" baseline="0">
                  <a:solidFill>
                    <a:schemeClr val="dk1"/>
                  </a:solidFill>
                  <a:effectLst/>
                  <a:latin typeface="+mn-lt"/>
                  <a:ea typeface="+mn-ea"/>
                  <a:cs typeface="+mn-cs"/>
                </a:rPr>
                <a:t>raspršeni</a:t>
              </a:r>
              <a:r>
                <a:rPr lang="hr-HR" sz="1100" baseline="0">
                  <a:solidFill>
                    <a:schemeClr val="dk1"/>
                  </a:solidFill>
                  <a:effectLst/>
                  <a:latin typeface="+mn-lt"/>
                  <a:ea typeface="+mn-ea"/>
                  <a:cs typeface="+mn-cs"/>
                </a:rPr>
                <a:t>.</a:t>
              </a:r>
              <a:endParaRPr lang="hr-HR">
                <a:effectLst/>
              </a:endParaRPr>
            </a:p>
            <a:p>
              <a:r>
                <a:rPr lang="hr-HR" sz="1100" b="1" baseline="0">
                  <a:solidFill>
                    <a:schemeClr val="dk1"/>
                  </a:solidFill>
                  <a:effectLst/>
                  <a:latin typeface="+mn-lt"/>
                  <a:ea typeface="+mn-ea"/>
                  <a:cs typeface="+mn-cs"/>
                </a:rPr>
                <a:t>Uređivanje grafa:</a:t>
              </a:r>
              <a:endParaRPr lang="hr-HR" b="1">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Brzi raspored</a:t>
              </a:r>
              <a:r>
                <a:rPr lang="hr-HR" sz="1100" baseline="0">
                  <a:solidFill>
                    <a:schemeClr val="dk1"/>
                  </a:solidFill>
                  <a:effectLst/>
                  <a:latin typeface="+mn-lt"/>
                  <a:ea typeface="+mn-ea"/>
                  <a:cs typeface="+mn-cs"/>
                </a:rPr>
                <a:t> i odaberemo onaj koji ima naslov i oznake za os x i os y. Upišemo ih.</a:t>
              </a:r>
              <a:endParaRPr lang="hr-HR">
                <a:effectLst/>
              </a:endParaRPr>
            </a:p>
            <a:p>
              <a:r>
                <a:rPr lang="hr-HR" sz="1100" baseline="0">
                  <a:solidFill>
                    <a:schemeClr val="dk1"/>
                  </a:solidFill>
                  <a:effectLst/>
                  <a:latin typeface="+mn-lt"/>
                  <a:ea typeface="+mn-ea"/>
                  <a:cs typeface="+mn-cs"/>
                </a:rPr>
                <a:t>Dobivanje jednadžbe: (postoji više različitih mogućnosti)</a:t>
              </a:r>
              <a:endParaRPr lang="hr-HR">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Dodaj element grafikona,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Crta trenda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Više mogućnosti crte trenda</a:t>
              </a:r>
              <a:r>
                <a:rPr lang="hr-HR" sz="1100" baseline="0">
                  <a:solidFill>
                    <a:schemeClr val="dk1"/>
                  </a:solidFill>
                  <a:effectLst/>
                  <a:latin typeface="+mn-lt"/>
                  <a:ea typeface="+mn-ea"/>
                  <a:cs typeface="+mn-cs"/>
                </a:rPr>
                <a:t>, odaberemo odgovarajući model (linearni, eksponencijalni ili polinomski 2. stupnja).</a:t>
              </a:r>
              <a:endParaRPr lang="hr-HR">
                <a:effectLst/>
              </a:endParaRPr>
            </a:p>
            <a:p>
              <a:r>
                <a:rPr lang="hr-HR" sz="1100" baseline="0">
                  <a:solidFill>
                    <a:schemeClr val="dk1"/>
                  </a:solidFill>
                  <a:effectLst/>
                  <a:latin typeface="+mn-lt"/>
                  <a:ea typeface="+mn-ea"/>
                  <a:cs typeface="+mn-cs"/>
                </a:rPr>
                <a:t>Na dnu odaberemo: </a:t>
              </a:r>
              <a:r>
                <a:rPr lang="hr-HR" sz="1100" i="1" baseline="0">
                  <a:solidFill>
                    <a:schemeClr val="dk1"/>
                  </a:solidFill>
                  <a:effectLst/>
                  <a:latin typeface="+mn-lt"/>
                  <a:ea typeface="+mn-ea"/>
                  <a:cs typeface="+mn-cs"/>
                </a:rPr>
                <a:t>Prikaži jednadžbu na grafikonu</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Prikaži R-kvadratnu vrijednost na grafikonu</a:t>
              </a:r>
              <a:r>
                <a:rPr lang="hr-HR" sz="1100" baseline="0">
                  <a:solidFill>
                    <a:schemeClr val="dk1"/>
                  </a:solidFill>
                  <a:effectLst/>
                  <a:latin typeface="+mn-lt"/>
                  <a:ea typeface="+mn-ea"/>
                  <a:cs typeface="+mn-cs"/>
                </a:rPr>
                <a:t>.</a:t>
              </a:r>
              <a:endParaRPr lang="hr-HR">
                <a:effectLst/>
              </a:endParaRPr>
            </a:p>
            <a:p>
              <a:endParaRPr lang="hr-HR" sz="1100"/>
            </a:p>
            <a:p>
              <a:r>
                <a:rPr lang="hr-HR" sz="1100" b="1"/>
                <a:t>Linearna</a:t>
              </a:r>
              <a:r>
                <a:rPr lang="hr-HR" sz="1100" b="1" baseline="0"/>
                <a:t> funkcija</a:t>
              </a:r>
              <a:endParaRPr lang="hr-HR" sz="1100" b="1"/>
            </a:p>
            <a:p>
              <a:pPr/>
              <a14:m>
                <m:oMathPara xmlns:m="http://schemas.openxmlformats.org/officeDocument/2006/math">
                  <m:oMathParaPr>
                    <m:jc m:val="left"/>
                  </m:oMathParaPr>
                  <m:oMath xmlns:m="http://schemas.openxmlformats.org/officeDocument/2006/math">
                    <m:r>
                      <a:rPr lang="hr-HR" sz="1100" i="1">
                        <a:latin typeface="Cambria Math" panose="02040503050406030204" pitchFamily="18" charset="0"/>
                      </a:rPr>
                      <m:t>𝑓</m:t>
                    </m:r>
                    <m:r>
                      <a:rPr lang="hr-HR" sz="1100" i="1">
                        <a:latin typeface="Cambria Math" panose="02040503050406030204" pitchFamily="18" charset="0"/>
                      </a:rPr>
                      <m:t>(</m:t>
                    </m:r>
                    <m:r>
                      <a:rPr lang="hr-HR" sz="1100" i="1">
                        <a:latin typeface="Cambria Math" panose="02040503050406030204" pitchFamily="18" charset="0"/>
                      </a:rPr>
                      <m:t>𝑥</m:t>
                    </m:r>
                    <m:r>
                      <a:rPr lang="hr-HR" sz="1100" i="1">
                        <a:latin typeface="Cambria Math" panose="02040503050406030204" pitchFamily="18" charset="0"/>
                      </a:rPr>
                      <m:t>)=</m:t>
                    </m:r>
                    <m:r>
                      <a:rPr lang="en-US" sz="1100" b="0" i="1">
                        <a:latin typeface="Cambria Math" panose="02040503050406030204" pitchFamily="18" charset="0"/>
                      </a:rPr>
                      <m:t>𝑎</m:t>
                    </m:r>
                    <m:r>
                      <a:rPr lang="hr-HR" sz="1100" i="1">
                        <a:latin typeface="Cambria Math" panose="02040503050406030204" pitchFamily="18" charset="0"/>
                      </a:rPr>
                      <m:t>𝑥</m:t>
                    </m:r>
                    <m:r>
                      <a:rPr lang="hr-HR" sz="1100" i="1">
                        <a:latin typeface="Cambria Math" panose="02040503050406030204" pitchFamily="18" charset="0"/>
                      </a:rPr>
                      <m:t>+</m:t>
                    </m:r>
                    <m:r>
                      <a:rPr lang="en-US" sz="1100" b="0" i="1">
                        <a:latin typeface="Cambria Math" panose="02040503050406030204" pitchFamily="18" charset="0"/>
                      </a:rPr>
                      <m:t>𝑏</m:t>
                    </m:r>
                  </m:oMath>
                </m:oMathPara>
              </a14:m>
              <a:endParaRPr lang="hr-HR" sz="1100"/>
            </a:p>
            <a:p>
              <a:r>
                <a:rPr lang="en-US" sz="1100"/>
                <a:t>a</a:t>
              </a:r>
              <a:r>
                <a:rPr lang="hr-HR" sz="1100"/>
                <a:t> = koeficijent smjera (prosječno povećanje/smanjenje</a:t>
              </a:r>
              <a:r>
                <a:rPr lang="hr-HR" sz="1100" baseline="0"/>
                <a:t> varijable y za promjenu varijable x za jednu jedinicu)</a:t>
              </a:r>
              <a:endParaRPr lang="hr-HR" sz="1100"/>
            </a:p>
            <a:p>
              <a:r>
                <a:rPr lang="hr-HR" sz="1100" baseline="0"/>
                <a:t>interpretacija parametra </a:t>
              </a:r>
              <a:r>
                <a:rPr lang="en-US" sz="1100" i="1" baseline="0"/>
                <a:t>a</a:t>
              </a:r>
              <a:r>
                <a:rPr lang="hr-HR" sz="1100" baseline="0"/>
                <a:t>: s povećanjem x za 1 jedinicu </a:t>
              </a:r>
              <a:r>
                <a:rPr lang="hr-HR" sz="1100" i="1" baseline="0"/>
                <a:t>y </a:t>
              </a:r>
              <a:r>
                <a:rPr lang="hr-HR" sz="1100" i="0" baseline="0"/>
                <a:t>se u</a:t>
              </a:r>
              <a:r>
                <a:rPr lang="hr-HR" sz="1100" baseline="0"/>
                <a:t> prosjeku povećava/smanjuje za </a:t>
              </a:r>
              <a:r>
                <a:rPr lang="en-US" sz="1100" i="1" baseline="0"/>
                <a:t>a</a:t>
              </a:r>
              <a:r>
                <a:rPr lang="hr-HR" sz="1100" i="1" baseline="0"/>
                <a:t> </a:t>
              </a:r>
              <a:r>
                <a:rPr lang="hr-HR" sz="1100" baseline="0"/>
                <a:t> jedinica.</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hr-HR" sz="1100">
                  <a:solidFill>
                    <a:schemeClr val="dk1"/>
                  </a:solidFill>
                  <a:effectLst/>
                  <a:latin typeface="+mn-lt"/>
                  <a:ea typeface="+mn-ea"/>
                  <a:cs typeface="+mn-cs"/>
                </a:rPr>
                <a:t> =odsječak</a:t>
              </a:r>
              <a:r>
                <a:rPr lang="hr-HR" sz="1100" baseline="0">
                  <a:solidFill>
                    <a:schemeClr val="dk1"/>
                  </a:solidFill>
                  <a:effectLst/>
                  <a:latin typeface="+mn-lt"/>
                  <a:ea typeface="+mn-ea"/>
                  <a:cs typeface="+mn-cs"/>
                </a:rPr>
                <a:t> na osi y</a:t>
              </a:r>
              <a:endParaRPr lang="hr-HR">
                <a:effectLst/>
              </a:endParaRPr>
            </a:p>
            <a:p>
              <a:r>
                <a:rPr lang="hr-HR" sz="1100" b="0" baseline="0"/>
                <a:t>interpretacija parametra </a:t>
              </a:r>
              <a:r>
                <a:rPr lang="en-US" sz="1100" b="0" i="1" baseline="0"/>
                <a:t>b</a:t>
              </a:r>
              <a:r>
                <a:rPr lang="hr-HR" sz="1100" b="0" i="0" baseline="0"/>
                <a:t>: za vrijednost varijable x nula, vrijednost y </a:t>
              </a:r>
              <a:r>
                <a:rPr lang="hr-HR" sz="1100" b="0" i="0" baseline="0">
                  <a:solidFill>
                    <a:schemeClr val="dk1"/>
                  </a:solidFill>
                  <a:effectLst/>
                  <a:latin typeface="+mn-lt"/>
                  <a:ea typeface="+mn-ea"/>
                  <a:cs typeface="+mn-cs"/>
                </a:rPr>
                <a:t>u prosjeku  i</a:t>
              </a:r>
              <a:r>
                <a:rPr lang="hr-HR" sz="1100" b="0" i="0" baseline="0"/>
                <a:t>znosi </a:t>
              </a:r>
              <a:r>
                <a:rPr lang="en-US" sz="1100" b="0" i="1" baseline="0"/>
                <a:t>b</a:t>
              </a:r>
              <a:r>
                <a:rPr lang="hr-HR" sz="1100" b="0" i="0" baseline="0"/>
                <a:t> jedinica.</a:t>
              </a:r>
              <a:endParaRPr lang="hr-HR" sz="1100" b="0" baseline="0"/>
            </a:p>
            <a:p>
              <a:endParaRPr lang="hr-HR" sz="1100" b="1" baseline="0"/>
            </a:p>
            <a:p>
              <a:r>
                <a:rPr lang="hr-HR" sz="1100" b="1" baseline="0"/>
                <a:t>Kvadratna funkcija</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sSup>
                      <m:sSupPr>
                        <m:ctrlPr>
                          <a:rPr lang="hr-HR" sz="1100" i="1">
                            <a:solidFill>
                              <a:schemeClr val="dk1"/>
                            </a:solidFill>
                            <a:effectLst/>
                            <a:latin typeface="Cambria Math" panose="02040503050406030204" pitchFamily="18" charset="0"/>
                            <a:ea typeface="+mn-ea"/>
                            <a:cs typeface="+mn-cs"/>
                          </a:rPr>
                        </m:ctrlPr>
                      </m:sSupPr>
                      <m:e>
                        <m:r>
                          <a:rPr lang="hr-HR" sz="1100" i="1">
                            <a:solidFill>
                              <a:schemeClr val="dk1"/>
                            </a:solidFill>
                            <a:effectLst/>
                            <a:latin typeface="Cambria Math" panose="02040503050406030204" pitchFamily="18" charset="0"/>
                            <a:ea typeface="+mn-ea"/>
                            <a:cs typeface="+mn-cs"/>
                          </a:rPr>
                          <m:t>𝑥</m:t>
                        </m:r>
                      </m:e>
                      <m:sup>
                        <m:r>
                          <a:rPr lang="hr-HR" sz="1100" i="1">
                            <a:solidFill>
                              <a:schemeClr val="dk1"/>
                            </a:solidFill>
                            <a:effectLst/>
                            <a:latin typeface="Cambria Math" panose="02040503050406030204" pitchFamily="18" charset="0"/>
                            <a:ea typeface="+mn-ea"/>
                            <a:cs typeface="+mn-cs"/>
                          </a:rPr>
                          <m:t>2</m:t>
                        </m:r>
                      </m:sup>
                    </m:sSup>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𝑏𝑥</m:t>
                    </m:r>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𝑐</m:t>
                    </m:r>
                  </m:oMath>
                </m:oMathPara>
              </a14:m>
              <a:endParaRPr lang="hr-HR">
                <a:effectLst/>
              </a:endParaRPr>
            </a:p>
            <a:p>
              <a:r>
                <a:rPr lang="hr-HR" sz="1100" baseline="0"/>
                <a:t>a= koeficijent smjera</a:t>
              </a:r>
            </a:p>
            <a:p>
              <a14:m>
                <m:oMath xmlns:m="http://schemas.openxmlformats.org/officeDocument/2006/math">
                  <m:r>
                    <a:rPr lang="hr-HR" sz="1100" i="1" baseline="0">
                      <a:latin typeface="Cambria Math" panose="02040503050406030204" pitchFamily="18" charset="0"/>
                    </a:rPr>
                    <m:t>𝑎</m:t>
                  </m:r>
                  <m:r>
                    <a:rPr lang="hr-HR" sz="1100" i="1" baseline="0">
                      <a:latin typeface="Cambria Math" panose="02040503050406030204" pitchFamily="18" charset="0"/>
                    </a:rPr>
                    <m:t>&gt;0</m:t>
                  </m:r>
                </m:oMath>
              </a14:m>
              <a:r>
                <a:rPr lang="hr-HR" sz="1100" baseline="0"/>
                <a:t> nasmiješena</a:t>
              </a:r>
            </a:p>
            <a:p>
              <a14:m>
                <m:oMath xmlns:m="http://schemas.openxmlformats.org/officeDocument/2006/math">
                  <m:r>
                    <a:rPr lang="hr-HR" sz="1100" i="1" baseline="0">
                      <a:latin typeface="Cambria Math" panose="02040503050406030204" pitchFamily="18" charset="0"/>
                    </a:rPr>
                    <m:t>𝑎</m:t>
                  </m:r>
                  <m:r>
                    <a:rPr lang="hr-HR" sz="1100" i="1" baseline="0">
                      <a:latin typeface="Cambria Math" panose="02040503050406030204" pitchFamily="18" charset="0"/>
                    </a:rPr>
                    <m:t>&lt;0</m:t>
                  </m:r>
                </m:oMath>
              </a14:m>
              <a:r>
                <a:rPr lang="hr-HR" sz="1100" baseline="0"/>
                <a:t> namrgođena</a:t>
              </a:r>
            </a:p>
            <a:p>
              <a:pPr/>
              <a14:m>
                <m:oMathPara xmlns:m="http://schemas.openxmlformats.org/officeDocument/2006/math">
                  <m:oMathParaPr>
                    <m:jc m:val="left"/>
                  </m:oMathParaPr>
                  <m:oMath xmlns:m="http://schemas.openxmlformats.org/officeDocument/2006/math">
                    <m:r>
                      <a:rPr lang="hr-HR" sz="1100" i="1" baseline="0">
                        <a:latin typeface="Cambria Math" panose="02040503050406030204" pitchFamily="18" charset="0"/>
                      </a:rPr>
                      <m:t>𝐷</m:t>
                    </m:r>
                    <m:r>
                      <a:rPr lang="hr-HR" sz="1100" i="1" baseline="0">
                        <a:latin typeface="Cambria Math" panose="02040503050406030204" pitchFamily="18" charset="0"/>
                      </a:rPr>
                      <m:t>=</m:t>
                    </m:r>
                    <m:sSup>
                      <m:sSupPr>
                        <m:ctrlPr>
                          <a:rPr lang="hr-HR" sz="1100" i="1" baseline="0">
                            <a:latin typeface="Cambria Math" panose="02040503050406030204" pitchFamily="18" charset="0"/>
                          </a:rPr>
                        </m:ctrlPr>
                      </m:sSupPr>
                      <m:e>
                        <m:r>
                          <a:rPr lang="hr-HR" sz="1100" b="0" i="1" baseline="0">
                            <a:latin typeface="Cambria Math" panose="02040503050406030204" pitchFamily="18" charset="0"/>
                          </a:rPr>
                          <m:t>𝑏</m:t>
                        </m:r>
                      </m:e>
                      <m:sup>
                        <m:r>
                          <a:rPr lang="hr-HR" sz="1100" b="0" i="1" baseline="0">
                            <a:latin typeface="Cambria Math" panose="02040503050406030204" pitchFamily="18" charset="0"/>
                          </a:rPr>
                          <m:t>2</m:t>
                        </m:r>
                      </m:sup>
                    </m:sSup>
                    <m:r>
                      <a:rPr lang="hr-HR" sz="1100" i="1" baseline="0">
                        <a:latin typeface="Cambria Math" panose="02040503050406030204" pitchFamily="18" charset="0"/>
                      </a:rPr>
                      <m:t>−4</m:t>
                    </m:r>
                    <m:r>
                      <a:rPr lang="hr-HR" sz="1100" i="1" baseline="0">
                        <a:latin typeface="Cambria Math" panose="02040503050406030204" pitchFamily="18" charset="0"/>
                      </a:rPr>
                      <m:t>𝑎𝑐</m:t>
                    </m:r>
                  </m:oMath>
                </m:oMathPara>
              </a14:m>
              <a:endParaRPr lang="hr-HR" sz="1100" baseline="0"/>
            </a:p>
            <a:p>
              <a:r>
                <a:rPr lang="hr-HR" sz="1100" baseline="0"/>
                <a:t>Nultočke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𝑥</m:t>
                      </m:r>
                    </m:e>
                    <m:sub>
                      <m:r>
                        <a:rPr lang="hr-HR" sz="1100" b="0" i="1">
                          <a:solidFill>
                            <a:schemeClr val="dk1"/>
                          </a:solidFill>
                          <a:effectLst/>
                          <a:latin typeface="Cambria Math" panose="02040503050406030204" pitchFamily="18" charset="0"/>
                          <a:ea typeface="+mn-ea"/>
                          <a:cs typeface="+mn-cs"/>
                        </a:rPr>
                        <m:t>1,2</m:t>
                      </m:r>
                    </m:sub>
                  </m:sSub>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r>
                        <a:rPr lang="hr-HR" sz="1100" b="0" i="1">
                          <a:solidFill>
                            <a:schemeClr val="dk1"/>
                          </a:solidFill>
                          <a:effectLst/>
                          <a:latin typeface="Cambria Math" panose="02040503050406030204" pitchFamily="18" charset="0"/>
                          <a:ea typeface="+mn-ea"/>
                          <a:cs typeface="+mn-cs"/>
                        </a:rPr>
                        <m:t>±</m:t>
                      </m:r>
                      <m:rad>
                        <m:radPr>
                          <m:degHide m:val="on"/>
                          <m:ctrlPr>
                            <a:rPr lang="hr-HR" sz="1100" b="0" i="1">
                              <a:solidFill>
                                <a:schemeClr val="dk1"/>
                              </a:solidFill>
                              <a:effectLst/>
                              <a:latin typeface="Cambria Math" panose="02040503050406030204" pitchFamily="18" charset="0"/>
                              <a:ea typeface="+mn-ea"/>
                              <a:cs typeface="+mn-cs"/>
                            </a:rPr>
                          </m:ctrlPr>
                        </m:radPr>
                        <m:deg/>
                        <m:e>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2</m:t>
                              </m:r>
                            </m:sup>
                          </m:sSup>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𝑎𝑐</m:t>
                          </m:r>
                        </m:e>
                      </m:rad>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oMath>
              </a14:m>
              <a:r>
                <a:rPr lang="hr-HR" sz="1100" baseline="0"/>
                <a:t> ili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𝑥</m:t>
                      </m:r>
                    </m:e>
                    <m:sub>
                      <m:r>
                        <a:rPr lang="hr-HR" sz="1100" b="0" i="1">
                          <a:solidFill>
                            <a:schemeClr val="dk1"/>
                          </a:solidFill>
                          <a:effectLst/>
                          <a:latin typeface="Cambria Math" panose="02040503050406030204" pitchFamily="18" charset="0"/>
                          <a:ea typeface="+mn-ea"/>
                          <a:cs typeface="+mn-cs"/>
                        </a:rPr>
                        <m:t>1,2</m:t>
                      </m:r>
                    </m:sub>
                  </m:sSub>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r>
                        <a:rPr lang="hr-HR" sz="1100" b="0" i="1">
                          <a:solidFill>
                            <a:schemeClr val="dk1"/>
                          </a:solidFill>
                          <a:effectLst/>
                          <a:latin typeface="Cambria Math" panose="02040503050406030204" pitchFamily="18" charset="0"/>
                          <a:ea typeface="+mn-ea"/>
                          <a:cs typeface="+mn-cs"/>
                        </a:rPr>
                        <m:t>±</m:t>
                      </m:r>
                      <m:rad>
                        <m:radPr>
                          <m:degHide m:val="on"/>
                          <m:ctrlPr>
                            <a:rPr lang="hr-HR" sz="1100" b="0" i="1">
                              <a:solidFill>
                                <a:schemeClr val="dk1"/>
                              </a:solidFill>
                              <a:effectLst/>
                              <a:latin typeface="Cambria Math" panose="02040503050406030204" pitchFamily="18" charset="0"/>
                              <a:ea typeface="+mn-ea"/>
                              <a:cs typeface="+mn-cs"/>
                            </a:rPr>
                          </m:ctrlPr>
                        </m:radPr>
                        <m:deg/>
                        <m:e>
                          <m:r>
                            <a:rPr lang="hr-HR" sz="1100" b="0" i="1">
                              <a:solidFill>
                                <a:schemeClr val="dk1"/>
                              </a:solidFill>
                              <a:effectLst/>
                              <a:latin typeface="Cambria Math" panose="02040503050406030204" pitchFamily="18" charset="0"/>
                              <a:ea typeface="+mn-ea"/>
                              <a:cs typeface="+mn-cs"/>
                            </a:rPr>
                            <m:t>𝐷</m:t>
                          </m:r>
                        </m:e>
                      </m:rad>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oMath>
              </a14:m>
              <a:r>
                <a:rPr lang="hr-HR" sz="1100" baseline="0">
                  <a:solidFill>
                    <a:schemeClr val="dk1"/>
                  </a:solidFill>
                  <a:effectLst/>
                  <a:latin typeface="+mn-lt"/>
                  <a:ea typeface="+mn-ea"/>
                  <a:cs typeface="+mn-cs"/>
                </a:rPr>
                <a:t> </a:t>
              </a:r>
              <a:endParaRPr lang="hr-HR" sz="1100" baseline="0"/>
            </a:p>
            <a:p>
              <a:r>
                <a:rPr lang="hr-HR" sz="1100" baseline="0"/>
                <a:t>Tjeme </a:t>
              </a:r>
              <a14:m>
                <m:oMath xmlns:m="http://schemas.openxmlformats.org/officeDocument/2006/math">
                  <m:d>
                    <m:dPr>
                      <m:ctrlPr>
                        <a:rPr lang="hr-HR" sz="1100" b="0" i="1">
                          <a:solidFill>
                            <a:schemeClr val="dk1"/>
                          </a:solidFill>
                          <a:effectLst/>
                          <a:latin typeface="Cambria Math" panose="02040503050406030204" pitchFamily="18" charset="0"/>
                          <a:ea typeface="+mn-ea"/>
                          <a:cs typeface="+mn-cs"/>
                        </a:rPr>
                      </m:ctrlPr>
                    </m:dPr>
                    <m:e>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𝑎𝑐</m:t>
                          </m:r>
                          <m:r>
                            <a:rPr lang="hr-HR" sz="1100" b="0" i="1">
                              <a:solidFill>
                                <a:schemeClr val="dk1"/>
                              </a:solidFill>
                              <a:effectLst/>
                              <a:latin typeface="Cambria Math" panose="02040503050406030204" pitchFamily="18" charset="0"/>
                              <a:ea typeface="+mn-ea"/>
                              <a:cs typeface="+mn-cs"/>
                            </a:rPr>
                            <m:t>−</m:t>
                          </m:r>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2</m:t>
                              </m:r>
                            </m:sup>
                          </m:sSup>
                        </m:num>
                        <m:den>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m:t>
                          </m:r>
                        </m:den>
                      </m:f>
                    </m:e>
                  </m:d>
                </m:oMath>
              </a14:m>
              <a:endParaRPr lang="hr-HR" sz="1100" baseline="0"/>
            </a:p>
            <a:p>
              <a:endParaRPr lang="hr-HR" sz="1100" baseline="0"/>
            </a:p>
            <a:p>
              <a:endParaRPr lang="hr-HR" sz="1100" baseline="0"/>
            </a:p>
            <a:p>
              <a:r>
                <a:rPr lang="hr-HR" sz="1100" b="1" baseline="0"/>
                <a:t>Eksponencijalna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izrađujemo model u Excelu pomoću grafa, dobije se u obliku </a:t>
              </a:r>
              <a14:m>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r>
                    <a:rPr lang="hr-HR" sz="1100" i="1">
                      <a:solidFill>
                        <a:schemeClr val="dk1"/>
                      </a:solidFill>
                      <a:effectLst/>
                      <a:latin typeface="Cambria Math" panose="02040503050406030204" pitchFamily="18" charset="0"/>
                      <a:ea typeface="+mn-ea"/>
                      <a:cs typeface="+mn-cs"/>
                    </a:rPr>
                    <m:t>∙</m:t>
                  </m:r>
                  <m:sSup>
                    <m:sSupPr>
                      <m:ctrlPr>
                        <a:rPr lang="hr-HR" sz="110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𝑒</m:t>
                      </m:r>
                    </m:e>
                    <m:sup>
                      <m:r>
                        <a:rPr lang="hr-HR" sz="1100" b="0" i="1">
                          <a:solidFill>
                            <a:schemeClr val="dk1"/>
                          </a:solidFill>
                          <a:effectLst/>
                          <a:latin typeface="Cambria Math" panose="02040503050406030204" pitchFamily="18" charset="0"/>
                          <a:ea typeface="+mn-ea"/>
                          <a:cs typeface="+mn-cs"/>
                        </a:rPr>
                        <m:t>𝑐𝑥</m:t>
                      </m:r>
                    </m:sup>
                  </m:sSup>
                </m:oMath>
              </a14:m>
              <a:r>
                <a:rPr lang="hr-HR" sz="1100">
                  <a:solidFill>
                    <a:schemeClr val="dk1"/>
                  </a:solidFill>
                  <a:effectLst/>
                  <a:latin typeface="+mn-lt"/>
                  <a:ea typeface="+mn-ea"/>
                  <a:cs typeface="+mn-cs"/>
                </a:rPr>
                <a:t>.</a:t>
              </a:r>
            </a:p>
            <a:p>
              <a:r>
                <a:rPr lang="hr-HR" sz="1100" baseline="0">
                  <a:solidFill>
                    <a:schemeClr val="dk1"/>
                  </a:solidFill>
                  <a:effectLst/>
                  <a:latin typeface="+mn-lt"/>
                  <a:ea typeface="+mn-ea"/>
                  <a:cs typeface="+mn-cs"/>
                </a:rPr>
                <a:t>interpretacija parametra </a:t>
              </a:r>
              <a:r>
                <a:rPr lang="hr-HR" sz="1100" i="1" baseline="0">
                  <a:solidFill>
                    <a:schemeClr val="dk1"/>
                  </a:solidFill>
                  <a:effectLst/>
                  <a:latin typeface="+mn-lt"/>
                  <a:ea typeface="+mn-ea"/>
                  <a:cs typeface="+mn-cs"/>
                </a:rPr>
                <a:t>c</a:t>
              </a:r>
              <a:r>
                <a:rPr lang="hr-HR" sz="1100" baseline="0">
                  <a:solidFill>
                    <a:schemeClr val="dk1"/>
                  </a:solidFill>
                  <a:effectLst/>
                  <a:latin typeface="+mn-lt"/>
                  <a:ea typeface="+mn-ea"/>
                  <a:cs typeface="+mn-cs"/>
                </a:rPr>
                <a:t>: s povećanjem x za 1 jedinicu </a:t>
              </a:r>
              <a:r>
                <a:rPr lang="hr-HR" sz="1100" i="1" baseline="0">
                  <a:solidFill>
                    <a:schemeClr val="dk1"/>
                  </a:solidFill>
                  <a:effectLst/>
                  <a:latin typeface="+mn-lt"/>
                  <a:ea typeface="+mn-ea"/>
                  <a:cs typeface="+mn-cs"/>
                </a:rPr>
                <a:t>y </a:t>
              </a:r>
              <a:r>
                <a:rPr lang="hr-HR" sz="1100" i="0" baseline="0">
                  <a:solidFill>
                    <a:schemeClr val="dk1"/>
                  </a:solidFill>
                  <a:effectLst/>
                  <a:latin typeface="+mn-lt"/>
                  <a:ea typeface="+mn-ea"/>
                  <a:cs typeface="+mn-cs"/>
                </a:rPr>
                <a:t>se u</a:t>
              </a:r>
              <a:r>
                <a:rPr lang="hr-HR" sz="1100" baseline="0">
                  <a:solidFill>
                    <a:schemeClr val="dk1"/>
                  </a:solidFill>
                  <a:effectLst/>
                  <a:latin typeface="+mn-lt"/>
                  <a:ea typeface="+mn-ea"/>
                  <a:cs typeface="+mn-cs"/>
                </a:rPr>
                <a:t> prosjeku povećava/smanjuje za </a:t>
              </a:r>
              <a:r>
                <a:rPr lang="hr-HR" sz="1100" i="1" baseline="0">
                  <a:solidFill>
                    <a:schemeClr val="dk1"/>
                  </a:solidFill>
                  <a:effectLst/>
                  <a:latin typeface="+mn-lt"/>
                  <a:ea typeface="+mn-ea"/>
                  <a:cs typeface="+mn-cs"/>
                </a:rPr>
                <a:t>c*100%</a:t>
              </a:r>
              <a:r>
                <a:rPr lang="hr-HR" sz="1100" baseline="0">
                  <a:solidFill>
                    <a:schemeClr val="dk1"/>
                  </a:solidFill>
                  <a:effectLst/>
                  <a:latin typeface="+mn-lt"/>
                  <a:ea typeface="+mn-ea"/>
                  <a:cs typeface="+mn-cs"/>
                </a:rPr>
                <a:t>.</a:t>
              </a:r>
              <a:endParaRPr lang="hr-HR">
                <a:effectLst/>
              </a:endParaRPr>
            </a:p>
            <a:p>
              <a:r>
                <a:rPr lang="hr-HR" sz="1100" b="0" baseline="0">
                  <a:solidFill>
                    <a:schemeClr val="dk1"/>
                  </a:solidFill>
                  <a:effectLst/>
                  <a:latin typeface="+mn-lt"/>
                  <a:ea typeface="+mn-ea"/>
                  <a:cs typeface="+mn-cs"/>
                </a:rPr>
                <a:t>interpretacija parametra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za vrijednost varijable x nula, vrijednost y u prosjeku  iznosi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jedinica.</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a:effectLst/>
                </a:rPr>
                <a:t>Ako je c &gt; 0,05 tada se računa parametar </a:t>
              </a:r>
              <a:r>
                <a:rPr lang="hr-HR" i="1">
                  <a:effectLst/>
                </a:rPr>
                <a:t>b</a:t>
              </a:r>
              <a:r>
                <a:rPr lang="hr-HR" i="0">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Parametar</a:t>
              </a:r>
              <a:r>
                <a:rPr lang="hr-HR" sz="1100" baseline="0">
                  <a:solidFill>
                    <a:schemeClr val="dk1"/>
                  </a:solidFill>
                  <a:effectLst/>
                  <a:latin typeface="+mn-lt"/>
                  <a:ea typeface="+mn-ea"/>
                  <a:cs typeface="+mn-cs"/>
                </a:rPr>
                <a:t>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oMath>
              </a14:m>
              <a:r>
                <a:rPr lang="hr-HR" sz="1100" baseline="0">
                  <a:solidFill>
                    <a:schemeClr val="dk1"/>
                  </a:solidFill>
                  <a:effectLst/>
                  <a:latin typeface="+mn-lt"/>
                  <a:ea typeface="+mn-ea"/>
                  <a:cs typeface="+mn-cs"/>
                </a:rPr>
                <a:t> se određuje: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𝐸𝑋𝑃</m:t>
                  </m:r>
                  <m:r>
                    <a:rPr lang="hr-HR" sz="110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𝑐</m:t>
                  </m:r>
                  <m:r>
                    <a:rPr lang="hr-HR" sz="1100" i="1" baseline="0">
                      <a:solidFill>
                        <a:schemeClr val="dk1"/>
                      </a:solidFill>
                      <a:effectLst/>
                      <a:latin typeface="Cambria Math" panose="02040503050406030204" pitchFamily="18" charset="0"/>
                      <a:ea typeface="+mn-ea"/>
                      <a:cs typeface="+mn-cs"/>
                    </a:rPr>
                    <m:t>)</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r>
                      <a:rPr lang="hr-HR" sz="1100" i="1">
                        <a:solidFill>
                          <a:schemeClr val="dk1"/>
                        </a:solidFill>
                        <a:effectLst/>
                        <a:latin typeface="Cambria Math" panose="02040503050406030204" pitchFamily="18" charset="0"/>
                        <a:ea typeface="Cambria Math" panose="02040503050406030204" pitchFamily="18" charset="0"/>
                        <a:cs typeface="+mn-cs"/>
                      </a:rPr>
                      <m:t>∙</m:t>
                    </m:r>
                    <m:sSup>
                      <m:sSupPr>
                        <m:ctrlPr>
                          <a:rPr lang="hr-HR" sz="110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𝑥</m:t>
                        </m:r>
                      </m:sup>
                    </m:sSup>
                  </m:oMath>
                </m:oMathPara>
              </a14:m>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npr.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=1,03 </m:t>
                  </m:r>
                </m:oMath>
              </a14:m>
              <a:r>
                <a:rPr lang="hr-HR" sz="1100" baseline="0">
                  <a:solidFill>
                    <a:schemeClr val="dk1"/>
                  </a:solidFill>
                  <a:effectLst/>
                  <a:latin typeface="+mn-lt"/>
                  <a:ea typeface="+mn-ea"/>
                  <a:cs typeface="+mn-cs"/>
                </a:rPr>
                <a:t>prosječna postotna promjena iznosi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−1)=(1,03−1)=0,03=3%</m:t>
                  </m:r>
                </m:oMath>
              </a14:m>
              <a:r>
                <a:rPr lang="hr-H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postotni rast 7,2 % tada je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=1,072</m:t>
                  </m:r>
                </m:oMath>
              </a14:m>
              <a:r>
                <a:rPr lang="hr-HR" sz="1100" baseline="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baseline="0"/>
            </a:p>
            <a:p>
              <a:endParaRPr lang="hr-HR" b="0">
                <a:effectLst/>
                <a:ea typeface="Cambria Math" panose="02040503050406030204" pitchFamily="18" charset="0"/>
              </a:endParaRPr>
            </a:p>
          </xdr:txBody>
        </xdr:sp>
      </mc:Choice>
      <mc:Fallback xmlns="">
        <xdr:sp macro="" textlink="">
          <xdr:nvSpPr>
            <xdr:cNvPr id="9" name="TekstniOkvir 8">
              <a:extLst>
                <a:ext uri="{FF2B5EF4-FFF2-40B4-BE49-F238E27FC236}">
                  <a16:creationId xmlns:a16="http://schemas.microsoft.com/office/drawing/2014/main" id="{4E20FD93-4D39-4B4F-A611-AB93D30BEB84}"/>
                </a:ext>
              </a:extLst>
            </xdr:cNvPr>
            <xdr:cNvSpPr txBox="1"/>
          </xdr:nvSpPr>
          <xdr:spPr>
            <a:xfrm>
              <a:off x="609600" y="40881300"/>
              <a:ext cx="5736474" cy="847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uz 4. ishod</a:t>
              </a:r>
            </a:p>
            <a:p>
              <a:endParaRPr lang="hr-HR" sz="1100" b="1"/>
            </a:p>
            <a:p>
              <a:r>
                <a:rPr lang="hr-HR" sz="1100" b="1"/>
                <a:t>Linearna,</a:t>
              </a:r>
              <a:r>
                <a:rPr lang="hr-HR" sz="1100" b="1" baseline="0"/>
                <a:t> kvadratna i eksponencijalna funkcija:</a:t>
              </a:r>
            </a:p>
            <a:p>
              <a:endParaRPr lang="hr-HR" sz="1100" b="1" baseline="0"/>
            </a:p>
            <a:p>
              <a:r>
                <a:rPr lang="hr-HR" sz="1100" b="1">
                  <a:solidFill>
                    <a:schemeClr val="dk1"/>
                  </a:solidFill>
                  <a:effectLst/>
                  <a:latin typeface="+mn-lt"/>
                  <a:ea typeface="+mn-ea"/>
                  <a:cs typeface="+mn-cs"/>
                </a:rPr>
                <a:t>Grafički prikaz podataka:</a:t>
              </a:r>
              <a:endParaRPr lang="hr-HR" b="1">
                <a:effectLst/>
              </a:endParaRPr>
            </a:p>
            <a:p>
              <a:r>
                <a:rPr lang="hr-HR" sz="1100">
                  <a:solidFill>
                    <a:schemeClr val="dk1"/>
                  </a:solidFill>
                  <a:effectLst/>
                  <a:latin typeface="+mn-lt"/>
                  <a:ea typeface="+mn-ea"/>
                  <a:cs typeface="+mn-cs"/>
                </a:rPr>
                <a:t>Označimo podatke iz tablice. U</a:t>
              </a:r>
              <a:r>
                <a:rPr lang="hr-HR" sz="1100" baseline="0">
                  <a:solidFill>
                    <a:schemeClr val="dk1"/>
                  </a:solidFill>
                  <a:effectLst/>
                  <a:latin typeface="+mn-lt"/>
                  <a:ea typeface="+mn-ea"/>
                  <a:cs typeface="+mn-cs"/>
                </a:rPr>
                <a:t> izborniku odaberemo </a:t>
              </a:r>
              <a:r>
                <a:rPr lang="hr-HR" sz="1100" i="1" baseline="0">
                  <a:solidFill>
                    <a:schemeClr val="dk1"/>
                  </a:solidFill>
                  <a:effectLst/>
                  <a:latin typeface="+mn-lt"/>
                  <a:ea typeface="+mn-ea"/>
                  <a:cs typeface="+mn-cs"/>
                </a:rPr>
                <a:t>Umetanje</a:t>
              </a:r>
              <a:r>
                <a:rPr lang="hr-HR" sz="1100" baseline="0">
                  <a:solidFill>
                    <a:schemeClr val="dk1"/>
                  </a:solidFill>
                  <a:effectLst/>
                  <a:latin typeface="+mn-lt"/>
                  <a:ea typeface="+mn-ea"/>
                  <a:cs typeface="+mn-cs"/>
                </a:rPr>
                <a:t>, potom jedan od ponuđenih grafikona: najbolje </a:t>
              </a:r>
              <a:r>
                <a:rPr lang="hr-HR" sz="1100" i="1" baseline="0">
                  <a:solidFill>
                    <a:schemeClr val="dk1"/>
                  </a:solidFill>
                  <a:effectLst/>
                  <a:latin typeface="+mn-lt"/>
                  <a:ea typeface="+mn-ea"/>
                  <a:cs typeface="+mn-cs"/>
                </a:rPr>
                <a:t>raspršeni</a:t>
              </a:r>
              <a:r>
                <a:rPr lang="hr-HR" sz="1100" baseline="0">
                  <a:solidFill>
                    <a:schemeClr val="dk1"/>
                  </a:solidFill>
                  <a:effectLst/>
                  <a:latin typeface="+mn-lt"/>
                  <a:ea typeface="+mn-ea"/>
                  <a:cs typeface="+mn-cs"/>
                </a:rPr>
                <a:t>.</a:t>
              </a:r>
              <a:endParaRPr lang="hr-HR">
                <a:effectLst/>
              </a:endParaRPr>
            </a:p>
            <a:p>
              <a:r>
                <a:rPr lang="hr-HR" sz="1100" b="1" baseline="0">
                  <a:solidFill>
                    <a:schemeClr val="dk1"/>
                  </a:solidFill>
                  <a:effectLst/>
                  <a:latin typeface="+mn-lt"/>
                  <a:ea typeface="+mn-ea"/>
                  <a:cs typeface="+mn-cs"/>
                </a:rPr>
                <a:t>Uređivanje grafa:</a:t>
              </a:r>
              <a:endParaRPr lang="hr-HR" b="1">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Brzi raspored</a:t>
              </a:r>
              <a:r>
                <a:rPr lang="hr-HR" sz="1100" baseline="0">
                  <a:solidFill>
                    <a:schemeClr val="dk1"/>
                  </a:solidFill>
                  <a:effectLst/>
                  <a:latin typeface="+mn-lt"/>
                  <a:ea typeface="+mn-ea"/>
                  <a:cs typeface="+mn-cs"/>
                </a:rPr>
                <a:t> i odaberemo onaj koji ima naslov i oznake za os x i os y. Upišemo ih.</a:t>
              </a:r>
              <a:endParaRPr lang="hr-HR">
                <a:effectLst/>
              </a:endParaRPr>
            </a:p>
            <a:p>
              <a:r>
                <a:rPr lang="hr-HR" sz="1100" baseline="0">
                  <a:solidFill>
                    <a:schemeClr val="dk1"/>
                  </a:solidFill>
                  <a:effectLst/>
                  <a:latin typeface="+mn-lt"/>
                  <a:ea typeface="+mn-ea"/>
                  <a:cs typeface="+mn-cs"/>
                </a:rPr>
                <a:t>Dobivanje jednadžbe: (postoji više različitih mogućnosti)</a:t>
              </a:r>
              <a:endParaRPr lang="hr-HR">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Dodaj element grafikona,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Crta trenda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Više mogućnosti crte trenda</a:t>
              </a:r>
              <a:r>
                <a:rPr lang="hr-HR" sz="1100" baseline="0">
                  <a:solidFill>
                    <a:schemeClr val="dk1"/>
                  </a:solidFill>
                  <a:effectLst/>
                  <a:latin typeface="+mn-lt"/>
                  <a:ea typeface="+mn-ea"/>
                  <a:cs typeface="+mn-cs"/>
                </a:rPr>
                <a:t>, odaberemo odgovarajući model (linearni, eksponencijalni ili polinomski 2. stupnja).</a:t>
              </a:r>
              <a:endParaRPr lang="hr-HR">
                <a:effectLst/>
              </a:endParaRPr>
            </a:p>
            <a:p>
              <a:r>
                <a:rPr lang="hr-HR" sz="1100" baseline="0">
                  <a:solidFill>
                    <a:schemeClr val="dk1"/>
                  </a:solidFill>
                  <a:effectLst/>
                  <a:latin typeface="+mn-lt"/>
                  <a:ea typeface="+mn-ea"/>
                  <a:cs typeface="+mn-cs"/>
                </a:rPr>
                <a:t>Na dnu odaberemo: </a:t>
              </a:r>
              <a:r>
                <a:rPr lang="hr-HR" sz="1100" i="1" baseline="0">
                  <a:solidFill>
                    <a:schemeClr val="dk1"/>
                  </a:solidFill>
                  <a:effectLst/>
                  <a:latin typeface="+mn-lt"/>
                  <a:ea typeface="+mn-ea"/>
                  <a:cs typeface="+mn-cs"/>
                </a:rPr>
                <a:t>Prikaži jednadžbu na grafikonu</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Prikaži R-kvadratnu vrijednost na grafikonu</a:t>
              </a:r>
              <a:r>
                <a:rPr lang="hr-HR" sz="1100" baseline="0">
                  <a:solidFill>
                    <a:schemeClr val="dk1"/>
                  </a:solidFill>
                  <a:effectLst/>
                  <a:latin typeface="+mn-lt"/>
                  <a:ea typeface="+mn-ea"/>
                  <a:cs typeface="+mn-cs"/>
                </a:rPr>
                <a:t>.</a:t>
              </a:r>
              <a:endParaRPr lang="hr-HR">
                <a:effectLst/>
              </a:endParaRPr>
            </a:p>
            <a:p>
              <a:endParaRPr lang="hr-HR" sz="1100"/>
            </a:p>
            <a:p>
              <a:r>
                <a:rPr lang="hr-HR" sz="1100" b="1"/>
                <a:t>Linearna</a:t>
              </a:r>
              <a:r>
                <a:rPr lang="hr-HR" sz="1100" b="1" baseline="0"/>
                <a:t> funkcija</a:t>
              </a:r>
              <a:endParaRPr lang="hr-HR" sz="1100" b="1"/>
            </a:p>
            <a:p>
              <a:pPr/>
              <a:r>
                <a:rPr lang="hr-HR" sz="1100" i="0">
                  <a:latin typeface="Cambria Math" panose="02040503050406030204" pitchFamily="18" charset="0"/>
                </a:rPr>
                <a:t>𝑓(𝑥)=</a:t>
              </a:r>
              <a:r>
                <a:rPr lang="en-US" sz="1100" b="0" i="0">
                  <a:latin typeface="Cambria Math" panose="02040503050406030204" pitchFamily="18" charset="0"/>
                </a:rPr>
                <a:t>𝑎</a:t>
              </a:r>
              <a:r>
                <a:rPr lang="hr-HR" sz="1100" i="0">
                  <a:latin typeface="Cambria Math" panose="02040503050406030204" pitchFamily="18" charset="0"/>
                </a:rPr>
                <a:t>𝑥+</a:t>
              </a:r>
              <a:r>
                <a:rPr lang="en-US" sz="1100" b="0" i="0">
                  <a:latin typeface="Cambria Math" panose="02040503050406030204" pitchFamily="18" charset="0"/>
                </a:rPr>
                <a:t>𝑏</a:t>
              </a:r>
              <a:endParaRPr lang="hr-HR" sz="1100"/>
            </a:p>
            <a:p>
              <a:r>
                <a:rPr lang="en-US" sz="1100"/>
                <a:t>a</a:t>
              </a:r>
              <a:r>
                <a:rPr lang="hr-HR" sz="1100"/>
                <a:t> = koeficijent smjera (prosječno povećanje/smanjenje</a:t>
              </a:r>
              <a:r>
                <a:rPr lang="hr-HR" sz="1100" baseline="0"/>
                <a:t> varijable y za promjenu varijable x za jednu jedinicu)</a:t>
              </a:r>
              <a:endParaRPr lang="hr-HR" sz="1100"/>
            </a:p>
            <a:p>
              <a:r>
                <a:rPr lang="hr-HR" sz="1100" baseline="0"/>
                <a:t>interpretacija parametra </a:t>
              </a:r>
              <a:r>
                <a:rPr lang="en-US" sz="1100" i="1" baseline="0"/>
                <a:t>a</a:t>
              </a:r>
              <a:r>
                <a:rPr lang="hr-HR" sz="1100" baseline="0"/>
                <a:t>: s povećanjem x za 1 jedinicu </a:t>
              </a:r>
              <a:r>
                <a:rPr lang="hr-HR" sz="1100" i="1" baseline="0"/>
                <a:t>y </a:t>
              </a:r>
              <a:r>
                <a:rPr lang="hr-HR" sz="1100" i="0" baseline="0"/>
                <a:t>se u</a:t>
              </a:r>
              <a:r>
                <a:rPr lang="hr-HR" sz="1100" baseline="0"/>
                <a:t> prosjeku povećava/smanjuje za </a:t>
              </a:r>
              <a:r>
                <a:rPr lang="en-US" sz="1100" i="1" baseline="0"/>
                <a:t>a</a:t>
              </a:r>
              <a:r>
                <a:rPr lang="hr-HR" sz="1100" i="1" baseline="0"/>
                <a:t> </a:t>
              </a:r>
              <a:r>
                <a:rPr lang="hr-HR" sz="1100" baseline="0"/>
                <a:t> jedinica.</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hr-HR" sz="1100">
                  <a:solidFill>
                    <a:schemeClr val="dk1"/>
                  </a:solidFill>
                  <a:effectLst/>
                  <a:latin typeface="+mn-lt"/>
                  <a:ea typeface="+mn-ea"/>
                  <a:cs typeface="+mn-cs"/>
                </a:rPr>
                <a:t> =odsječak</a:t>
              </a:r>
              <a:r>
                <a:rPr lang="hr-HR" sz="1100" baseline="0">
                  <a:solidFill>
                    <a:schemeClr val="dk1"/>
                  </a:solidFill>
                  <a:effectLst/>
                  <a:latin typeface="+mn-lt"/>
                  <a:ea typeface="+mn-ea"/>
                  <a:cs typeface="+mn-cs"/>
                </a:rPr>
                <a:t> na osi y</a:t>
              </a:r>
              <a:endParaRPr lang="hr-HR">
                <a:effectLst/>
              </a:endParaRPr>
            </a:p>
            <a:p>
              <a:r>
                <a:rPr lang="hr-HR" sz="1100" b="0" baseline="0"/>
                <a:t>interpretacija parametra </a:t>
              </a:r>
              <a:r>
                <a:rPr lang="en-US" sz="1100" b="0" i="1" baseline="0"/>
                <a:t>b</a:t>
              </a:r>
              <a:r>
                <a:rPr lang="hr-HR" sz="1100" b="0" i="0" baseline="0"/>
                <a:t>: za vrijednost varijable x nula, vrijednost y </a:t>
              </a:r>
              <a:r>
                <a:rPr lang="hr-HR" sz="1100" b="0" i="0" baseline="0">
                  <a:solidFill>
                    <a:schemeClr val="dk1"/>
                  </a:solidFill>
                  <a:effectLst/>
                  <a:latin typeface="+mn-lt"/>
                  <a:ea typeface="+mn-ea"/>
                  <a:cs typeface="+mn-cs"/>
                </a:rPr>
                <a:t>u prosjeku  i</a:t>
              </a:r>
              <a:r>
                <a:rPr lang="hr-HR" sz="1100" b="0" i="0" baseline="0"/>
                <a:t>znosi </a:t>
              </a:r>
              <a:r>
                <a:rPr lang="en-US" sz="1100" b="0" i="1" baseline="0"/>
                <a:t>b</a:t>
              </a:r>
              <a:r>
                <a:rPr lang="hr-HR" sz="1100" b="0" i="0" baseline="0"/>
                <a:t> jedinica.</a:t>
              </a:r>
              <a:endParaRPr lang="hr-HR" sz="1100" b="0" baseline="0"/>
            </a:p>
            <a:p>
              <a:endParaRPr lang="hr-HR" sz="1100" b="1" baseline="0"/>
            </a:p>
            <a:p>
              <a:r>
                <a:rPr lang="hr-HR" sz="1100" b="1" baseline="0"/>
                <a:t>Kvadratna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i="0">
                  <a:solidFill>
                    <a:schemeClr val="dk1"/>
                  </a:solidFill>
                  <a:effectLst/>
                  <a:latin typeface="Cambria Math" panose="02040503050406030204" pitchFamily="18" charset="0"/>
                  <a:ea typeface="+mn-ea"/>
                  <a:cs typeface="+mn-cs"/>
                </a:rPr>
                <a:t>𝑓(𝑥)=𝑎𝑥^2+𝑏𝑥</a:t>
              </a:r>
              <a:r>
                <a:rPr lang="hr-HR" sz="1100" b="0" i="0">
                  <a:solidFill>
                    <a:schemeClr val="dk1"/>
                  </a:solidFill>
                  <a:effectLst/>
                  <a:latin typeface="Cambria Math" panose="02040503050406030204" pitchFamily="18" charset="0"/>
                  <a:ea typeface="+mn-ea"/>
                  <a:cs typeface="+mn-cs"/>
                </a:rPr>
                <a:t>+𝑐</a:t>
              </a:r>
              <a:endParaRPr lang="hr-HR">
                <a:effectLst/>
              </a:endParaRPr>
            </a:p>
            <a:p>
              <a:r>
                <a:rPr lang="hr-HR" sz="1100" baseline="0"/>
                <a:t>a= koeficijent smjera</a:t>
              </a:r>
            </a:p>
            <a:p>
              <a:r>
                <a:rPr lang="hr-HR" sz="1100" i="0" baseline="0">
                  <a:latin typeface="Cambria Math" panose="02040503050406030204" pitchFamily="18" charset="0"/>
                </a:rPr>
                <a:t>𝑎&gt;0</a:t>
              </a:r>
              <a:r>
                <a:rPr lang="hr-HR" sz="1100" baseline="0"/>
                <a:t> nasmiješena</a:t>
              </a:r>
            </a:p>
            <a:p>
              <a:r>
                <a:rPr lang="hr-HR" sz="1100" i="0" baseline="0">
                  <a:latin typeface="Cambria Math" panose="02040503050406030204" pitchFamily="18" charset="0"/>
                </a:rPr>
                <a:t>𝑎&lt;0</a:t>
              </a:r>
              <a:r>
                <a:rPr lang="hr-HR" sz="1100" baseline="0"/>
                <a:t> namrgođena</a:t>
              </a:r>
            </a:p>
            <a:p>
              <a:pPr/>
              <a:r>
                <a:rPr lang="hr-HR" sz="1100" i="0" baseline="0">
                  <a:latin typeface="Cambria Math" panose="02040503050406030204" pitchFamily="18" charset="0"/>
                </a:rPr>
                <a:t>𝐷=</a:t>
              </a:r>
              <a:r>
                <a:rPr lang="hr-HR" sz="1100" b="0" i="0" baseline="0">
                  <a:latin typeface="Cambria Math" panose="02040503050406030204" pitchFamily="18" charset="0"/>
                </a:rPr>
                <a:t>𝑏^2</a:t>
              </a:r>
              <a:r>
                <a:rPr lang="hr-HR" sz="1100" i="0" baseline="0">
                  <a:latin typeface="Cambria Math" panose="02040503050406030204" pitchFamily="18" charset="0"/>
                </a:rPr>
                <a:t>−4𝑎𝑐</a:t>
              </a:r>
              <a:endParaRPr lang="hr-HR" sz="1100" baseline="0"/>
            </a:p>
            <a:p>
              <a:r>
                <a:rPr lang="hr-HR" sz="1100" baseline="0"/>
                <a:t>Nultočke </a:t>
              </a:r>
              <a:r>
                <a:rPr lang="hr-HR" sz="1100" b="0" i="0">
                  <a:solidFill>
                    <a:schemeClr val="dk1"/>
                  </a:solidFill>
                  <a:effectLst/>
                  <a:latin typeface="Cambria Math" panose="02040503050406030204" pitchFamily="18" charset="0"/>
                  <a:ea typeface="+mn-ea"/>
                  <a:cs typeface="+mn-cs"/>
                </a:rPr>
                <a:t>𝑥_1,2=(−𝑏±√(𝑏^2−4𝑎𝑐))/2𝑎</a:t>
              </a:r>
              <a:r>
                <a:rPr lang="hr-HR" sz="1100" baseline="0"/>
                <a:t> ili </a:t>
              </a:r>
              <a:r>
                <a:rPr lang="hr-HR" sz="1100" b="0" i="0">
                  <a:solidFill>
                    <a:schemeClr val="dk1"/>
                  </a:solidFill>
                  <a:effectLst/>
                  <a:latin typeface="Cambria Math" panose="02040503050406030204" pitchFamily="18" charset="0"/>
                  <a:ea typeface="+mn-ea"/>
                  <a:cs typeface="+mn-cs"/>
                </a:rPr>
                <a:t>𝑥_1,2=(−𝑏±√𝐷)/2𝑎</a:t>
              </a:r>
              <a:r>
                <a:rPr lang="hr-HR" sz="1100" baseline="0">
                  <a:solidFill>
                    <a:schemeClr val="dk1"/>
                  </a:solidFill>
                  <a:effectLst/>
                  <a:latin typeface="+mn-lt"/>
                  <a:ea typeface="+mn-ea"/>
                  <a:cs typeface="+mn-cs"/>
                </a:rPr>
                <a:t> </a:t>
              </a:r>
              <a:endParaRPr lang="hr-HR" sz="1100" baseline="0"/>
            </a:p>
            <a:p>
              <a:r>
                <a:rPr lang="hr-HR" sz="1100" baseline="0"/>
                <a:t>Tjeme </a:t>
              </a:r>
              <a:r>
                <a:rPr lang="hr-HR" sz="1100" b="0" i="0">
                  <a:solidFill>
                    <a:schemeClr val="dk1"/>
                  </a:solidFill>
                  <a:effectLst/>
                  <a:latin typeface="Cambria Math" panose="02040503050406030204" pitchFamily="18" charset="0"/>
                  <a:ea typeface="+mn-ea"/>
                  <a:cs typeface="+mn-cs"/>
                </a:rPr>
                <a:t>((−𝑏)/2𝑎,(4𝑎𝑐−𝑏^2)/4𝑎)</a:t>
              </a:r>
              <a:endParaRPr lang="hr-HR" sz="1100" baseline="0"/>
            </a:p>
            <a:p>
              <a:endParaRPr lang="hr-HR" sz="1100" baseline="0"/>
            </a:p>
            <a:p>
              <a:endParaRPr lang="hr-HR" sz="1100" baseline="0"/>
            </a:p>
            <a:p>
              <a:r>
                <a:rPr lang="hr-HR" sz="1100" b="1" baseline="0"/>
                <a:t>Eksponencijalna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izrađujemo model u Excelu pomoću grafa, dobije se u obliku </a:t>
              </a:r>
              <a:r>
                <a:rPr lang="hr-HR" sz="1100" i="0">
                  <a:solidFill>
                    <a:schemeClr val="dk1"/>
                  </a:solidFill>
                  <a:effectLst/>
                  <a:latin typeface="Cambria Math" panose="02040503050406030204" pitchFamily="18" charset="0"/>
                  <a:ea typeface="+mn-ea"/>
                  <a:cs typeface="+mn-cs"/>
                </a:rPr>
                <a:t>𝑓(𝑥)=𝑎∙</a:t>
              </a:r>
              <a:r>
                <a:rPr lang="hr-HR" sz="1100" b="0" i="0">
                  <a:solidFill>
                    <a:schemeClr val="dk1"/>
                  </a:solidFill>
                  <a:effectLst/>
                  <a:latin typeface="Cambria Math" panose="02040503050406030204" pitchFamily="18" charset="0"/>
                  <a:ea typeface="+mn-ea"/>
                  <a:cs typeface="+mn-cs"/>
                </a:rPr>
                <a:t>𝑒^𝑐𝑥</a:t>
              </a:r>
              <a:r>
                <a:rPr lang="hr-HR" sz="1100">
                  <a:solidFill>
                    <a:schemeClr val="dk1"/>
                  </a:solidFill>
                  <a:effectLst/>
                  <a:latin typeface="+mn-lt"/>
                  <a:ea typeface="+mn-ea"/>
                  <a:cs typeface="+mn-cs"/>
                </a:rPr>
                <a:t>.</a:t>
              </a:r>
            </a:p>
            <a:p>
              <a:r>
                <a:rPr lang="hr-HR" sz="1100" baseline="0">
                  <a:solidFill>
                    <a:schemeClr val="dk1"/>
                  </a:solidFill>
                  <a:effectLst/>
                  <a:latin typeface="+mn-lt"/>
                  <a:ea typeface="+mn-ea"/>
                  <a:cs typeface="+mn-cs"/>
                </a:rPr>
                <a:t>interpretacija parametra </a:t>
              </a:r>
              <a:r>
                <a:rPr lang="hr-HR" sz="1100" i="1" baseline="0">
                  <a:solidFill>
                    <a:schemeClr val="dk1"/>
                  </a:solidFill>
                  <a:effectLst/>
                  <a:latin typeface="+mn-lt"/>
                  <a:ea typeface="+mn-ea"/>
                  <a:cs typeface="+mn-cs"/>
                </a:rPr>
                <a:t>c</a:t>
              </a:r>
              <a:r>
                <a:rPr lang="hr-HR" sz="1100" baseline="0">
                  <a:solidFill>
                    <a:schemeClr val="dk1"/>
                  </a:solidFill>
                  <a:effectLst/>
                  <a:latin typeface="+mn-lt"/>
                  <a:ea typeface="+mn-ea"/>
                  <a:cs typeface="+mn-cs"/>
                </a:rPr>
                <a:t>: s povećanjem x za 1 jedinicu </a:t>
              </a:r>
              <a:r>
                <a:rPr lang="hr-HR" sz="1100" i="1" baseline="0">
                  <a:solidFill>
                    <a:schemeClr val="dk1"/>
                  </a:solidFill>
                  <a:effectLst/>
                  <a:latin typeface="+mn-lt"/>
                  <a:ea typeface="+mn-ea"/>
                  <a:cs typeface="+mn-cs"/>
                </a:rPr>
                <a:t>y </a:t>
              </a:r>
              <a:r>
                <a:rPr lang="hr-HR" sz="1100" i="0" baseline="0">
                  <a:solidFill>
                    <a:schemeClr val="dk1"/>
                  </a:solidFill>
                  <a:effectLst/>
                  <a:latin typeface="+mn-lt"/>
                  <a:ea typeface="+mn-ea"/>
                  <a:cs typeface="+mn-cs"/>
                </a:rPr>
                <a:t>se u</a:t>
              </a:r>
              <a:r>
                <a:rPr lang="hr-HR" sz="1100" baseline="0">
                  <a:solidFill>
                    <a:schemeClr val="dk1"/>
                  </a:solidFill>
                  <a:effectLst/>
                  <a:latin typeface="+mn-lt"/>
                  <a:ea typeface="+mn-ea"/>
                  <a:cs typeface="+mn-cs"/>
                </a:rPr>
                <a:t> prosjeku povećava/smanjuje za </a:t>
              </a:r>
              <a:r>
                <a:rPr lang="hr-HR" sz="1100" i="1" baseline="0">
                  <a:solidFill>
                    <a:schemeClr val="dk1"/>
                  </a:solidFill>
                  <a:effectLst/>
                  <a:latin typeface="+mn-lt"/>
                  <a:ea typeface="+mn-ea"/>
                  <a:cs typeface="+mn-cs"/>
                </a:rPr>
                <a:t>c*100%</a:t>
              </a:r>
              <a:r>
                <a:rPr lang="hr-HR" sz="1100" baseline="0">
                  <a:solidFill>
                    <a:schemeClr val="dk1"/>
                  </a:solidFill>
                  <a:effectLst/>
                  <a:latin typeface="+mn-lt"/>
                  <a:ea typeface="+mn-ea"/>
                  <a:cs typeface="+mn-cs"/>
                </a:rPr>
                <a:t>.</a:t>
              </a:r>
              <a:endParaRPr lang="hr-HR">
                <a:effectLst/>
              </a:endParaRPr>
            </a:p>
            <a:p>
              <a:r>
                <a:rPr lang="hr-HR" sz="1100" b="0" baseline="0">
                  <a:solidFill>
                    <a:schemeClr val="dk1"/>
                  </a:solidFill>
                  <a:effectLst/>
                  <a:latin typeface="+mn-lt"/>
                  <a:ea typeface="+mn-ea"/>
                  <a:cs typeface="+mn-cs"/>
                </a:rPr>
                <a:t>interpretacija parametra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za vrijednost varijable x nula, vrijednost y u prosjeku  iznosi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jedinica.</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a:effectLst/>
                </a:rPr>
                <a:t>Ako je c &gt; 0,05 tada se računa parametar </a:t>
              </a:r>
              <a:r>
                <a:rPr lang="hr-HR" i="1">
                  <a:effectLst/>
                </a:rPr>
                <a:t>b</a:t>
              </a:r>
              <a:r>
                <a:rPr lang="hr-HR" i="0">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Parametar</a:t>
              </a:r>
              <a:r>
                <a:rPr lang="hr-HR" sz="110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𝑏</a:t>
              </a:r>
              <a:r>
                <a:rPr lang="hr-HR" sz="1100" baseline="0">
                  <a:solidFill>
                    <a:schemeClr val="dk1"/>
                  </a:solidFill>
                  <a:effectLst/>
                  <a:latin typeface="+mn-lt"/>
                  <a:ea typeface="+mn-ea"/>
                  <a:cs typeface="+mn-cs"/>
                </a:rPr>
                <a:t> se određuje: </a:t>
              </a:r>
              <a:r>
                <a:rPr lang="hr-HR" sz="1100" i="0" baseline="0">
                  <a:solidFill>
                    <a:schemeClr val="dk1"/>
                  </a:solidFill>
                  <a:effectLst/>
                  <a:latin typeface="Cambria Math" panose="02040503050406030204" pitchFamily="18" charset="0"/>
                  <a:ea typeface="+mn-ea"/>
                  <a:cs typeface="+mn-cs"/>
                </a:rPr>
                <a:t>𝑏=𝐸𝑋𝑃(𝑐)</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a:solidFill>
                    <a:schemeClr val="dk1"/>
                  </a:solidFill>
                  <a:effectLst/>
                  <a:latin typeface="Cambria Math" panose="02040503050406030204" pitchFamily="18" charset="0"/>
                  <a:ea typeface="+mn-ea"/>
                  <a:cs typeface="+mn-cs"/>
                </a:rPr>
                <a:t>𝑓(𝑥)=𝑎</a:t>
              </a:r>
              <a:r>
                <a:rPr lang="hr-HR" sz="1100" i="0">
                  <a:solidFill>
                    <a:schemeClr val="dk1"/>
                  </a:solidFill>
                  <a:effectLst/>
                  <a:latin typeface="Cambria Math" panose="02040503050406030204" pitchFamily="18" charset="0"/>
                  <a:ea typeface="Cambria Math" panose="02040503050406030204" pitchFamily="18" charset="0"/>
                  <a:cs typeface="+mn-cs"/>
                </a:rPr>
                <a:t>∙</a:t>
              </a:r>
              <a:r>
                <a:rPr lang="hr-HR" sz="1100" b="0" i="0">
                  <a:solidFill>
                    <a:schemeClr val="dk1"/>
                  </a:solidFill>
                  <a:effectLst/>
                  <a:latin typeface="Cambria Math" panose="02040503050406030204" pitchFamily="18" charset="0"/>
                  <a:ea typeface="+mn-ea"/>
                  <a:cs typeface="+mn-cs"/>
                </a:rPr>
                <a:t>𝑏^𝑥</a:t>
              </a: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npr. </a:t>
              </a:r>
              <a:r>
                <a:rPr lang="hr-HR" sz="1100" i="0" baseline="0">
                  <a:solidFill>
                    <a:schemeClr val="dk1"/>
                  </a:solidFill>
                  <a:effectLst/>
                  <a:latin typeface="Cambria Math" panose="02040503050406030204" pitchFamily="18" charset="0"/>
                  <a:ea typeface="+mn-ea"/>
                  <a:cs typeface="+mn-cs"/>
                </a:rPr>
                <a:t>𝑏=1,03 </a:t>
              </a:r>
              <a:r>
                <a:rPr lang="hr-HR" sz="1100" baseline="0">
                  <a:solidFill>
                    <a:schemeClr val="dk1"/>
                  </a:solidFill>
                  <a:effectLst/>
                  <a:latin typeface="+mn-lt"/>
                  <a:ea typeface="+mn-ea"/>
                  <a:cs typeface="+mn-cs"/>
                </a:rPr>
                <a:t>prosječna postotna promjena iznosi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𝑏</a:t>
              </a:r>
              <a:r>
                <a:rPr lang="hr-HR" sz="1100" i="0" baseline="0">
                  <a:solidFill>
                    <a:schemeClr val="dk1"/>
                  </a:solidFill>
                  <a:effectLst/>
                  <a:latin typeface="Cambria Math" panose="02040503050406030204" pitchFamily="18" charset="0"/>
                  <a:ea typeface="+mn-ea"/>
                  <a:cs typeface="+mn-cs"/>
                </a:rPr>
                <a:t>−1)=(1,03−1)=0,03=3%</a:t>
              </a:r>
              <a:r>
                <a:rPr lang="hr-H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postotni rast 7,2 % tada je </a:t>
              </a:r>
              <a:r>
                <a:rPr lang="hr-HR" sz="1100" i="0" baseline="0">
                  <a:solidFill>
                    <a:schemeClr val="dk1"/>
                  </a:solidFill>
                  <a:effectLst/>
                  <a:latin typeface="Cambria Math" panose="02040503050406030204" pitchFamily="18" charset="0"/>
                  <a:ea typeface="+mn-ea"/>
                  <a:cs typeface="+mn-cs"/>
                </a:rPr>
                <a:t>𝑏=1,072</a:t>
              </a:r>
              <a:r>
                <a:rPr lang="hr-HR" sz="1100" baseline="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baseline="0"/>
            </a:p>
            <a:p>
              <a:endParaRPr lang="hr-HR" b="0">
                <a:effectLst/>
                <a:ea typeface="Cambria Math" panose="02040503050406030204" pitchFamily="18" charset="0"/>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579120</xdr:colOff>
      <xdr:row>15</xdr:row>
      <xdr:rowOff>15240</xdr:rowOff>
    </xdr:from>
    <xdr:to>
      <xdr:col>11</xdr:col>
      <xdr:colOff>396240</xdr:colOff>
      <xdr:row>30</xdr:row>
      <xdr:rowOff>129540</xdr:rowOff>
    </xdr:to>
    <xdr:graphicFrame macro="">
      <xdr:nvGraphicFramePr>
        <xdr:cNvPr id="2" name="Grafikon 1">
          <a:extLst>
            <a:ext uri="{FF2B5EF4-FFF2-40B4-BE49-F238E27FC236}">
              <a16:creationId xmlns:a16="http://schemas.microsoft.com/office/drawing/2014/main" id="{7B73C4A5-29C0-9DA6-1992-EEAC63377F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956310</xdr:colOff>
      <xdr:row>5</xdr:row>
      <xdr:rowOff>0</xdr:rowOff>
    </xdr:from>
    <xdr:to>
      <xdr:col>7</xdr:col>
      <xdr:colOff>525780</xdr:colOff>
      <xdr:row>15</xdr:row>
      <xdr:rowOff>106680</xdr:rowOff>
    </xdr:to>
    <xdr:graphicFrame macro="">
      <xdr:nvGraphicFramePr>
        <xdr:cNvPr id="2" name="Grafikon 1">
          <a:extLst>
            <a:ext uri="{FF2B5EF4-FFF2-40B4-BE49-F238E27FC236}">
              <a16:creationId xmlns:a16="http://schemas.microsoft.com/office/drawing/2014/main" id="{B4DA00C1-4A90-9F3D-C34A-FD6C394F90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xdr:colOff>
      <xdr:row>9</xdr:row>
      <xdr:rowOff>121920</xdr:rowOff>
    </xdr:from>
    <xdr:to>
      <xdr:col>13</xdr:col>
      <xdr:colOff>419100</xdr:colOff>
      <xdr:row>25</xdr:row>
      <xdr:rowOff>60960</xdr:rowOff>
    </xdr:to>
    <xdr:graphicFrame macro="">
      <xdr:nvGraphicFramePr>
        <xdr:cNvPr id="2" name="Grafikon 1">
          <a:extLst>
            <a:ext uri="{FF2B5EF4-FFF2-40B4-BE49-F238E27FC236}">
              <a16:creationId xmlns:a16="http://schemas.microsoft.com/office/drawing/2014/main" id="{07F5F312-FBF5-78D1-87D9-44D0858DA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workbookViewId="0">
      <selection activeCell="C1" sqref="C1"/>
    </sheetView>
  </sheetViews>
  <sheetFormatPr defaultColWidth="14.453125" defaultRowHeight="15" customHeight="1" x14ac:dyDescent="0.35"/>
  <cols>
    <col min="1" max="1" width="17.36328125" customWidth="1"/>
    <col min="2" max="2" width="17.6328125" customWidth="1"/>
    <col min="3" max="3" width="14.6328125" customWidth="1"/>
    <col min="4" max="4" width="12.36328125" customWidth="1"/>
    <col min="5" max="5" width="10.453125" customWidth="1"/>
    <col min="6" max="26" width="8.6328125" customWidth="1"/>
  </cols>
  <sheetData>
    <row r="1" spans="1:8" ht="26" x14ac:dyDescent="0.6">
      <c r="C1" s="1" t="s">
        <v>0</v>
      </c>
      <c r="F1" s="2"/>
      <c r="H1" s="3" t="s">
        <v>1</v>
      </c>
    </row>
    <row r="2" spans="1:8" ht="14.5" x14ac:dyDescent="0.35">
      <c r="C2" s="194" t="s">
        <v>274</v>
      </c>
      <c r="H2" s="3" t="s">
        <v>2</v>
      </c>
    </row>
    <row r="3" spans="1:8" ht="14.5" x14ac:dyDescent="0.35">
      <c r="C3" s="194" t="s">
        <v>276</v>
      </c>
    </row>
    <row r="4" spans="1:8" ht="14.5" x14ac:dyDescent="0.35"/>
    <row r="5" spans="1:8" ht="14.5" x14ac:dyDescent="0.35"/>
    <row r="6" spans="1:8" ht="14.5" x14ac:dyDescent="0.35">
      <c r="A6" s="4" t="s">
        <v>3</v>
      </c>
    </row>
    <row r="7" spans="1:8" ht="14.5" x14ac:dyDescent="0.35">
      <c r="A7" s="5" t="s">
        <v>4</v>
      </c>
      <c r="B7" s="6" t="s">
        <v>5</v>
      </c>
    </row>
    <row r="8" spans="1:8" ht="14.5" x14ac:dyDescent="0.35">
      <c r="A8" s="5" t="s">
        <v>6</v>
      </c>
      <c r="B8" s="6" t="s">
        <v>5</v>
      </c>
    </row>
    <row r="9" spans="1:8" ht="14.5" x14ac:dyDescent="0.35">
      <c r="A9" s="5" t="s">
        <v>7</v>
      </c>
      <c r="B9" s="6" t="s">
        <v>5</v>
      </c>
    </row>
    <row r="10" spans="1:8" ht="14.5" x14ac:dyDescent="0.35">
      <c r="A10" s="5" t="s">
        <v>8</v>
      </c>
      <c r="B10" s="6" t="s">
        <v>5</v>
      </c>
    </row>
    <row r="11" spans="1:8" ht="14.5" x14ac:dyDescent="0.35"/>
    <row r="12" spans="1:8" ht="14.25" customHeight="1" x14ac:dyDescent="0.35">
      <c r="A12" s="7"/>
      <c r="B12" s="195"/>
      <c r="C12" s="196"/>
      <c r="D12" s="195"/>
      <c r="E12" s="196"/>
      <c r="F12" s="8" t="s">
        <v>9</v>
      </c>
    </row>
    <row r="13" spans="1:8" ht="14.25" customHeight="1" x14ac:dyDescent="0.35">
      <c r="A13" s="9" t="s">
        <v>10</v>
      </c>
      <c r="B13" s="8" t="s">
        <v>11</v>
      </c>
      <c r="C13" s="8" t="s">
        <v>12</v>
      </c>
      <c r="D13" s="8" t="s">
        <v>13</v>
      </c>
      <c r="E13" s="8" t="s">
        <v>14</v>
      </c>
      <c r="F13" s="8"/>
    </row>
    <row r="14" spans="1:8" ht="14.25" customHeight="1" x14ac:dyDescent="0.35">
      <c r="A14" s="9" t="s">
        <v>15</v>
      </c>
      <c r="B14" s="10">
        <v>21</v>
      </c>
      <c r="C14" s="10">
        <v>21</v>
      </c>
      <c r="D14" s="10">
        <v>21</v>
      </c>
      <c r="E14" s="10">
        <v>21</v>
      </c>
      <c r="F14" s="10">
        <v>84</v>
      </c>
    </row>
    <row r="15" spans="1:8" ht="14.25" customHeight="1" x14ac:dyDescent="0.35">
      <c r="A15" s="9" t="s">
        <v>16</v>
      </c>
      <c r="B15" s="11" t="s">
        <v>17</v>
      </c>
      <c r="C15" s="11" t="s">
        <v>17</v>
      </c>
      <c r="D15" s="11" t="s">
        <v>17</v>
      </c>
      <c r="E15" s="11" t="s">
        <v>17</v>
      </c>
      <c r="F15" s="11" t="s">
        <v>18</v>
      </c>
    </row>
    <row r="16" spans="1:8" ht="14.25" customHeight="1" x14ac:dyDescent="0.35">
      <c r="A16" s="12"/>
      <c r="B16" s="13"/>
      <c r="C16" s="13"/>
      <c r="D16" s="13"/>
      <c r="E16" s="13"/>
      <c r="F16" s="13"/>
    </row>
    <row r="17" spans="1:1" ht="21" x14ac:dyDescent="0.5">
      <c r="A17" s="2" t="s">
        <v>19</v>
      </c>
    </row>
    <row r="18" spans="1:1" ht="14.25" customHeight="1" x14ac:dyDescent="0.35"/>
    <row r="19" spans="1:1" ht="14.25" customHeight="1" x14ac:dyDescent="0.35"/>
    <row r="20" spans="1:1" ht="14.25" customHeight="1" x14ac:dyDescent="0.35">
      <c r="A20" s="132" t="s">
        <v>20</v>
      </c>
    </row>
    <row r="21" spans="1:1" ht="14.25" customHeight="1" x14ac:dyDescent="0.35"/>
    <row r="22" spans="1:1" ht="14.25" customHeight="1" x14ac:dyDescent="0.35">
      <c r="A22" s="194" t="s">
        <v>273</v>
      </c>
    </row>
    <row r="23" spans="1:1" ht="14.25" customHeight="1" x14ac:dyDescent="0.35"/>
    <row r="24" spans="1:1" ht="14.25" customHeight="1" x14ac:dyDescent="0.35">
      <c r="A24" s="132" t="s">
        <v>21</v>
      </c>
    </row>
    <row r="25" spans="1:1" ht="14.25" customHeight="1" x14ac:dyDescent="0.35"/>
    <row r="26" spans="1:1" ht="14.25" customHeight="1" x14ac:dyDescent="0.35">
      <c r="A26" s="132" t="s">
        <v>22</v>
      </c>
    </row>
    <row r="27" spans="1:1" ht="14.25" customHeight="1" x14ac:dyDescent="0.35"/>
    <row r="28" spans="1:1" ht="14.25" customHeight="1" x14ac:dyDescent="0.35">
      <c r="A28" s="132" t="s">
        <v>23</v>
      </c>
    </row>
    <row r="29" spans="1:1" ht="14.25" customHeight="1" x14ac:dyDescent="0.35"/>
    <row r="30" spans="1:1" ht="14.25" customHeight="1" x14ac:dyDescent="0.35">
      <c r="A30" s="132" t="s">
        <v>255</v>
      </c>
    </row>
    <row r="31" spans="1:1" ht="14.25" customHeight="1" x14ac:dyDescent="0.35"/>
    <row r="32" spans="1:1" ht="14.25" customHeight="1" x14ac:dyDescent="0.35">
      <c r="A32" s="132" t="s">
        <v>24</v>
      </c>
    </row>
    <row r="33" spans="1:1" ht="14.25" customHeight="1" x14ac:dyDescent="0.35"/>
    <row r="34" spans="1:1" ht="14.25" customHeight="1" x14ac:dyDescent="0.35">
      <c r="A34" s="132" t="s">
        <v>25</v>
      </c>
    </row>
    <row r="35" spans="1:1" ht="14.25" customHeight="1" x14ac:dyDescent="0.35">
      <c r="A35" s="132" t="s">
        <v>26</v>
      </c>
    </row>
    <row r="36" spans="1:1" ht="14.25" customHeight="1" x14ac:dyDescent="0.35">
      <c r="A36" s="132" t="s">
        <v>27</v>
      </c>
    </row>
    <row r="37" spans="1:1" ht="14.25" customHeight="1" x14ac:dyDescent="0.35">
      <c r="A37" s="132" t="s">
        <v>28</v>
      </c>
    </row>
    <row r="38" spans="1:1" ht="14.25" customHeight="1" x14ac:dyDescent="0.35"/>
    <row r="39" spans="1:1" ht="14.25" customHeight="1" x14ac:dyDescent="0.35"/>
    <row r="40" spans="1:1" ht="14.25" customHeight="1" x14ac:dyDescent="0.35"/>
    <row r="41" spans="1:1" ht="14.25" customHeight="1" x14ac:dyDescent="0.35"/>
    <row r="42" spans="1:1" ht="14.5" x14ac:dyDescent="0.35"/>
    <row r="43" spans="1:1" ht="14.5" x14ac:dyDescent="0.35"/>
    <row r="44" spans="1:1" ht="14.5" x14ac:dyDescent="0.35"/>
    <row r="45" spans="1:1" ht="14.5" x14ac:dyDescent="0.35"/>
    <row r="46" spans="1:1" ht="14.5" x14ac:dyDescent="0.35"/>
    <row r="47" spans="1:1" ht="14.5" x14ac:dyDescent="0.35"/>
    <row r="48" spans="1:1"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
    <mergeCell ref="B12:C12"/>
    <mergeCell ref="D12:E12"/>
  </mergeCells>
  <dataValidations count="1">
    <dataValidation type="list" allowBlank="1" showErrorMessage="1" sqref="B7:B10" xr:uid="{00000000-0002-0000-0000-000000000000}">
      <formula1>"ne,da"</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4.453125" defaultRowHeight="15" customHeight="1" x14ac:dyDescent="0.35"/>
  <cols>
    <col min="1" max="26" width="10.6328125" customWidth="1"/>
  </cols>
  <sheetData>
    <row r="1" spans="1:8" ht="14.25" customHeight="1" x14ac:dyDescent="0.35">
      <c r="H1" s="14"/>
    </row>
    <row r="2" spans="1:8" ht="14.25" customHeight="1" x14ac:dyDescent="0.35">
      <c r="C2" s="3" t="s">
        <v>29</v>
      </c>
      <c r="D2" s="15" t="e">
        <f>kontrola!B2</f>
        <v>#REF!</v>
      </c>
      <c r="H2" s="14"/>
    </row>
    <row r="3" spans="1:8" ht="14.25" customHeight="1" x14ac:dyDescent="0.35">
      <c r="H3" s="14"/>
    </row>
    <row r="4" spans="1:8" ht="14.25" customHeight="1" x14ac:dyDescent="0.35">
      <c r="A4" s="3" t="s">
        <v>4</v>
      </c>
      <c r="B4" s="3" t="str">
        <f t="array" ref="B4">IF(kontrola!C4="da", _xludf.IFS(SUM(kontrola!H3:K3)&lt;=2,"Niste svladali osnove postotnog računa.",SUM(kontrola!H3:K3)&lt;=7,"Djelomično ste svladali osnove postotnog računa",SUM(kontrola!H3:K3)&lt;=8,"Odlično ste svladali osnove postotnog računa."), "Ishod 1 niste pisali.")</f>
        <v>Ishod 1 niste pisali.</v>
      </c>
      <c r="H4" s="14"/>
    </row>
    <row r="5" spans="1:8" ht="14.25" customHeight="1" x14ac:dyDescent="0.35">
      <c r="B5" s="3" t="str">
        <f t="array" ref="B5">IF(kontrola!C4="da", _xludf.IFS(SUM(kontrola!L3:M3)&lt;1,"Niste svladali izračun PDV-a.",SUM(kontrola!L3:M3)&lt;3,"Djelomično ste svladali primjenu postotnog računa u marketingu.",SUM(kontrola!L3:M3)&lt;=4,"Odlično ste svladali izračun PDV-a."), "Ishod 1 niste pisali.")</f>
        <v>Ishod 1 niste pisali.</v>
      </c>
      <c r="H5" s="14"/>
    </row>
    <row r="6" spans="1:8" ht="14.25" customHeight="1" x14ac:dyDescent="0.35">
      <c r="B6" s="3" t="str">
        <f t="array" ref="B6">IF(kontrola!C4="da", _xludf.IFS(SUM(kontrola!N3:Q3)&lt;3,"Niste svladali primjenu postotnog računa u marketingu.",SUM(kontrola!N3:Q3)&lt;7,"Djelomično ste svladali izračun PDV-a.",SUM(kontrola!N3:Q3)&lt;=8,"Odlično ste svladali primjenu postotnog računa u marketingu."), "Ishod 1 niste pisali.")</f>
        <v>Ishod 1 niste pisali.</v>
      </c>
      <c r="H6" s="14"/>
    </row>
    <row r="7" spans="1:8" ht="14.25" customHeight="1" x14ac:dyDescent="0.35">
      <c r="H7" s="14"/>
    </row>
    <row r="8" spans="1:8" ht="14.25" customHeight="1" x14ac:dyDescent="0.35">
      <c r="A8" s="3" t="s">
        <v>6</v>
      </c>
      <c r="B8" s="3" t="str">
        <f t="array" ref="B8">IF(kontrola!D4="da", _xludf.IFS(kontrola!R3&lt;2,"Niste svladali obračun plaće.",kontrola!R3&lt;4,"Djelomično ste svladali obračun plaće.",kontrola!R3&lt;=5,"Odlično ste svladali obračun plaće."), "Ishod 2 niste pisali.")</f>
        <v>Ishod 2 niste pisali.</v>
      </c>
      <c r="H8" s="14"/>
    </row>
    <row r="9" spans="1:8" ht="14.25" customHeight="1" x14ac:dyDescent="0.35">
      <c r="B9" s="3" t="str">
        <f t="array" ref="B9">IF(kontrola!D4="da", _xludf.IFS(SUM(kontrola!S3:T3)&lt;3,"Niste svladali složeni kamatni račun.",SUM(kontrola!S3:T3)&lt;8,"Djelomično ste svladali složeni kamatni račun.",SUM(kontrola!S3:T3)&lt;=9,"Odlično ste svladali složeni kamatni račun."), "Ishod 2 niste pisali.")</f>
        <v>Ishod 2 niste pisali.</v>
      </c>
      <c r="H9" s="14"/>
    </row>
    <row r="10" spans="1:8" ht="14.25" customHeight="1" x14ac:dyDescent="0.35">
      <c r="B10" s="3" t="str">
        <f t="array" ref="B10">IF(kontrola!D4="da", _xludf.IFS(kontrola!U3&lt;2,"Niste svladali početnu i konačnu vrijednost višekratnih uplata / isplata.",kontrola!U3&lt;5,"Djelomično ste svladali početnu i konačnu vrijednost višekratnih uplata / isplata.",kontrola!U3&lt;=6,"Odlično ste svladali početnu i konačnu vrijednost višekratnih uplata / isplata."), "Ishod 2 niste pisali.")</f>
        <v>Ishod 2 niste pisali.</v>
      </c>
      <c r="H10" s="14"/>
    </row>
    <row r="11" spans="1:8" ht="14.25" customHeight="1" x14ac:dyDescent="0.35">
      <c r="H11" s="14"/>
    </row>
    <row r="12" spans="1:8" ht="14.25" customHeight="1" x14ac:dyDescent="0.35">
      <c r="A12" s="3" t="s">
        <v>7</v>
      </c>
      <c r="B12" s="3" t="str">
        <f t="array" ref="B12">IF(kontrola!E4="da", _xludf.IFS(SUM(kontrola!V3:W3)&lt;4,"Niste usvojili gradivo izrade otplatne tablice kredita.",SUM(kontrola!V3:W3)&lt;8,"Djelomično ste usvojili gradivo izrade otplatne tablice kredita.",SUM(kontrola!V3:W3)&lt;=10,"Odlično ste usvojili gradivo izrade otplatne tablice kredita."), "Ishod 3 niste pisali.")</f>
        <v>Ishod 3 niste pisali.</v>
      </c>
      <c r="H12" s="14"/>
    </row>
    <row r="13" spans="1:8" ht="14.25" customHeight="1" x14ac:dyDescent="0.35">
      <c r="B13" s="3" t="str">
        <f t="array" ref="B13">IF(kontrola!E4="da", _xludf.IFS(SUM(kontrola!X3:Y3)&lt;4,"Niste svladali konverziju kredita i APN.",SUM(kontrola!X3:Y3)&lt;8,"Djelomično ste svladali konverziju kredita i APN.",SUM(kontrola!X3:Y3)&lt;=10,"Odlično ste svladali konverziju kredita i APN."), "Ishod 3 niste pisali.")</f>
        <v>Ishod 3 niste pisali.</v>
      </c>
      <c r="H13" s="14"/>
    </row>
    <row r="14" spans="1:8" ht="14.25" customHeight="1" x14ac:dyDescent="0.35">
      <c r="H14" s="14"/>
    </row>
    <row r="15" spans="1:8" ht="14.25" customHeight="1" x14ac:dyDescent="0.35">
      <c r="A15" s="3" t="s">
        <v>8</v>
      </c>
      <c r="B15" s="3" t="str">
        <f t="array" ref="B15">IF(kontrola!F4="da", _xludf.IFS(kontrola!Z3&lt;2,"Niste svladali linearnu funkciju i njenu primjenu.",kontrola!Z3&lt;4,"Djelomično ste svladali linearnu funkciju i njenu primjenu.",kontrola!Z3&lt;=5,"Odlično ste svladali linearnu funkciju i njenu primjenu."), "Ishod 4 niste pisali.")</f>
        <v>Ishod 4 niste pisali.</v>
      </c>
      <c r="H15" s="14"/>
    </row>
    <row r="16" spans="1:8" ht="14.25" customHeight="1" x14ac:dyDescent="0.35">
      <c r="B16" s="3" t="str">
        <f t="array" ref="B16">IF(kontrola!F4="da", _xludf.IFS(kontrola!AA3&lt;3,"Niste svladali kvadratnu funkciju i njenu primjenu.",kontrola!AA3&lt;7,"Djelomično ste svladali kvadratnu funkciju i njenu primjenu.",kontrola!AA3&lt;=9,"Odlično ste svladali kvadratnu funkciju i njenu primjenu."), "Ishod 4 niste pisali.")</f>
        <v>Ishod 4 niste pisali.</v>
      </c>
      <c r="H16" s="14"/>
    </row>
    <row r="17" spans="2:8" ht="14.25" customHeight="1" x14ac:dyDescent="0.35">
      <c r="B17" s="3" t="str">
        <f t="array" ref="B17">IF(kontrola!F4="da", _xludf.IFS(kontrola!AB3&lt;3,"Niste svladali eksponencijalnu funkciju i njenu primjenu.",kontrola!AB3&lt;5,"Djelomično ste svladali eksponencijalnu funkciju i njenu primjenu.",kontrola!AB3&lt;=6,"Odlično ste svladali eksponencijalnu funkciju i njenu primjenu."), "Ishod 4 niste pisali.")</f>
        <v>Ishod 4 niste pisali.</v>
      </c>
      <c r="H17" s="14"/>
    </row>
    <row r="18" spans="2:8" ht="14.25" customHeight="1" x14ac:dyDescent="0.35">
      <c r="H18" s="14"/>
    </row>
    <row r="19" spans="2:8" ht="14.25" customHeight="1" x14ac:dyDescent="0.35">
      <c r="H19" s="14"/>
    </row>
    <row r="20" spans="2:8" ht="14.25" customHeight="1" x14ac:dyDescent="0.35">
      <c r="H20" s="14"/>
    </row>
    <row r="21" spans="2:8" ht="14.25" customHeight="1" x14ac:dyDescent="0.35">
      <c r="H21" s="14"/>
    </row>
    <row r="22" spans="2:8" ht="14.25" customHeight="1" x14ac:dyDescent="0.35">
      <c r="H22" s="14"/>
    </row>
    <row r="23" spans="2:8" ht="14.25" customHeight="1" x14ac:dyDescent="0.35">
      <c r="H23" s="14"/>
    </row>
    <row r="24" spans="2:8" ht="14.25" customHeight="1" x14ac:dyDescent="0.35">
      <c r="H24" s="14"/>
    </row>
    <row r="25" spans="2:8" ht="14.25" customHeight="1" x14ac:dyDescent="0.35">
      <c r="H25" s="14"/>
    </row>
    <row r="26" spans="2:8" ht="14.25" customHeight="1" x14ac:dyDescent="0.35">
      <c r="H26" s="14"/>
    </row>
    <row r="27" spans="2:8" ht="14.25" customHeight="1" x14ac:dyDescent="0.35">
      <c r="H27" s="14"/>
    </row>
    <row r="28" spans="2:8" ht="14.25" customHeight="1" x14ac:dyDescent="0.35">
      <c r="H28" s="14"/>
    </row>
    <row r="29" spans="2:8" ht="14.25" customHeight="1" x14ac:dyDescent="0.35">
      <c r="H29" s="14"/>
    </row>
    <row r="30" spans="2:8" ht="14.25" customHeight="1" x14ac:dyDescent="0.35">
      <c r="H30" s="14"/>
    </row>
    <row r="31" spans="2:8" ht="14.25" customHeight="1" x14ac:dyDescent="0.35">
      <c r="H31" s="14"/>
    </row>
    <row r="32" spans="2:8" ht="14.25" customHeight="1" x14ac:dyDescent="0.35">
      <c r="H32" s="14"/>
    </row>
    <row r="33" spans="8:8" ht="14.25" customHeight="1" x14ac:dyDescent="0.35">
      <c r="H33" s="14"/>
    </row>
    <row r="34" spans="8:8" ht="14.25" customHeight="1" x14ac:dyDescent="0.35">
      <c r="H34" s="14"/>
    </row>
    <row r="35" spans="8:8" ht="14.25" customHeight="1" x14ac:dyDescent="0.35">
      <c r="H35" s="14"/>
    </row>
    <row r="36" spans="8:8" ht="14.25" customHeight="1" x14ac:dyDescent="0.35">
      <c r="H36" s="14"/>
    </row>
    <row r="37" spans="8:8" ht="14.25" customHeight="1" x14ac:dyDescent="0.35">
      <c r="H37" s="14"/>
    </row>
    <row r="38" spans="8:8" ht="14.25" customHeight="1" x14ac:dyDescent="0.35">
      <c r="H38" s="14"/>
    </row>
    <row r="39" spans="8:8" ht="14.25" customHeight="1" x14ac:dyDescent="0.35">
      <c r="H39" s="14"/>
    </row>
    <row r="40" spans="8:8" ht="14.25" customHeight="1" x14ac:dyDescent="0.35">
      <c r="H40" s="14"/>
    </row>
    <row r="41" spans="8:8" ht="14.25" customHeight="1" x14ac:dyDescent="0.35">
      <c r="H41" s="14"/>
    </row>
    <row r="42" spans="8:8" ht="14.25" customHeight="1" x14ac:dyDescent="0.35">
      <c r="H42" s="14"/>
    </row>
    <row r="43" spans="8:8" ht="14.25" customHeight="1" x14ac:dyDescent="0.35">
      <c r="H43" s="14"/>
    </row>
    <row r="44" spans="8:8" ht="14.25" customHeight="1" x14ac:dyDescent="0.35">
      <c r="H44" s="14"/>
    </row>
    <row r="45" spans="8:8" ht="14.25" customHeight="1" x14ac:dyDescent="0.35">
      <c r="H45" s="14"/>
    </row>
    <row r="46" spans="8:8" ht="14.25" customHeight="1" x14ac:dyDescent="0.35">
      <c r="H46" s="14"/>
    </row>
    <row r="47" spans="8:8" ht="14.25" customHeight="1" x14ac:dyDescent="0.35">
      <c r="H47" s="14"/>
    </row>
    <row r="48" spans="8:8" ht="14.25" customHeight="1" x14ac:dyDescent="0.35">
      <c r="H48" s="14"/>
    </row>
    <row r="49" spans="8:8" ht="14.25" customHeight="1" x14ac:dyDescent="0.35">
      <c r="H49" s="14"/>
    </row>
    <row r="50" spans="8:8" ht="14.25" customHeight="1" x14ac:dyDescent="0.35">
      <c r="H50" s="14"/>
    </row>
    <row r="51" spans="8:8" ht="14.25" customHeight="1" x14ac:dyDescent="0.35">
      <c r="H51" s="14"/>
    </row>
    <row r="52" spans="8:8" ht="14.25" customHeight="1" x14ac:dyDescent="0.35">
      <c r="H52" s="14"/>
    </row>
    <row r="53" spans="8:8" ht="14.25" customHeight="1" x14ac:dyDescent="0.35">
      <c r="H53" s="14"/>
    </row>
    <row r="54" spans="8:8" ht="14.25" customHeight="1" x14ac:dyDescent="0.35">
      <c r="H54" s="14"/>
    </row>
    <row r="55" spans="8:8" ht="14.25" customHeight="1" x14ac:dyDescent="0.35">
      <c r="H55" s="14"/>
    </row>
    <row r="56" spans="8:8" ht="14.25" customHeight="1" x14ac:dyDescent="0.35">
      <c r="H56" s="14"/>
    </row>
    <row r="57" spans="8:8" ht="14.25" customHeight="1" x14ac:dyDescent="0.35">
      <c r="H57" s="14"/>
    </row>
    <row r="58" spans="8:8" ht="14.25" customHeight="1" x14ac:dyDescent="0.35">
      <c r="H58" s="14"/>
    </row>
    <row r="59" spans="8:8" ht="14.25" customHeight="1" x14ac:dyDescent="0.35">
      <c r="H59" s="14"/>
    </row>
    <row r="60" spans="8:8" ht="14.25" customHeight="1" x14ac:dyDescent="0.35">
      <c r="H60" s="14"/>
    </row>
    <row r="61" spans="8:8" ht="14.25" customHeight="1" x14ac:dyDescent="0.35">
      <c r="H61" s="14"/>
    </row>
    <row r="62" spans="8:8" ht="14.25" customHeight="1" x14ac:dyDescent="0.35">
      <c r="H62" s="14"/>
    </row>
    <row r="63" spans="8:8" ht="14.25" customHeight="1" x14ac:dyDescent="0.35">
      <c r="H63" s="14"/>
    </row>
    <row r="64" spans="8:8" ht="14.25" customHeight="1" x14ac:dyDescent="0.35">
      <c r="H64" s="14"/>
    </row>
    <row r="65" spans="8:8" ht="14.25" customHeight="1" x14ac:dyDescent="0.35">
      <c r="H65" s="14"/>
    </row>
    <row r="66" spans="8:8" ht="14.25" customHeight="1" x14ac:dyDescent="0.35">
      <c r="H66" s="14"/>
    </row>
    <row r="67" spans="8:8" ht="14.25" customHeight="1" x14ac:dyDescent="0.35">
      <c r="H67" s="14"/>
    </row>
    <row r="68" spans="8:8" ht="14.25" customHeight="1" x14ac:dyDescent="0.35">
      <c r="H68" s="14"/>
    </row>
    <row r="69" spans="8:8" ht="14.25" customHeight="1" x14ac:dyDescent="0.35">
      <c r="H69" s="14"/>
    </row>
    <row r="70" spans="8:8" ht="14.25" customHeight="1" x14ac:dyDescent="0.35">
      <c r="H70" s="14"/>
    </row>
    <row r="71" spans="8:8" ht="14.25" customHeight="1" x14ac:dyDescent="0.35">
      <c r="H71" s="14"/>
    </row>
    <row r="72" spans="8:8" ht="14.25" customHeight="1" x14ac:dyDescent="0.35">
      <c r="H72" s="14"/>
    </row>
    <row r="73" spans="8:8" ht="14.25" customHeight="1" x14ac:dyDescent="0.35">
      <c r="H73" s="14"/>
    </row>
    <row r="74" spans="8:8" ht="14.25" customHeight="1" x14ac:dyDescent="0.35">
      <c r="H74" s="14"/>
    </row>
    <row r="75" spans="8:8" ht="14.25" customHeight="1" x14ac:dyDescent="0.35">
      <c r="H75" s="14"/>
    </row>
    <row r="76" spans="8:8" ht="14.25" customHeight="1" x14ac:dyDescent="0.35">
      <c r="H76" s="14"/>
    </row>
    <row r="77" spans="8:8" ht="14.25" customHeight="1" x14ac:dyDescent="0.35">
      <c r="H77" s="14"/>
    </row>
    <row r="78" spans="8:8" ht="14.25" customHeight="1" x14ac:dyDescent="0.35">
      <c r="H78" s="14"/>
    </row>
    <row r="79" spans="8:8" ht="14.25" customHeight="1" x14ac:dyDescent="0.35">
      <c r="H79" s="14"/>
    </row>
    <row r="80" spans="8:8" ht="14.25" customHeight="1" x14ac:dyDescent="0.35">
      <c r="H80" s="14"/>
    </row>
    <row r="81" spans="8:8" ht="14.25" customHeight="1" x14ac:dyDescent="0.35">
      <c r="H81" s="14"/>
    </row>
    <row r="82" spans="8:8" ht="14.25" customHeight="1" x14ac:dyDescent="0.35">
      <c r="H82" s="14"/>
    </row>
    <row r="83" spans="8:8" ht="14.25" customHeight="1" x14ac:dyDescent="0.35">
      <c r="H83" s="14"/>
    </row>
    <row r="84" spans="8:8" ht="14.25" customHeight="1" x14ac:dyDescent="0.35">
      <c r="H84" s="14"/>
    </row>
    <row r="85" spans="8:8" ht="14.25" customHeight="1" x14ac:dyDescent="0.35">
      <c r="H85" s="14"/>
    </row>
    <row r="86" spans="8:8" ht="14.25" customHeight="1" x14ac:dyDescent="0.35">
      <c r="H86" s="14"/>
    </row>
    <row r="87" spans="8:8" ht="14.25" customHeight="1" x14ac:dyDescent="0.35">
      <c r="H87" s="14"/>
    </row>
    <row r="88" spans="8:8" ht="14.25" customHeight="1" x14ac:dyDescent="0.35">
      <c r="H88" s="14"/>
    </row>
    <row r="89" spans="8:8" ht="14.25" customHeight="1" x14ac:dyDescent="0.35">
      <c r="H89" s="14"/>
    </row>
    <row r="90" spans="8:8" ht="14.25" customHeight="1" x14ac:dyDescent="0.35">
      <c r="H90" s="14"/>
    </row>
    <row r="91" spans="8:8" ht="14.25" customHeight="1" x14ac:dyDescent="0.35">
      <c r="H91" s="14"/>
    </row>
    <row r="92" spans="8:8" ht="14.25" customHeight="1" x14ac:dyDescent="0.35">
      <c r="H92" s="14"/>
    </row>
    <row r="93" spans="8:8" ht="14.25" customHeight="1" x14ac:dyDescent="0.35">
      <c r="H93" s="14"/>
    </row>
    <row r="94" spans="8:8" ht="14.25" customHeight="1" x14ac:dyDescent="0.35">
      <c r="H94" s="14"/>
    </row>
    <row r="95" spans="8:8" ht="14.25" customHeight="1" x14ac:dyDescent="0.35">
      <c r="H95" s="14"/>
    </row>
    <row r="96" spans="8:8" ht="14.25" customHeight="1" x14ac:dyDescent="0.35">
      <c r="H96" s="14"/>
    </row>
    <row r="97" spans="8:8" ht="14.25" customHeight="1" x14ac:dyDescent="0.35">
      <c r="H97" s="14"/>
    </row>
    <row r="98" spans="8:8" ht="14.25" customHeight="1" x14ac:dyDescent="0.35">
      <c r="H98" s="14"/>
    </row>
    <row r="99" spans="8:8" ht="14.25" customHeight="1" x14ac:dyDescent="0.35">
      <c r="H99" s="14"/>
    </row>
    <row r="100" spans="8:8" ht="14.25" customHeight="1" x14ac:dyDescent="0.35">
      <c r="H100" s="14"/>
    </row>
    <row r="101" spans="8:8" ht="14.25" customHeight="1" x14ac:dyDescent="0.35">
      <c r="H101" s="14"/>
    </row>
    <row r="102" spans="8:8" ht="14.25" customHeight="1" x14ac:dyDescent="0.35">
      <c r="H102" s="14"/>
    </row>
    <row r="103" spans="8:8" ht="14.25" customHeight="1" x14ac:dyDescent="0.35">
      <c r="H103" s="14"/>
    </row>
    <row r="104" spans="8:8" ht="14.25" customHeight="1" x14ac:dyDescent="0.35">
      <c r="H104" s="14"/>
    </row>
    <row r="105" spans="8:8" ht="14.25" customHeight="1" x14ac:dyDescent="0.35">
      <c r="H105" s="14"/>
    </row>
    <row r="106" spans="8:8" ht="14.25" customHeight="1" x14ac:dyDescent="0.35">
      <c r="H106" s="14"/>
    </row>
    <row r="107" spans="8:8" ht="14.25" customHeight="1" x14ac:dyDescent="0.35">
      <c r="H107" s="14"/>
    </row>
    <row r="108" spans="8:8" ht="14.25" customHeight="1" x14ac:dyDescent="0.35">
      <c r="H108" s="14"/>
    </row>
    <row r="109" spans="8:8" ht="14.25" customHeight="1" x14ac:dyDescent="0.35">
      <c r="H109" s="14"/>
    </row>
    <row r="110" spans="8:8" ht="14.25" customHeight="1" x14ac:dyDescent="0.35">
      <c r="H110" s="14"/>
    </row>
    <row r="111" spans="8:8" ht="14.25" customHeight="1" x14ac:dyDescent="0.35">
      <c r="H111" s="14"/>
    </row>
    <row r="112" spans="8:8" ht="14.25" customHeight="1" x14ac:dyDescent="0.35">
      <c r="H112" s="14"/>
    </row>
    <row r="113" spans="8:8" ht="14.25" customHeight="1" x14ac:dyDescent="0.35">
      <c r="H113" s="14"/>
    </row>
    <row r="114" spans="8:8" ht="14.25" customHeight="1" x14ac:dyDescent="0.35">
      <c r="H114" s="14"/>
    </row>
    <row r="115" spans="8:8" ht="14.25" customHeight="1" x14ac:dyDescent="0.35">
      <c r="H115" s="14"/>
    </row>
    <row r="116" spans="8:8" ht="14.25" customHeight="1" x14ac:dyDescent="0.35">
      <c r="H116" s="14"/>
    </row>
    <row r="117" spans="8:8" ht="14.25" customHeight="1" x14ac:dyDescent="0.35">
      <c r="H117" s="14"/>
    </row>
    <row r="118" spans="8:8" ht="14.25" customHeight="1" x14ac:dyDescent="0.35">
      <c r="H118" s="14"/>
    </row>
    <row r="119" spans="8:8" ht="14.25" customHeight="1" x14ac:dyDescent="0.35">
      <c r="H119" s="14"/>
    </row>
    <row r="120" spans="8:8" ht="14.25" customHeight="1" x14ac:dyDescent="0.35">
      <c r="H120" s="14"/>
    </row>
    <row r="121" spans="8:8" ht="14.25" customHeight="1" x14ac:dyDescent="0.35">
      <c r="H121" s="14"/>
    </row>
    <row r="122" spans="8:8" ht="14.25" customHeight="1" x14ac:dyDescent="0.35">
      <c r="H122" s="14"/>
    </row>
    <row r="123" spans="8:8" ht="14.25" customHeight="1" x14ac:dyDescent="0.35">
      <c r="H123" s="14"/>
    </row>
    <row r="124" spans="8:8" ht="14.25" customHeight="1" x14ac:dyDescent="0.35">
      <c r="H124" s="14"/>
    </row>
    <row r="125" spans="8:8" ht="14.25" customHeight="1" x14ac:dyDescent="0.35">
      <c r="H125" s="14"/>
    </row>
    <row r="126" spans="8:8" ht="14.25" customHeight="1" x14ac:dyDescent="0.35">
      <c r="H126" s="14"/>
    </row>
    <row r="127" spans="8:8" ht="14.25" customHeight="1" x14ac:dyDescent="0.35">
      <c r="H127" s="14"/>
    </row>
    <row r="128" spans="8:8" ht="14.25" customHeight="1" x14ac:dyDescent="0.35">
      <c r="H128" s="14"/>
    </row>
    <row r="129" spans="8:8" ht="14.25" customHeight="1" x14ac:dyDescent="0.35">
      <c r="H129" s="14"/>
    </row>
    <row r="130" spans="8:8" ht="14.25" customHeight="1" x14ac:dyDescent="0.35">
      <c r="H130" s="14"/>
    </row>
    <row r="131" spans="8:8" ht="14.25" customHeight="1" x14ac:dyDescent="0.35">
      <c r="H131" s="14"/>
    </row>
    <row r="132" spans="8:8" ht="14.25" customHeight="1" x14ac:dyDescent="0.35">
      <c r="H132" s="14"/>
    </row>
    <row r="133" spans="8:8" ht="14.25" customHeight="1" x14ac:dyDescent="0.35">
      <c r="H133" s="14"/>
    </row>
    <row r="134" spans="8:8" ht="14.25" customHeight="1" x14ac:dyDescent="0.35">
      <c r="H134" s="14"/>
    </row>
    <row r="135" spans="8:8" ht="14.25" customHeight="1" x14ac:dyDescent="0.35">
      <c r="H135" s="14"/>
    </row>
    <row r="136" spans="8:8" ht="14.25" customHeight="1" x14ac:dyDescent="0.35">
      <c r="H136" s="14"/>
    </row>
    <row r="137" spans="8:8" ht="14.25" customHeight="1" x14ac:dyDescent="0.35">
      <c r="H137" s="14"/>
    </row>
    <row r="138" spans="8:8" ht="14.25" customHeight="1" x14ac:dyDescent="0.35">
      <c r="H138" s="14"/>
    </row>
    <row r="139" spans="8:8" ht="14.25" customHeight="1" x14ac:dyDescent="0.35">
      <c r="H139" s="14"/>
    </row>
    <row r="140" spans="8:8" ht="14.25" customHeight="1" x14ac:dyDescent="0.35">
      <c r="H140" s="14"/>
    </row>
    <row r="141" spans="8:8" ht="14.25" customHeight="1" x14ac:dyDescent="0.35">
      <c r="H141" s="14"/>
    </row>
    <row r="142" spans="8:8" ht="14.25" customHeight="1" x14ac:dyDescent="0.35">
      <c r="H142" s="14"/>
    </row>
    <row r="143" spans="8:8" ht="14.25" customHeight="1" x14ac:dyDescent="0.35">
      <c r="H143" s="14"/>
    </row>
    <row r="144" spans="8:8" ht="14.25" customHeight="1" x14ac:dyDescent="0.35">
      <c r="H144" s="14"/>
    </row>
    <row r="145" spans="8:8" ht="14.25" customHeight="1" x14ac:dyDescent="0.35">
      <c r="H145" s="14"/>
    </row>
    <row r="146" spans="8:8" ht="14.25" customHeight="1" x14ac:dyDescent="0.35">
      <c r="H146" s="14"/>
    </row>
    <row r="147" spans="8:8" ht="14.25" customHeight="1" x14ac:dyDescent="0.35">
      <c r="H147" s="14"/>
    </row>
    <row r="148" spans="8:8" ht="14.25" customHeight="1" x14ac:dyDescent="0.35">
      <c r="H148" s="14"/>
    </row>
    <row r="149" spans="8:8" ht="14.25" customHeight="1" x14ac:dyDescent="0.35">
      <c r="H149" s="14"/>
    </row>
    <row r="150" spans="8:8" ht="14.25" customHeight="1" x14ac:dyDescent="0.35">
      <c r="H150" s="14"/>
    </row>
    <row r="151" spans="8:8" ht="14.25" customHeight="1" x14ac:dyDescent="0.35">
      <c r="H151" s="14"/>
    </row>
    <row r="152" spans="8:8" ht="14.25" customHeight="1" x14ac:dyDescent="0.35">
      <c r="H152" s="14"/>
    </row>
    <row r="153" spans="8:8" ht="14.25" customHeight="1" x14ac:dyDescent="0.35">
      <c r="H153" s="14"/>
    </row>
    <row r="154" spans="8:8" ht="14.25" customHeight="1" x14ac:dyDescent="0.35">
      <c r="H154" s="14"/>
    </row>
    <row r="155" spans="8:8" ht="14.25" customHeight="1" x14ac:dyDescent="0.35">
      <c r="H155" s="14"/>
    </row>
    <row r="156" spans="8:8" ht="14.25" customHeight="1" x14ac:dyDescent="0.35">
      <c r="H156" s="14"/>
    </row>
    <row r="157" spans="8:8" ht="14.25" customHeight="1" x14ac:dyDescent="0.35">
      <c r="H157" s="14"/>
    </row>
    <row r="158" spans="8:8" ht="14.25" customHeight="1" x14ac:dyDescent="0.35">
      <c r="H158" s="14"/>
    </row>
    <row r="159" spans="8:8" ht="14.25" customHeight="1" x14ac:dyDescent="0.35">
      <c r="H159" s="14"/>
    </row>
    <row r="160" spans="8:8" ht="14.25" customHeight="1" x14ac:dyDescent="0.35">
      <c r="H160" s="14"/>
    </row>
    <row r="161" spans="8:8" ht="14.25" customHeight="1" x14ac:dyDescent="0.35">
      <c r="H161" s="14"/>
    </row>
    <row r="162" spans="8:8" ht="14.25" customHeight="1" x14ac:dyDescent="0.35">
      <c r="H162" s="14"/>
    </row>
    <row r="163" spans="8:8" ht="14.25" customHeight="1" x14ac:dyDescent="0.35">
      <c r="H163" s="14"/>
    </row>
    <row r="164" spans="8:8" ht="14.25" customHeight="1" x14ac:dyDescent="0.35">
      <c r="H164" s="14"/>
    </row>
    <row r="165" spans="8:8" ht="14.25" customHeight="1" x14ac:dyDescent="0.35">
      <c r="H165" s="14"/>
    </row>
    <row r="166" spans="8:8" ht="14.25" customHeight="1" x14ac:dyDescent="0.35">
      <c r="H166" s="14"/>
    </row>
    <row r="167" spans="8:8" ht="14.25" customHeight="1" x14ac:dyDescent="0.35">
      <c r="H167" s="14"/>
    </row>
    <row r="168" spans="8:8" ht="14.25" customHeight="1" x14ac:dyDescent="0.35">
      <c r="H168" s="14"/>
    </row>
    <row r="169" spans="8:8" ht="14.25" customHeight="1" x14ac:dyDescent="0.35">
      <c r="H169" s="14"/>
    </row>
    <row r="170" spans="8:8" ht="14.25" customHeight="1" x14ac:dyDescent="0.35">
      <c r="H170" s="14"/>
    </row>
    <row r="171" spans="8:8" ht="14.25" customHeight="1" x14ac:dyDescent="0.35">
      <c r="H171" s="14"/>
    </row>
    <row r="172" spans="8:8" ht="14.25" customHeight="1" x14ac:dyDescent="0.35">
      <c r="H172" s="14"/>
    </row>
    <row r="173" spans="8:8" ht="14.25" customHeight="1" x14ac:dyDescent="0.35">
      <c r="H173" s="14"/>
    </row>
    <row r="174" spans="8:8" ht="14.25" customHeight="1" x14ac:dyDescent="0.35">
      <c r="H174" s="14"/>
    </row>
    <row r="175" spans="8:8" ht="14.25" customHeight="1" x14ac:dyDescent="0.35">
      <c r="H175" s="14"/>
    </row>
    <row r="176" spans="8:8" ht="14.25" customHeight="1" x14ac:dyDescent="0.35">
      <c r="H176" s="14"/>
    </row>
    <row r="177" spans="8:8" ht="14.25" customHeight="1" x14ac:dyDescent="0.35">
      <c r="H177" s="14"/>
    </row>
    <row r="178" spans="8:8" ht="14.25" customHeight="1" x14ac:dyDescent="0.35">
      <c r="H178" s="14"/>
    </row>
    <row r="179" spans="8:8" ht="14.25" customHeight="1" x14ac:dyDescent="0.35">
      <c r="H179" s="14"/>
    </row>
    <row r="180" spans="8:8" ht="14.25" customHeight="1" x14ac:dyDescent="0.35">
      <c r="H180" s="14"/>
    </row>
    <row r="181" spans="8:8" ht="14.25" customHeight="1" x14ac:dyDescent="0.35">
      <c r="H181" s="14"/>
    </row>
    <row r="182" spans="8:8" ht="14.25" customHeight="1" x14ac:dyDescent="0.35">
      <c r="H182" s="14"/>
    </row>
    <row r="183" spans="8:8" ht="14.25" customHeight="1" x14ac:dyDescent="0.35">
      <c r="H183" s="14"/>
    </row>
    <row r="184" spans="8:8" ht="14.25" customHeight="1" x14ac:dyDescent="0.35">
      <c r="H184" s="14"/>
    </row>
    <row r="185" spans="8:8" ht="14.25" customHeight="1" x14ac:dyDescent="0.35">
      <c r="H185" s="14"/>
    </row>
    <row r="186" spans="8:8" ht="14.25" customHeight="1" x14ac:dyDescent="0.35">
      <c r="H186" s="14"/>
    </row>
    <row r="187" spans="8:8" ht="14.25" customHeight="1" x14ac:dyDescent="0.35">
      <c r="H187" s="14"/>
    </row>
    <row r="188" spans="8:8" ht="14.25" customHeight="1" x14ac:dyDescent="0.35">
      <c r="H188" s="14"/>
    </row>
    <row r="189" spans="8:8" ht="14.25" customHeight="1" x14ac:dyDescent="0.35">
      <c r="H189" s="14"/>
    </row>
    <row r="190" spans="8:8" ht="14.25" customHeight="1" x14ac:dyDescent="0.35">
      <c r="H190" s="14"/>
    </row>
    <row r="191" spans="8:8" ht="14.25" customHeight="1" x14ac:dyDescent="0.35">
      <c r="H191" s="14"/>
    </row>
    <row r="192" spans="8:8" ht="14.25" customHeight="1" x14ac:dyDescent="0.35">
      <c r="H192" s="14"/>
    </row>
    <row r="193" spans="8:8" ht="14.25" customHeight="1" x14ac:dyDescent="0.35">
      <c r="H193" s="14"/>
    </row>
    <row r="194" spans="8:8" ht="14.25" customHeight="1" x14ac:dyDescent="0.35">
      <c r="H194" s="14"/>
    </row>
    <row r="195" spans="8:8" ht="14.25" customHeight="1" x14ac:dyDescent="0.35">
      <c r="H195" s="14"/>
    </row>
    <row r="196" spans="8:8" ht="14.25" customHeight="1" x14ac:dyDescent="0.35">
      <c r="H196" s="14"/>
    </row>
    <row r="197" spans="8:8" ht="14.25" customHeight="1" x14ac:dyDescent="0.35">
      <c r="H197" s="14"/>
    </row>
    <row r="198" spans="8:8" ht="14.25" customHeight="1" x14ac:dyDescent="0.35">
      <c r="H198" s="14"/>
    </row>
    <row r="199" spans="8:8" ht="14.25" customHeight="1" x14ac:dyDescent="0.35">
      <c r="H199" s="14"/>
    </row>
    <row r="200" spans="8:8" ht="14.25" customHeight="1" x14ac:dyDescent="0.35">
      <c r="H200" s="14"/>
    </row>
    <row r="201" spans="8:8" ht="14.25" customHeight="1" x14ac:dyDescent="0.35">
      <c r="H201" s="14"/>
    </row>
    <row r="202" spans="8:8" ht="14.25" customHeight="1" x14ac:dyDescent="0.35">
      <c r="H202" s="14"/>
    </row>
    <row r="203" spans="8:8" ht="14.25" customHeight="1" x14ac:dyDescent="0.35">
      <c r="H203" s="14"/>
    </row>
    <row r="204" spans="8:8" ht="14.25" customHeight="1" x14ac:dyDescent="0.35">
      <c r="H204" s="14"/>
    </row>
    <row r="205" spans="8:8" ht="14.25" customHeight="1" x14ac:dyDescent="0.35">
      <c r="H205" s="14"/>
    </row>
    <row r="206" spans="8:8" ht="14.25" customHeight="1" x14ac:dyDescent="0.35">
      <c r="H206" s="14"/>
    </row>
    <row r="207" spans="8:8" ht="14.25" customHeight="1" x14ac:dyDescent="0.35">
      <c r="H207" s="14"/>
    </row>
    <row r="208" spans="8:8" ht="14.25" customHeight="1" x14ac:dyDescent="0.35">
      <c r="H208" s="14"/>
    </row>
    <row r="209" spans="8:8" ht="14.25" customHeight="1" x14ac:dyDescent="0.35">
      <c r="H209" s="14"/>
    </row>
    <row r="210" spans="8:8" ht="14.25" customHeight="1" x14ac:dyDescent="0.35">
      <c r="H210" s="14"/>
    </row>
    <row r="211" spans="8:8" ht="14.25" customHeight="1" x14ac:dyDescent="0.35">
      <c r="H211" s="14"/>
    </row>
    <row r="212" spans="8:8" ht="14.25" customHeight="1" x14ac:dyDescent="0.35">
      <c r="H212" s="14"/>
    </row>
    <row r="213" spans="8:8" ht="14.25" customHeight="1" x14ac:dyDescent="0.35">
      <c r="H213" s="14"/>
    </row>
    <row r="214" spans="8:8" ht="14.25" customHeight="1" x14ac:dyDescent="0.35">
      <c r="H214" s="14"/>
    </row>
    <row r="215" spans="8:8" ht="14.25" customHeight="1" x14ac:dyDescent="0.35">
      <c r="H215" s="14"/>
    </row>
    <row r="216" spans="8:8" ht="14.25" customHeight="1" x14ac:dyDescent="0.35">
      <c r="H216" s="14"/>
    </row>
    <row r="217" spans="8:8" ht="14.25" customHeight="1" x14ac:dyDescent="0.35">
      <c r="H217" s="14"/>
    </row>
    <row r="218" spans="8:8" ht="14.25" customHeight="1" x14ac:dyDescent="0.35">
      <c r="H218" s="14"/>
    </row>
    <row r="219" spans="8:8" ht="14.25" customHeight="1" x14ac:dyDescent="0.35">
      <c r="H219" s="14"/>
    </row>
    <row r="220" spans="8:8" ht="14.25" customHeight="1" x14ac:dyDescent="0.35">
      <c r="H220" s="14"/>
    </row>
    <row r="221" spans="8:8" ht="14.25" customHeight="1" x14ac:dyDescent="0.35">
      <c r="H221" s="14"/>
    </row>
    <row r="222" spans="8:8" ht="14.25" customHeight="1" x14ac:dyDescent="0.35">
      <c r="H222" s="14"/>
    </row>
    <row r="223" spans="8:8" ht="14.25" customHeight="1" x14ac:dyDescent="0.35">
      <c r="H223" s="14"/>
    </row>
    <row r="224" spans="8:8" ht="14.25" customHeight="1" x14ac:dyDescent="0.35">
      <c r="H224" s="14"/>
    </row>
    <row r="225" spans="8:8" ht="14.25" customHeight="1" x14ac:dyDescent="0.35">
      <c r="H225" s="14"/>
    </row>
    <row r="226" spans="8:8" ht="14.25" customHeight="1" x14ac:dyDescent="0.35">
      <c r="H226" s="14"/>
    </row>
    <row r="227" spans="8:8" ht="14.25" customHeight="1" x14ac:dyDescent="0.35">
      <c r="H227" s="14"/>
    </row>
    <row r="228" spans="8:8" ht="14.25" customHeight="1" x14ac:dyDescent="0.35">
      <c r="H228" s="14"/>
    </row>
    <row r="229" spans="8:8" ht="14.25" customHeight="1" x14ac:dyDescent="0.35">
      <c r="H229" s="14"/>
    </row>
    <row r="230" spans="8:8" ht="14.25" customHeight="1" x14ac:dyDescent="0.35">
      <c r="H230" s="14"/>
    </row>
    <row r="231" spans="8:8" ht="14.25" customHeight="1" x14ac:dyDescent="0.35">
      <c r="H231" s="14"/>
    </row>
    <row r="232" spans="8:8" ht="14.25" customHeight="1" x14ac:dyDescent="0.35">
      <c r="H232" s="14"/>
    </row>
    <row r="233" spans="8:8" ht="14.25" customHeight="1" x14ac:dyDescent="0.35">
      <c r="H233" s="14"/>
    </row>
    <row r="234" spans="8:8" ht="14.25" customHeight="1" x14ac:dyDescent="0.35">
      <c r="H234" s="14"/>
    </row>
    <row r="235" spans="8:8" ht="14.25" customHeight="1" x14ac:dyDescent="0.35">
      <c r="H235" s="14"/>
    </row>
    <row r="236" spans="8:8" ht="14.25" customHeight="1" x14ac:dyDescent="0.35">
      <c r="H236" s="14"/>
    </row>
    <row r="237" spans="8:8" ht="14.25" customHeight="1" x14ac:dyDescent="0.35">
      <c r="H237" s="14"/>
    </row>
    <row r="238" spans="8:8" ht="14.25" customHeight="1" x14ac:dyDescent="0.35">
      <c r="H238" s="14"/>
    </row>
    <row r="239" spans="8:8" ht="14.25" customHeight="1" x14ac:dyDescent="0.35">
      <c r="H239" s="14"/>
    </row>
    <row r="240" spans="8:8" ht="14.25" customHeight="1" x14ac:dyDescent="0.35">
      <c r="H240" s="14"/>
    </row>
    <row r="241" spans="8:8" ht="14.25" customHeight="1" x14ac:dyDescent="0.35">
      <c r="H241" s="14"/>
    </row>
    <row r="242" spans="8:8" ht="14.25" customHeight="1" x14ac:dyDescent="0.35">
      <c r="H242" s="14"/>
    </row>
    <row r="243" spans="8:8" ht="14.25" customHeight="1" x14ac:dyDescent="0.35">
      <c r="H243" s="14"/>
    </row>
    <row r="244" spans="8:8" ht="14.25" customHeight="1" x14ac:dyDescent="0.35">
      <c r="H244" s="14"/>
    </row>
    <row r="245" spans="8:8" ht="14.25" customHeight="1" x14ac:dyDescent="0.35">
      <c r="H245" s="14"/>
    </row>
    <row r="246" spans="8:8" ht="14.25" customHeight="1" x14ac:dyDescent="0.35">
      <c r="H246" s="14"/>
    </row>
    <row r="247" spans="8:8" ht="14.25" customHeight="1" x14ac:dyDescent="0.35">
      <c r="H247" s="14"/>
    </row>
    <row r="248" spans="8:8" ht="14.25" customHeight="1" x14ac:dyDescent="0.35">
      <c r="H248" s="14"/>
    </row>
    <row r="249" spans="8:8" ht="14.25" customHeight="1" x14ac:dyDescent="0.35">
      <c r="H249" s="14"/>
    </row>
    <row r="250" spans="8:8" ht="14.25" customHeight="1" x14ac:dyDescent="0.35">
      <c r="H250" s="14"/>
    </row>
    <row r="251" spans="8:8" ht="14.25" customHeight="1" x14ac:dyDescent="0.35">
      <c r="H251" s="14"/>
    </row>
    <row r="252" spans="8:8" ht="14.25" customHeight="1" x14ac:dyDescent="0.35">
      <c r="H252" s="14"/>
    </row>
    <row r="253" spans="8:8" ht="14.25" customHeight="1" x14ac:dyDescent="0.35">
      <c r="H253" s="14"/>
    </row>
    <row r="254" spans="8:8" ht="14.25" customHeight="1" x14ac:dyDescent="0.35">
      <c r="H254" s="14"/>
    </row>
    <row r="255" spans="8:8" ht="14.25" customHeight="1" x14ac:dyDescent="0.35">
      <c r="H255" s="14"/>
    </row>
    <row r="256" spans="8:8" ht="14.25" customHeight="1" x14ac:dyDescent="0.35">
      <c r="H256" s="14"/>
    </row>
    <row r="257" spans="8:8" ht="14.25" customHeight="1" x14ac:dyDescent="0.35">
      <c r="H257" s="14"/>
    </row>
    <row r="258" spans="8:8" ht="14.25" customHeight="1" x14ac:dyDescent="0.35">
      <c r="H258" s="14"/>
    </row>
    <row r="259" spans="8:8" ht="14.25" customHeight="1" x14ac:dyDescent="0.35">
      <c r="H259" s="14"/>
    </row>
    <row r="260" spans="8:8" ht="14.25" customHeight="1" x14ac:dyDescent="0.35">
      <c r="H260" s="14"/>
    </row>
    <row r="261" spans="8:8" ht="14.25" customHeight="1" x14ac:dyDescent="0.35">
      <c r="H261" s="14"/>
    </row>
    <row r="262" spans="8:8" ht="14.25" customHeight="1" x14ac:dyDescent="0.35">
      <c r="H262" s="14"/>
    </row>
    <row r="263" spans="8:8" ht="14.25" customHeight="1" x14ac:dyDescent="0.35">
      <c r="H263" s="14"/>
    </row>
    <row r="264" spans="8:8" ht="14.25" customHeight="1" x14ac:dyDescent="0.35">
      <c r="H264" s="14"/>
    </row>
    <row r="265" spans="8:8" ht="14.25" customHeight="1" x14ac:dyDescent="0.35">
      <c r="H265" s="14"/>
    </row>
    <row r="266" spans="8:8" ht="14.25" customHeight="1" x14ac:dyDescent="0.35">
      <c r="H266" s="14"/>
    </row>
    <row r="267" spans="8:8" ht="14.25" customHeight="1" x14ac:dyDescent="0.35">
      <c r="H267" s="14"/>
    </row>
    <row r="268" spans="8:8" ht="14.25" customHeight="1" x14ac:dyDescent="0.35">
      <c r="H268" s="14"/>
    </row>
    <row r="269" spans="8:8" ht="14.25" customHeight="1" x14ac:dyDescent="0.35">
      <c r="H269" s="14"/>
    </row>
    <row r="270" spans="8:8" ht="14.25" customHeight="1" x14ac:dyDescent="0.35">
      <c r="H270" s="14"/>
    </row>
    <row r="271" spans="8:8" ht="14.25" customHeight="1" x14ac:dyDescent="0.35">
      <c r="H271" s="14"/>
    </row>
    <row r="272" spans="8:8" ht="14.25" customHeight="1" x14ac:dyDescent="0.35">
      <c r="H272" s="14"/>
    </row>
    <row r="273" spans="8:8" ht="14.25" customHeight="1" x14ac:dyDescent="0.35">
      <c r="H273" s="14"/>
    </row>
    <row r="274" spans="8:8" ht="14.25" customHeight="1" x14ac:dyDescent="0.35">
      <c r="H274" s="14"/>
    </row>
    <row r="275" spans="8:8" ht="14.25" customHeight="1" x14ac:dyDescent="0.35">
      <c r="H275" s="14"/>
    </row>
    <row r="276" spans="8:8" ht="14.25" customHeight="1" x14ac:dyDescent="0.35">
      <c r="H276" s="14"/>
    </row>
    <row r="277" spans="8:8" ht="14.25" customHeight="1" x14ac:dyDescent="0.35">
      <c r="H277" s="14"/>
    </row>
    <row r="278" spans="8:8" ht="14.25" customHeight="1" x14ac:dyDescent="0.35">
      <c r="H278" s="14"/>
    </row>
    <row r="279" spans="8:8" ht="14.25" customHeight="1" x14ac:dyDescent="0.35">
      <c r="H279" s="14"/>
    </row>
    <row r="280" spans="8:8" ht="14.25" customHeight="1" x14ac:dyDescent="0.35">
      <c r="H280" s="14"/>
    </row>
    <row r="281" spans="8:8" ht="14.25" customHeight="1" x14ac:dyDescent="0.35">
      <c r="H281" s="14"/>
    </row>
    <row r="282" spans="8:8" ht="14.25" customHeight="1" x14ac:dyDescent="0.35">
      <c r="H282" s="14"/>
    </row>
    <row r="283" spans="8:8" ht="14.25" customHeight="1" x14ac:dyDescent="0.35">
      <c r="H283" s="14"/>
    </row>
    <row r="284" spans="8:8" ht="14.25" customHeight="1" x14ac:dyDescent="0.35">
      <c r="H284" s="14"/>
    </row>
    <row r="285" spans="8:8" ht="14.25" customHeight="1" x14ac:dyDescent="0.35">
      <c r="H285" s="14"/>
    </row>
    <row r="286" spans="8:8" ht="14.25" customHeight="1" x14ac:dyDescent="0.35">
      <c r="H286" s="14"/>
    </row>
    <row r="287" spans="8:8" ht="14.25" customHeight="1" x14ac:dyDescent="0.35">
      <c r="H287" s="14"/>
    </row>
    <row r="288" spans="8:8" ht="14.25" customHeight="1" x14ac:dyDescent="0.35">
      <c r="H288" s="14"/>
    </row>
    <row r="289" spans="8:8" ht="14.25" customHeight="1" x14ac:dyDescent="0.35">
      <c r="H289" s="14"/>
    </row>
    <row r="290" spans="8:8" ht="14.25" customHeight="1" x14ac:dyDescent="0.35">
      <c r="H290" s="14"/>
    </row>
    <row r="291" spans="8:8" ht="14.25" customHeight="1" x14ac:dyDescent="0.35">
      <c r="H291" s="14"/>
    </row>
    <row r="292" spans="8:8" ht="14.25" customHeight="1" x14ac:dyDescent="0.35">
      <c r="H292" s="14"/>
    </row>
    <row r="293" spans="8:8" ht="14.25" customHeight="1" x14ac:dyDescent="0.35">
      <c r="H293" s="14"/>
    </row>
    <row r="294" spans="8:8" ht="14.25" customHeight="1" x14ac:dyDescent="0.35">
      <c r="H294" s="14"/>
    </row>
    <row r="295" spans="8:8" ht="14.25" customHeight="1" x14ac:dyDescent="0.35">
      <c r="H295" s="14"/>
    </row>
    <row r="296" spans="8:8" ht="14.25" customHeight="1" x14ac:dyDescent="0.35">
      <c r="H296" s="14"/>
    </row>
    <row r="297" spans="8:8" ht="14.25" customHeight="1" x14ac:dyDescent="0.35">
      <c r="H297" s="14"/>
    </row>
    <row r="298" spans="8:8" ht="14.25" customHeight="1" x14ac:dyDescent="0.35">
      <c r="H298" s="14"/>
    </row>
    <row r="299" spans="8:8" ht="14.25" customHeight="1" x14ac:dyDescent="0.35">
      <c r="H299" s="14"/>
    </row>
    <row r="300" spans="8:8" ht="14.25" customHeight="1" x14ac:dyDescent="0.35">
      <c r="H300" s="14"/>
    </row>
    <row r="301" spans="8:8" ht="14.25" customHeight="1" x14ac:dyDescent="0.35">
      <c r="H301" s="14"/>
    </row>
    <row r="302" spans="8:8" ht="14.25" customHeight="1" x14ac:dyDescent="0.35">
      <c r="H302" s="14"/>
    </row>
    <row r="303" spans="8:8" ht="14.25" customHeight="1" x14ac:dyDescent="0.35">
      <c r="H303" s="14"/>
    </row>
    <row r="304" spans="8:8" ht="14.25" customHeight="1" x14ac:dyDescent="0.35">
      <c r="H304" s="14"/>
    </row>
    <row r="305" spans="8:8" ht="14.25" customHeight="1" x14ac:dyDescent="0.35">
      <c r="H305" s="14"/>
    </row>
    <row r="306" spans="8:8" ht="14.25" customHeight="1" x14ac:dyDescent="0.35">
      <c r="H306" s="14"/>
    </row>
    <row r="307" spans="8:8" ht="14.25" customHeight="1" x14ac:dyDescent="0.35">
      <c r="H307" s="14"/>
    </row>
    <row r="308" spans="8:8" ht="14.25" customHeight="1" x14ac:dyDescent="0.35">
      <c r="H308" s="14"/>
    </row>
    <row r="309" spans="8:8" ht="14.25" customHeight="1" x14ac:dyDescent="0.35">
      <c r="H309" s="14"/>
    </row>
    <row r="310" spans="8:8" ht="14.25" customHeight="1" x14ac:dyDescent="0.35">
      <c r="H310" s="14"/>
    </row>
    <row r="311" spans="8:8" ht="14.25" customHeight="1" x14ac:dyDescent="0.35">
      <c r="H311" s="14"/>
    </row>
    <row r="312" spans="8:8" ht="14.25" customHeight="1" x14ac:dyDescent="0.35">
      <c r="H312" s="14"/>
    </row>
    <row r="313" spans="8:8" ht="14.25" customHeight="1" x14ac:dyDescent="0.35">
      <c r="H313" s="14"/>
    </row>
    <row r="314" spans="8:8" ht="14.25" customHeight="1" x14ac:dyDescent="0.35">
      <c r="H314" s="14"/>
    </row>
    <row r="315" spans="8:8" ht="14.25" customHeight="1" x14ac:dyDescent="0.35">
      <c r="H315" s="14"/>
    </row>
    <row r="316" spans="8:8" ht="14.25" customHeight="1" x14ac:dyDescent="0.35">
      <c r="H316" s="14"/>
    </row>
    <row r="317" spans="8:8" ht="14.25" customHeight="1" x14ac:dyDescent="0.35">
      <c r="H317" s="14"/>
    </row>
    <row r="318" spans="8:8" ht="14.25" customHeight="1" x14ac:dyDescent="0.35">
      <c r="H318" s="14"/>
    </row>
    <row r="319" spans="8:8" ht="14.25" customHeight="1" x14ac:dyDescent="0.35">
      <c r="H319" s="14"/>
    </row>
    <row r="320" spans="8:8" ht="14.25" customHeight="1" x14ac:dyDescent="0.35">
      <c r="H320" s="14"/>
    </row>
    <row r="321" spans="8:8" ht="14.25" customHeight="1" x14ac:dyDescent="0.35">
      <c r="H321" s="14"/>
    </row>
    <row r="322" spans="8:8" ht="14.25" customHeight="1" x14ac:dyDescent="0.35">
      <c r="H322" s="14"/>
    </row>
    <row r="323" spans="8:8" ht="14.25" customHeight="1" x14ac:dyDescent="0.35">
      <c r="H323" s="14"/>
    </row>
    <row r="324" spans="8:8" ht="14.25" customHeight="1" x14ac:dyDescent="0.35">
      <c r="H324" s="14"/>
    </row>
    <row r="325" spans="8:8" ht="14.25" customHeight="1" x14ac:dyDescent="0.35">
      <c r="H325" s="14"/>
    </row>
    <row r="326" spans="8:8" ht="14.25" customHeight="1" x14ac:dyDescent="0.35">
      <c r="H326" s="14"/>
    </row>
    <row r="327" spans="8:8" ht="14.25" customHeight="1" x14ac:dyDescent="0.35">
      <c r="H327" s="14"/>
    </row>
    <row r="328" spans="8:8" ht="14.25" customHeight="1" x14ac:dyDescent="0.35">
      <c r="H328" s="14"/>
    </row>
    <row r="329" spans="8:8" ht="14.25" customHeight="1" x14ac:dyDescent="0.35">
      <c r="H329" s="14"/>
    </row>
    <row r="330" spans="8:8" ht="14.25" customHeight="1" x14ac:dyDescent="0.35">
      <c r="H330" s="14"/>
    </row>
    <row r="331" spans="8:8" ht="14.25" customHeight="1" x14ac:dyDescent="0.35">
      <c r="H331" s="14"/>
    </row>
    <row r="332" spans="8:8" ht="14.25" customHeight="1" x14ac:dyDescent="0.35">
      <c r="H332" s="14"/>
    </row>
    <row r="333" spans="8:8" ht="14.25" customHeight="1" x14ac:dyDescent="0.35">
      <c r="H333" s="14"/>
    </row>
    <row r="334" spans="8:8" ht="14.25" customHeight="1" x14ac:dyDescent="0.35">
      <c r="H334" s="14"/>
    </row>
    <row r="335" spans="8:8" ht="14.25" customHeight="1" x14ac:dyDescent="0.35">
      <c r="H335" s="14"/>
    </row>
    <row r="336" spans="8:8" ht="14.25" customHeight="1" x14ac:dyDescent="0.35">
      <c r="H336" s="14"/>
    </row>
    <row r="337" spans="8:8" ht="14.25" customHeight="1" x14ac:dyDescent="0.35">
      <c r="H337" s="14"/>
    </row>
    <row r="338" spans="8:8" ht="14.25" customHeight="1" x14ac:dyDescent="0.35">
      <c r="H338" s="14"/>
    </row>
    <row r="339" spans="8:8" ht="14.25" customHeight="1" x14ac:dyDescent="0.35">
      <c r="H339" s="14"/>
    </row>
    <row r="340" spans="8:8" ht="14.25" customHeight="1" x14ac:dyDescent="0.35">
      <c r="H340" s="14"/>
    </row>
    <row r="341" spans="8:8" ht="14.25" customHeight="1" x14ac:dyDescent="0.35">
      <c r="H341" s="14"/>
    </row>
    <row r="342" spans="8:8" ht="14.25" customHeight="1" x14ac:dyDescent="0.35">
      <c r="H342" s="14"/>
    </row>
    <row r="343" spans="8:8" ht="14.25" customHeight="1" x14ac:dyDescent="0.35">
      <c r="H343" s="14"/>
    </row>
    <row r="344" spans="8:8" ht="14.25" customHeight="1" x14ac:dyDescent="0.35">
      <c r="H344" s="14"/>
    </row>
    <row r="345" spans="8:8" ht="14.25" customHeight="1" x14ac:dyDescent="0.35">
      <c r="H345" s="14"/>
    </row>
    <row r="346" spans="8:8" ht="14.25" customHeight="1" x14ac:dyDescent="0.35">
      <c r="H346" s="14"/>
    </row>
    <row r="347" spans="8:8" ht="14.25" customHeight="1" x14ac:dyDescent="0.35">
      <c r="H347" s="14"/>
    </row>
    <row r="348" spans="8:8" ht="14.25" customHeight="1" x14ac:dyDescent="0.35">
      <c r="H348" s="14"/>
    </row>
    <row r="349" spans="8:8" ht="14.25" customHeight="1" x14ac:dyDescent="0.35">
      <c r="H349" s="14"/>
    </row>
    <row r="350" spans="8:8" ht="14.25" customHeight="1" x14ac:dyDescent="0.35">
      <c r="H350" s="14"/>
    </row>
    <row r="351" spans="8:8" ht="14.25" customHeight="1" x14ac:dyDescent="0.35">
      <c r="H351" s="14"/>
    </row>
    <row r="352" spans="8:8" ht="14.25" customHeight="1" x14ac:dyDescent="0.35">
      <c r="H352" s="14"/>
    </row>
    <row r="353" spans="8:8" ht="14.25" customHeight="1" x14ac:dyDescent="0.35">
      <c r="H353" s="14"/>
    </row>
    <row r="354" spans="8:8" ht="14.25" customHeight="1" x14ac:dyDescent="0.35">
      <c r="H354" s="14"/>
    </row>
    <row r="355" spans="8:8" ht="14.25" customHeight="1" x14ac:dyDescent="0.35">
      <c r="H355" s="14"/>
    </row>
    <row r="356" spans="8:8" ht="14.25" customHeight="1" x14ac:dyDescent="0.35">
      <c r="H356" s="14"/>
    </row>
    <row r="357" spans="8:8" ht="14.25" customHeight="1" x14ac:dyDescent="0.35">
      <c r="H357" s="14"/>
    </row>
    <row r="358" spans="8:8" ht="14.25" customHeight="1" x14ac:dyDescent="0.35">
      <c r="H358" s="14"/>
    </row>
    <row r="359" spans="8:8" ht="14.25" customHeight="1" x14ac:dyDescent="0.35">
      <c r="H359" s="14"/>
    </row>
    <row r="360" spans="8:8" ht="14.25" customHeight="1" x14ac:dyDescent="0.35">
      <c r="H360" s="14"/>
    </row>
    <row r="361" spans="8:8" ht="14.25" customHeight="1" x14ac:dyDescent="0.35">
      <c r="H361" s="14"/>
    </row>
    <row r="362" spans="8:8" ht="14.25" customHeight="1" x14ac:dyDescent="0.35">
      <c r="H362" s="14"/>
    </row>
    <row r="363" spans="8:8" ht="14.25" customHeight="1" x14ac:dyDescent="0.35">
      <c r="H363" s="14"/>
    </row>
    <row r="364" spans="8:8" ht="14.25" customHeight="1" x14ac:dyDescent="0.35">
      <c r="H364" s="14"/>
    </row>
    <row r="365" spans="8:8" ht="14.25" customHeight="1" x14ac:dyDescent="0.35">
      <c r="H365" s="14"/>
    </row>
    <row r="366" spans="8:8" ht="14.25" customHeight="1" x14ac:dyDescent="0.35">
      <c r="H366" s="14"/>
    </row>
    <row r="367" spans="8:8" ht="14.25" customHeight="1" x14ac:dyDescent="0.35">
      <c r="H367" s="14"/>
    </row>
    <row r="368" spans="8:8" ht="14.25" customHeight="1" x14ac:dyDescent="0.35">
      <c r="H368" s="14"/>
    </row>
    <row r="369" spans="8:8" ht="14.25" customHeight="1" x14ac:dyDescent="0.35">
      <c r="H369" s="14"/>
    </row>
    <row r="370" spans="8:8" ht="14.25" customHeight="1" x14ac:dyDescent="0.35">
      <c r="H370" s="14"/>
    </row>
    <row r="371" spans="8:8" ht="14.25" customHeight="1" x14ac:dyDescent="0.35">
      <c r="H371" s="14"/>
    </row>
    <row r="372" spans="8:8" ht="14.25" customHeight="1" x14ac:dyDescent="0.35">
      <c r="H372" s="14"/>
    </row>
    <row r="373" spans="8:8" ht="14.25" customHeight="1" x14ac:dyDescent="0.35">
      <c r="H373" s="14"/>
    </row>
    <row r="374" spans="8:8" ht="14.25" customHeight="1" x14ac:dyDescent="0.35">
      <c r="H374" s="14"/>
    </row>
    <row r="375" spans="8:8" ht="14.25" customHeight="1" x14ac:dyDescent="0.35">
      <c r="H375" s="14"/>
    </row>
    <row r="376" spans="8:8" ht="14.25" customHeight="1" x14ac:dyDescent="0.35">
      <c r="H376" s="14"/>
    </row>
    <row r="377" spans="8:8" ht="14.25" customHeight="1" x14ac:dyDescent="0.35">
      <c r="H377" s="14"/>
    </row>
    <row r="378" spans="8:8" ht="14.25" customHeight="1" x14ac:dyDescent="0.35">
      <c r="H378" s="14"/>
    </row>
    <row r="379" spans="8:8" ht="14.25" customHeight="1" x14ac:dyDescent="0.35">
      <c r="H379" s="14"/>
    </row>
    <row r="380" spans="8:8" ht="14.25" customHeight="1" x14ac:dyDescent="0.35">
      <c r="H380" s="14"/>
    </row>
    <row r="381" spans="8:8" ht="14.25" customHeight="1" x14ac:dyDescent="0.35">
      <c r="H381" s="14"/>
    </row>
    <row r="382" spans="8:8" ht="14.25" customHeight="1" x14ac:dyDescent="0.35">
      <c r="H382" s="14"/>
    </row>
    <row r="383" spans="8:8" ht="14.25" customHeight="1" x14ac:dyDescent="0.35">
      <c r="H383" s="14"/>
    </row>
    <row r="384" spans="8:8" ht="14.25" customHeight="1" x14ac:dyDescent="0.35">
      <c r="H384" s="14"/>
    </row>
    <row r="385" spans="8:8" ht="14.25" customHeight="1" x14ac:dyDescent="0.35">
      <c r="H385" s="14"/>
    </row>
    <row r="386" spans="8:8" ht="14.25" customHeight="1" x14ac:dyDescent="0.35">
      <c r="H386" s="14"/>
    </row>
    <row r="387" spans="8:8" ht="14.25" customHeight="1" x14ac:dyDescent="0.35">
      <c r="H387" s="14"/>
    </row>
    <row r="388" spans="8:8" ht="14.25" customHeight="1" x14ac:dyDescent="0.35">
      <c r="H388" s="14"/>
    </row>
    <row r="389" spans="8:8" ht="14.25" customHeight="1" x14ac:dyDescent="0.35">
      <c r="H389" s="14"/>
    </row>
    <row r="390" spans="8:8" ht="14.25" customHeight="1" x14ac:dyDescent="0.35">
      <c r="H390" s="14"/>
    </row>
    <row r="391" spans="8:8" ht="14.25" customHeight="1" x14ac:dyDescent="0.35">
      <c r="H391" s="14"/>
    </row>
    <row r="392" spans="8:8" ht="14.25" customHeight="1" x14ac:dyDescent="0.35">
      <c r="H392" s="14"/>
    </row>
    <row r="393" spans="8:8" ht="14.25" customHeight="1" x14ac:dyDescent="0.35">
      <c r="H393" s="14"/>
    </row>
    <row r="394" spans="8:8" ht="14.25" customHeight="1" x14ac:dyDescent="0.35">
      <c r="H394" s="14"/>
    </row>
    <row r="395" spans="8:8" ht="14.25" customHeight="1" x14ac:dyDescent="0.35">
      <c r="H395" s="14"/>
    </row>
    <row r="396" spans="8:8" ht="14.25" customHeight="1" x14ac:dyDescent="0.35">
      <c r="H396" s="14"/>
    </row>
    <row r="397" spans="8:8" ht="14.25" customHeight="1" x14ac:dyDescent="0.35">
      <c r="H397" s="14"/>
    </row>
    <row r="398" spans="8:8" ht="14.25" customHeight="1" x14ac:dyDescent="0.35">
      <c r="H398" s="14"/>
    </row>
    <row r="399" spans="8:8" ht="14.25" customHeight="1" x14ac:dyDescent="0.35">
      <c r="H399" s="14"/>
    </row>
    <row r="400" spans="8:8" ht="14.25" customHeight="1" x14ac:dyDescent="0.35">
      <c r="H400" s="14"/>
    </row>
    <row r="401" spans="8:8" ht="14.25" customHeight="1" x14ac:dyDescent="0.35">
      <c r="H401" s="14"/>
    </row>
    <row r="402" spans="8:8" ht="14.25" customHeight="1" x14ac:dyDescent="0.35">
      <c r="H402" s="14"/>
    </row>
    <row r="403" spans="8:8" ht="14.25" customHeight="1" x14ac:dyDescent="0.35">
      <c r="H403" s="14"/>
    </row>
    <row r="404" spans="8:8" ht="14.25" customHeight="1" x14ac:dyDescent="0.35">
      <c r="H404" s="14"/>
    </row>
    <row r="405" spans="8:8" ht="14.25" customHeight="1" x14ac:dyDescent="0.35">
      <c r="H405" s="14"/>
    </row>
    <row r="406" spans="8:8" ht="14.25" customHeight="1" x14ac:dyDescent="0.35">
      <c r="H406" s="14"/>
    </row>
    <row r="407" spans="8:8" ht="14.25" customHeight="1" x14ac:dyDescent="0.35">
      <c r="H407" s="14"/>
    </row>
    <row r="408" spans="8:8" ht="14.25" customHeight="1" x14ac:dyDescent="0.35">
      <c r="H408" s="14"/>
    </row>
    <row r="409" spans="8:8" ht="14.25" customHeight="1" x14ac:dyDescent="0.35">
      <c r="H409" s="14"/>
    </row>
    <row r="410" spans="8:8" ht="14.25" customHeight="1" x14ac:dyDescent="0.35">
      <c r="H410" s="14"/>
    </row>
    <row r="411" spans="8:8" ht="14.25" customHeight="1" x14ac:dyDescent="0.35">
      <c r="H411" s="14"/>
    </row>
    <row r="412" spans="8:8" ht="14.25" customHeight="1" x14ac:dyDescent="0.35">
      <c r="H412" s="14"/>
    </row>
    <row r="413" spans="8:8" ht="14.25" customHeight="1" x14ac:dyDescent="0.35">
      <c r="H413" s="14"/>
    </row>
    <row r="414" spans="8:8" ht="14.25" customHeight="1" x14ac:dyDescent="0.35">
      <c r="H414" s="14"/>
    </row>
    <row r="415" spans="8:8" ht="14.25" customHeight="1" x14ac:dyDescent="0.35">
      <c r="H415" s="14"/>
    </row>
    <row r="416" spans="8:8" ht="14.25" customHeight="1" x14ac:dyDescent="0.35">
      <c r="H416" s="14"/>
    </row>
    <row r="417" spans="8:8" ht="14.25" customHeight="1" x14ac:dyDescent="0.35">
      <c r="H417" s="14"/>
    </row>
    <row r="418" spans="8:8" ht="14.25" customHeight="1" x14ac:dyDescent="0.35">
      <c r="H418" s="14"/>
    </row>
    <row r="419" spans="8:8" ht="14.25" customHeight="1" x14ac:dyDescent="0.35">
      <c r="H419" s="14"/>
    </row>
    <row r="420" spans="8:8" ht="14.25" customHeight="1" x14ac:dyDescent="0.35">
      <c r="H420" s="14"/>
    </row>
    <row r="421" spans="8:8" ht="14.25" customHeight="1" x14ac:dyDescent="0.35">
      <c r="H421" s="14"/>
    </row>
    <row r="422" spans="8:8" ht="14.25" customHeight="1" x14ac:dyDescent="0.35">
      <c r="H422" s="14"/>
    </row>
    <row r="423" spans="8:8" ht="14.25" customHeight="1" x14ac:dyDescent="0.35">
      <c r="H423" s="14"/>
    </row>
    <row r="424" spans="8:8" ht="14.25" customHeight="1" x14ac:dyDescent="0.35">
      <c r="H424" s="14"/>
    </row>
    <row r="425" spans="8:8" ht="14.25" customHeight="1" x14ac:dyDescent="0.35">
      <c r="H425" s="14"/>
    </row>
    <row r="426" spans="8:8" ht="14.25" customHeight="1" x14ac:dyDescent="0.35">
      <c r="H426" s="14"/>
    </row>
    <row r="427" spans="8:8" ht="14.25" customHeight="1" x14ac:dyDescent="0.35">
      <c r="H427" s="14"/>
    </row>
    <row r="428" spans="8:8" ht="14.25" customHeight="1" x14ac:dyDescent="0.35">
      <c r="H428" s="14"/>
    </row>
    <row r="429" spans="8:8" ht="14.25" customHeight="1" x14ac:dyDescent="0.35">
      <c r="H429" s="14"/>
    </row>
    <row r="430" spans="8:8" ht="14.25" customHeight="1" x14ac:dyDescent="0.35">
      <c r="H430" s="14"/>
    </row>
    <row r="431" spans="8:8" ht="14.25" customHeight="1" x14ac:dyDescent="0.35">
      <c r="H431" s="14"/>
    </row>
    <row r="432" spans="8:8" ht="14.25" customHeight="1" x14ac:dyDescent="0.35">
      <c r="H432" s="14"/>
    </row>
    <row r="433" spans="8:8" ht="14.25" customHeight="1" x14ac:dyDescent="0.35">
      <c r="H433" s="14"/>
    </row>
    <row r="434" spans="8:8" ht="14.25" customHeight="1" x14ac:dyDescent="0.35">
      <c r="H434" s="14"/>
    </row>
    <row r="435" spans="8:8" ht="14.25" customHeight="1" x14ac:dyDescent="0.35">
      <c r="H435" s="14"/>
    </row>
    <row r="436" spans="8:8" ht="14.25" customHeight="1" x14ac:dyDescent="0.35">
      <c r="H436" s="14"/>
    </row>
    <row r="437" spans="8:8" ht="14.25" customHeight="1" x14ac:dyDescent="0.35">
      <c r="H437" s="14"/>
    </row>
    <row r="438" spans="8:8" ht="14.25" customHeight="1" x14ac:dyDescent="0.35">
      <c r="H438" s="14"/>
    </row>
    <row r="439" spans="8:8" ht="14.25" customHeight="1" x14ac:dyDescent="0.35">
      <c r="H439" s="14"/>
    </row>
    <row r="440" spans="8:8" ht="14.25" customHeight="1" x14ac:dyDescent="0.35">
      <c r="H440" s="14"/>
    </row>
    <row r="441" spans="8:8" ht="14.25" customHeight="1" x14ac:dyDescent="0.35">
      <c r="H441" s="14"/>
    </row>
    <row r="442" spans="8:8" ht="14.25" customHeight="1" x14ac:dyDescent="0.35">
      <c r="H442" s="14"/>
    </row>
    <row r="443" spans="8:8" ht="14.25" customHeight="1" x14ac:dyDescent="0.35">
      <c r="H443" s="14"/>
    </row>
    <row r="444" spans="8:8" ht="14.25" customHeight="1" x14ac:dyDescent="0.35">
      <c r="H444" s="14"/>
    </row>
    <row r="445" spans="8:8" ht="14.25" customHeight="1" x14ac:dyDescent="0.35">
      <c r="H445" s="14"/>
    </row>
    <row r="446" spans="8:8" ht="14.25" customHeight="1" x14ac:dyDescent="0.35">
      <c r="H446" s="14"/>
    </row>
    <row r="447" spans="8:8" ht="14.25" customHeight="1" x14ac:dyDescent="0.35">
      <c r="H447" s="14"/>
    </row>
    <row r="448" spans="8:8" ht="14.25" customHeight="1" x14ac:dyDescent="0.35">
      <c r="H448" s="14"/>
    </row>
    <row r="449" spans="8:8" ht="14.25" customHeight="1" x14ac:dyDescent="0.35">
      <c r="H449" s="14"/>
    </row>
    <row r="450" spans="8:8" ht="14.25" customHeight="1" x14ac:dyDescent="0.35">
      <c r="H450" s="14"/>
    </row>
    <row r="451" spans="8:8" ht="14.25" customHeight="1" x14ac:dyDescent="0.35">
      <c r="H451" s="14"/>
    </row>
    <row r="452" spans="8:8" ht="14.25" customHeight="1" x14ac:dyDescent="0.35">
      <c r="H452" s="14"/>
    </row>
    <row r="453" spans="8:8" ht="14.25" customHeight="1" x14ac:dyDescent="0.35">
      <c r="H453" s="14"/>
    </row>
    <row r="454" spans="8:8" ht="14.25" customHeight="1" x14ac:dyDescent="0.35">
      <c r="H454" s="14"/>
    </row>
    <row r="455" spans="8:8" ht="14.25" customHeight="1" x14ac:dyDescent="0.35">
      <c r="H455" s="14"/>
    </row>
    <row r="456" spans="8:8" ht="14.25" customHeight="1" x14ac:dyDescent="0.35">
      <c r="H456" s="14"/>
    </row>
    <row r="457" spans="8:8" ht="14.25" customHeight="1" x14ac:dyDescent="0.35">
      <c r="H457" s="14"/>
    </row>
    <row r="458" spans="8:8" ht="14.25" customHeight="1" x14ac:dyDescent="0.35">
      <c r="H458" s="14"/>
    </row>
    <row r="459" spans="8:8" ht="14.25" customHeight="1" x14ac:dyDescent="0.35">
      <c r="H459" s="14"/>
    </row>
    <row r="460" spans="8:8" ht="14.25" customHeight="1" x14ac:dyDescent="0.35">
      <c r="H460" s="14"/>
    </row>
    <row r="461" spans="8:8" ht="14.25" customHeight="1" x14ac:dyDescent="0.35">
      <c r="H461" s="14"/>
    </row>
    <row r="462" spans="8:8" ht="14.25" customHeight="1" x14ac:dyDescent="0.35">
      <c r="H462" s="14"/>
    </row>
    <row r="463" spans="8:8" ht="14.25" customHeight="1" x14ac:dyDescent="0.35">
      <c r="H463" s="14"/>
    </row>
    <row r="464" spans="8:8" ht="14.25" customHeight="1" x14ac:dyDescent="0.35">
      <c r="H464" s="14"/>
    </row>
    <row r="465" spans="8:8" ht="14.25" customHeight="1" x14ac:dyDescent="0.35">
      <c r="H465" s="14"/>
    </row>
    <row r="466" spans="8:8" ht="14.25" customHeight="1" x14ac:dyDescent="0.35">
      <c r="H466" s="14"/>
    </row>
    <row r="467" spans="8:8" ht="14.25" customHeight="1" x14ac:dyDescent="0.35">
      <c r="H467" s="14"/>
    </row>
    <row r="468" spans="8:8" ht="14.25" customHeight="1" x14ac:dyDescent="0.35">
      <c r="H468" s="14"/>
    </row>
    <row r="469" spans="8:8" ht="14.25" customHeight="1" x14ac:dyDescent="0.35">
      <c r="H469" s="14"/>
    </row>
    <row r="470" spans="8:8" ht="14.25" customHeight="1" x14ac:dyDescent="0.35">
      <c r="H470" s="14"/>
    </row>
    <row r="471" spans="8:8" ht="14.25" customHeight="1" x14ac:dyDescent="0.35">
      <c r="H471" s="14"/>
    </row>
    <row r="472" spans="8:8" ht="14.25" customHeight="1" x14ac:dyDescent="0.35">
      <c r="H472" s="14"/>
    </row>
    <row r="473" spans="8:8" ht="14.25" customHeight="1" x14ac:dyDescent="0.35">
      <c r="H473" s="14"/>
    </row>
    <row r="474" spans="8:8" ht="14.25" customHeight="1" x14ac:dyDescent="0.35">
      <c r="H474" s="14"/>
    </row>
    <row r="475" spans="8:8" ht="14.25" customHeight="1" x14ac:dyDescent="0.35">
      <c r="H475" s="14"/>
    </row>
    <row r="476" spans="8:8" ht="14.25" customHeight="1" x14ac:dyDescent="0.35">
      <c r="H476" s="14"/>
    </row>
    <row r="477" spans="8:8" ht="14.25" customHeight="1" x14ac:dyDescent="0.35">
      <c r="H477" s="14"/>
    </row>
    <row r="478" spans="8:8" ht="14.25" customHeight="1" x14ac:dyDescent="0.35">
      <c r="H478" s="14"/>
    </row>
    <row r="479" spans="8:8" ht="14.25" customHeight="1" x14ac:dyDescent="0.35">
      <c r="H479" s="14"/>
    </row>
    <row r="480" spans="8:8" ht="14.25" customHeight="1" x14ac:dyDescent="0.35">
      <c r="H480" s="14"/>
    </row>
    <row r="481" spans="8:8" ht="14.25" customHeight="1" x14ac:dyDescent="0.35">
      <c r="H481" s="14"/>
    </row>
    <row r="482" spans="8:8" ht="14.25" customHeight="1" x14ac:dyDescent="0.35">
      <c r="H482" s="14"/>
    </row>
    <row r="483" spans="8:8" ht="14.25" customHeight="1" x14ac:dyDescent="0.35">
      <c r="H483" s="14"/>
    </row>
    <row r="484" spans="8:8" ht="14.25" customHeight="1" x14ac:dyDescent="0.35">
      <c r="H484" s="14"/>
    </row>
    <row r="485" spans="8:8" ht="14.25" customHeight="1" x14ac:dyDescent="0.35">
      <c r="H485" s="14"/>
    </row>
    <row r="486" spans="8:8" ht="14.25" customHeight="1" x14ac:dyDescent="0.35">
      <c r="H486" s="14"/>
    </row>
    <row r="487" spans="8:8" ht="14.25" customHeight="1" x14ac:dyDescent="0.35">
      <c r="H487" s="14"/>
    </row>
    <row r="488" spans="8:8" ht="14.25" customHeight="1" x14ac:dyDescent="0.35">
      <c r="H488" s="14"/>
    </row>
    <row r="489" spans="8:8" ht="14.25" customHeight="1" x14ac:dyDescent="0.35">
      <c r="H489" s="14"/>
    </row>
    <row r="490" spans="8:8" ht="14.25" customHeight="1" x14ac:dyDescent="0.35">
      <c r="H490" s="14"/>
    </row>
    <row r="491" spans="8:8" ht="14.25" customHeight="1" x14ac:dyDescent="0.35">
      <c r="H491" s="14"/>
    </row>
    <row r="492" spans="8:8" ht="14.25" customHeight="1" x14ac:dyDescent="0.35">
      <c r="H492" s="14"/>
    </row>
    <row r="493" spans="8:8" ht="14.25" customHeight="1" x14ac:dyDescent="0.35">
      <c r="H493" s="14"/>
    </row>
    <row r="494" spans="8:8" ht="14.25" customHeight="1" x14ac:dyDescent="0.35">
      <c r="H494" s="14"/>
    </row>
    <row r="495" spans="8:8" ht="14.25" customHeight="1" x14ac:dyDescent="0.35">
      <c r="H495" s="14"/>
    </row>
    <row r="496" spans="8:8" ht="14.25" customHeight="1" x14ac:dyDescent="0.35">
      <c r="H496" s="14"/>
    </row>
    <row r="497" spans="8:8" ht="14.25" customHeight="1" x14ac:dyDescent="0.35">
      <c r="H497" s="14"/>
    </row>
    <row r="498" spans="8:8" ht="14.25" customHeight="1" x14ac:dyDescent="0.35">
      <c r="H498" s="14"/>
    </row>
    <row r="499" spans="8:8" ht="14.25" customHeight="1" x14ac:dyDescent="0.35">
      <c r="H499" s="14"/>
    </row>
    <row r="500" spans="8:8" ht="14.25" customHeight="1" x14ac:dyDescent="0.35">
      <c r="H500" s="14"/>
    </row>
    <row r="501" spans="8:8" ht="14.25" customHeight="1" x14ac:dyDescent="0.35">
      <c r="H501" s="14"/>
    </row>
    <row r="502" spans="8:8" ht="14.25" customHeight="1" x14ac:dyDescent="0.35">
      <c r="H502" s="14"/>
    </row>
    <row r="503" spans="8:8" ht="14.25" customHeight="1" x14ac:dyDescent="0.35">
      <c r="H503" s="14"/>
    </row>
    <row r="504" spans="8:8" ht="14.25" customHeight="1" x14ac:dyDescent="0.35">
      <c r="H504" s="14"/>
    </row>
    <row r="505" spans="8:8" ht="14.25" customHeight="1" x14ac:dyDescent="0.35">
      <c r="H505" s="14"/>
    </row>
    <row r="506" spans="8:8" ht="14.25" customHeight="1" x14ac:dyDescent="0.35">
      <c r="H506" s="14"/>
    </row>
    <row r="507" spans="8:8" ht="14.25" customHeight="1" x14ac:dyDescent="0.35">
      <c r="H507" s="14"/>
    </row>
    <row r="508" spans="8:8" ht="14.25" customHeight="1" x14ac:dyDescent="0.35">
      <c r="H508" s="14"/>
    </row>
    <row r="509" spans="8:8" ht="14.25" customHeight="1" x14ac:dyDescent="0.35">
      <c r="H509" s="14"/>
    </row>
    <row r="510" spans="8:8" ht="14.25" customHeight="1" x14ac:dyDescent="0.35">
      <c r="H510" s="14"/>
    </row>
    <row r="511" spans="8:8" ht="14.25" customHeight="1" x14ac:dyDescent="0.35">
      <c r="H511" s="14"/>
    </row>
    <row r="512" spans="8:8" ht="14.25" customHeight="1" x14ac:dyDescent="0.35">
      <c r="H512" s="14"/>
    </row>
    <row r="513" spans="8:8" ht="14.25" customHeight="1" x14ac:dyDescent="0.35">
      <c r="H513" s="14"/>
    </row>
    <row r="514" spans="8:8" ht="14.25" customHeight="1" x14ac:dyDescent="0.35">
      <c r="H514" s="14"/>
    </row>
    <row r="515" spans="8:8" ht="14.25" customHeight="1" x14ac:dyDescent="0.35">
      <c r="H515" s="14"/>
    </row>
    <row r="516" spans="8:8" ht="14.25" customHeight="1" x14ac:dyDescent="0.35">
      <c r="H516" s="14"/>
    </row>
    <row r="517" spans="8:8" ht="14.25" customHeight="1" x14ac:dyDescent="0.35">
      <c r="H517" s="14"/>
    </row>
    <row r="518" spans="8:8" ht="14.25" customHeight="1" x14ac:dyDescent="0.35">
      <c r="H518" s="14"/>
    </row>
    <row r="519" spans="8:8" ht="14.25" customHeight="1" x14ac:dyDescent="0.35">
      <c r="H519" s="14"/>
    </row>
    <row r="520" spans="8:8" ht="14.25" customHeight="1" x14ac:dyDescent="0.35">
      <c r="H520" s="14"/>
    </row>
    <row r="521" spans="8:8" ht="14.25" customHeight="1" x14ac:dyDescent="0.35">
      <c r="H521" s="14"/>
    </row>
    <row r="522" spans="8:8" ht="14.25" customHeight="1" x14ac:dyDescent="0.35">
      <c r="H522" s="14"/>
    </row>
    <row r="523" spans="8:8" ht="14.25" customHeight="1" x14ac:dyDescent="0.35">
      <c r="H523" s="14"/>
    </row>
    <row r="524" spans="8:8" ht="14.25" customHeight="1" x14ac:dyDescent="0.35">
      <c r="H524" s="14"/>
    </row>
    <row r="525" spans="8:8" ht="14.25" customHeight="1" x14ac:dyDescent="0.35">
      <c r="H525" s="14"/>
    </row>
    <row r="526" spans="8:8" ht="14.25" customHeight="1" x14ac:dyDescent="0.35">
      <c r="H526" s="14"/>
    </row>
    <row r="527" spans="8:8" ht="14.25" customHeight="1" x14ac:dyDescent="0.35">
      <c r="H527" s="14"/>
    </row>
    <row r="528" spans="8:8" ht="14.25" customHeight="1" x14ac:dyDescent="0.35">
      <c r="H528" s="14"/>
    </row>
    <row r="529" spans="8:8" ht="14.25" customHeight="1" x14ac:dyDescent="0.35">
      <c r="H529" s="14"/>
    </row>
    <row r="530" spans="8:8" ht="14.25" customHeight="1" x14ac:dyDescent="0.35">
      <c r="H530" s="14"/>
    </row>
    <row r="531" spans="8:8" ht="14.25" customHeight="1" x14ac:dyDescent="0.35">
      <c r="H531" s="14"/>
    </row>
    <row r="532" spans="8:8" ht="14.25" customHeight="1" x14ac:dyDescent="0.35">
      <c r="H532" s="14"/>
    </row>
    <row r="533" spans="8:8" ht="14.25" customHeight="1" x14ac:dyDescent="0.35">
      <c r="H533" s="14"/>
    </row>
    <row r="534" spans="8:8" ht="14.25" customHeight="1" x14ac:dyDescent="0.35">
      <c r="H534" s="14"/>
    </row>
    <row r="535" spans="8:8" ht="14.25" customHeight="1" x14ac:dyDescent="0.35">
      <c r="H535" s="14"/>
    </row>
    <row r="536" spans="8:8" ht="14.25" customHeight="1" x14ac:dyDescent="0.35">
      <c r="H536" s="14"/>
    </row>
    <row r="537" spans="8:8" ht="14.25" customHeight="1" x14ac:dyDescent="0.35">
      <c r="H537" s="14"/>
    </row>
    <row r="538" spans="8:8" ht="14.25" customHeight="1" x14ac:dyDescent="0.35">
      <c r="H538" s="14"/>
    </row>
    <row r="539" spans="8:8" ht="14.25" customHeight="1" x14ac:dyDescent="0.35">
      <c r="H539" s="14"/>
    </row>
    <row r="540" spans="8:8" ht="14.25" customHeight="1" x14ac:dyDescent="0.35">
      <c r="H540" s="14"/>
    </row>
    <row r="541" spans="8:8" ht="14.25" customHeight="1" x14ac:dyDescent="0.35">
      <c r="H541" s="14"/>
    </row>
    <row r="542" spans="8:8" ht="14.25" customHeight="1" x14ac:dyDescent="0.35">
      <c r="H542" s="14"/>
    </row>
    <row r="543" spans="8:8" ht="14.25" customHeight="1" x14ac:dyDescent="0.35">
      <c r="H543" s="14"/>
    </row>
    <row r="544" spans="8:8" ht="14.25" customHeight="1" x14ac:dyDescent="0.35">
      <c r="H544" s="14"/>
    </row>
    <row r="545" spans="8:8" ht="14.25" customHeight="1" x14ac:dyDescent="0.35">
      <c r="H545" s="14"/>
    </row>
    <row r="546" spans="8:8" ht="14.25" customHeight="1" x14ac:dyDescent="0.35">
      <c r="H546" s="14"/>
    </row>
    <row r="547" spans="8:8" ht="14.25" customHeight="1" x14ac:dyDescent="0.35">
      <c r="H547" s="14"/>
    </row>
    <row r="548" spans="8:8" ht="14.25" customHeight="1" x14ac:dyDescent="0.35">
      <c r="H548" s="14"/>
    </row>
    <row r="549" spans="8:8" ht="14.25" customHeight="1" x14ac:dyDescent="0.35">
      <c r="H549" s="14"/>
    </row>
    <row r="550" spans="8:8" ht="14.25" customHeight="1" x14ac:dyDescent="0.35">
      <c r="H550" s="14"/>
    </row>
    <row r="551" spans="8:8" ht="14.25" customHeight="1" x14ac:dyDescent="0.35">
      <c r="H551" s="14"/>
    </row>
    <row r="552" spans="8:8" ht="14.25" customHeight="1" x14ac:dyDescent="0.35">
      <c r="H552" s="14"/>
    </row>
    <row r="553" spans="8:8" ht="14.25" customHeight="1" x14ac:dyDescent="0.35">
      <c r="H553" s="14"/>
    </row>
    <row r="554" spans="8:8" ht="14.25" customHeight="1" x14ac:dyDescent="0.35">
      <c r="H554" s="14"/>
    </row>
    <row r="555" spans="8:8" ht="14.25" customHeight="1" x14ac:dyDescent="0.35">
      <c r="H555" s="14"/>
    </row>
    <row r="556" spans="8:8" ht="14.25" customHeight="1" x14ac:dyDescent="0.35">
      <c r="H556" s="14"/>
    </row>
    <row r="557" spans="8:8" ht="14.25" customHeight="1" x14ac:dyDescent="0.35">
      <c r="H557" s="14"/>
    </row>
    <row r="558" spans="8:8" ht="14.25" customHeight="1" x14ac:dyDescent="0.35">
      <c r="H558" s="14"/>
    </row>
    <row r="559" spans="8:8" ht="14.25" customHeight="1" x14ac:dyDescent="0.35">
      <c r="H559" s="14"/>
    </row>
    <row r="560" spans="8:8" ht="14.25" customHeight="1" x14ac:dyDescent="0.35">
      <c r="H560" s="14"/>
    </row>
    <row r="561" spans="8:8" ht="14.25" customHeight="1" x14ac:dyDescent="0.35">
      <c r="H561" s="14"/>
    </row>
    <row r="562" spans="8:8" ht="14.25" customHeight="1" x14ac:dyDescent="0.35">
      <c r="H562" s="14"/>
    </row>
    <row r="563" spans="8:8" ht="14.25" customHeight="1" x14ac:dyDescent="0.35">
      <c r="H563" s="14"/>
    </row>
    <row r="564" spans="8:8" ht="14.25" customHeight="1" x14ac:dyDescent="0.35">
      <c r="H564" s="14"/>
    </row>
    <row r="565" spans="8:8" ht="14.25" customHeight="1" x14ac:dyDescent="0.35">
      <c r="H565" s="14"/>
    </row>
    <row r="566" spans="8:8" ht="14.25" customHeight="1" x14ac:dyDescent="0.35">
      <c r="H566" s="14"/>
    </row>
    <row r="567" spans="8:8" ht="14.25" customHeight="1" x14ac:dyDescent="0.35">
      <c r="H567" s="14"/>
    </row>
    <row r="568" spans="8:8" ht="14.25" customHeight="1" x14ac:dyDescent="0.35">
      <c r="H568" s="14"/>
    </row>
    <row r="569" spans="8:8" ht="14.25" customHeight="1" x14ac:dyDescent="0.35">
      <c r="H569" s="14"/>
    </row>
    <row r="570" spans="8:8" ht="14.25" customHeight="1" x14ac:dyDescent="0.35">
      <c r="H570" s="14"/>
    </row>
    <row r="571" spans="8:8" ht="14.25" customHeight="1" x14ac:dyDescent="0.35">
      <c r="H571" s="14"/>
    </row>
    <row r="572" spans="8:8" ht="14.25" customHeight="1" x14ac:dyDescent="0.35">
      <c r="H572" s="14"/>
    </row>
    <row r="573" spans="8:8" ht="14.25" customHeight="1" x14ac:dyDescent="0.35">
      <c r="H573" s="14"/>
    </row>
    <row r="574" spans="8:8" ht="14.25" customHeight="1" x14ac:dyDescent="0.35">
      <c r="H574" s="14"/>
    </row>
    <row r="575" spans="8:8" ht="14.25" customHeight="1" x14ac:dyDescent="0.35">
      <c r="H575" s="14"/>
    </row>
    <row r="576" spans="8:8" ht="14.25" customHeight="1" x14ac:dyDescent="0.35">
      <c r="H576" s="14"/>
    </row>
    <row r="577" spans="8:8" ht="14.25" customHeight="1" x14ac:dyDescent="0.35">
      <c r="H577" s="14"/>
    </row>
    <row r="578" spans="8:8" ht="14.25" customHeight="1" x14ac:dyDescent="0.35">
      <c r="H578" s="14"/>
    </row>
    <row r="579" spans="8:8" ht="14.25" customHeight="1" x14ac:dyDescent="0.35">
      <c r="H579" s="14"/>
    </row>
    <row r="580" spans="8:8" ht="14.25" customHeight="1" x14ac:dyDescent="0.35">
      <c r="H580" s="14"/>
    </row>
    <row r="581" spans="8:8" ht="14.25" customHeight="1" x14ac:dyDescent="0.35">
      <c r="H581" s="14"/>
    </row>
    <row r="582" spans="8:8" ht="14.25" customHeight="1" x14ac:dyDescent="0.35">
      <c r="H582" s="14"/>
    </row>
    <row r="583" spans="8:8" ht="14.25" customHeight="1" x14ac:dyDescent="0.35">
      <c r="H583" s="14"/>
    </row>
    <row r="584" spans="8:8" ht="14.25" customHeight="1" x14ac:dyDescent="0.35">
      <c r="H584" s="14"/>
    </row>
    <row r="585" spans="8:8" ht="14.25" customHeight="1" x14ac:dyDescent="0.35">
      <c r="H585" s="14"/>
    </row>
    <row r="586" spans="8:8" ht="14.25" customHeight="1" x14ac:dyDescent="0.35">
      <c r="H586" s="14"/>
    </row>
    <row r="587" spans="8:8" ht="14.25" customHeight="1" x14ac:dyDescent="0.35">
      <c r="H587" s="14"/>
    </row>
    <row r="588" spans="8:8" ht="14.25" customHeight="1" x14ac:dyDescent="0.35">
      <c r="H588" s="14"/>
    </row>
    <row r="589" spans="8:8" ht="14.25" customHeight="1" x14ac:dyDescent="0.35">
      <c r="H589" s="14"/>
    </row>
    <row r="590" spans="8:8" ht="14.25" customHeight="1" x14ac:dyDescent="0.35">
      <c r="H590" s="14"/>
    </row>
    <row r="591" spans="8:8" ht="14.25" customHeight="1" x14ac:dyDescent="0.35">
      <c r="H591" s="14"/>
    </row>
    <row r="592" spans="8:8" ht="14.25" customHeight="1" x14ac:dyDescent="0.35">
      <c r="H592" s="14"/>
    </row>
    <row r="593" spans="8:8" ht="14.25" customHeight="1" x14ac:dyDescent="0.35">
      <c r="H593" s="14"/>
    </row>
    <row r="594" spans="8:8" ht="14.25" customHeight="1" x14ac:dyDescent="0.35">
      <c r="H594" s="14"/>
    </row>
    <row r="595" spans="8:8" ht="14.25" customHeight="1" x14ac:dyDescent="0.35">
      <c r="H595" s="14"/>
    </row>
    <row r="596" spans="8:8" ht="14.25" customHeight="1" x14ac:dyDescent="0.35">
      <c r="H596" s="14"/>
    </row>
    <row r="597" spans="8:8" ht="14.25" customHeight="1" x14ac:dyDescent="0.35">
      <c r="H597" s="14"/>
    </row>
    <row r="598" spans="8:8" ht="14.25" customHeight="1" x14ac:dyDescent="0.35">
      <c r="H598" s="14"/>
    </row>
    <row r="599" spans="8:8" ht="14.25" customHeight="1" x14ac:dyDescent="0.35">
      <c r="H599" s="14"/>
    </row>
    <row r="600" spans="8:8" ht="14.25" customHeight="1" x14ac:dyDescent="0.35">
      <c r="H600" s="14"/>
    </row>
    <row r="601" spans="8:8" ht="14.25" customHeight="1" x14ac:dyDescent="0.35">
      <c r="H601" s="14"/>
    </row>
    <row r="602" spans="8:8" ht="14.25" customHeight="1" x14ac:dyDescent="0.35">
      <c r="H602" s="14"/>
    </row>
    <row r="603" spans="8:8" ht="14.25" customHeight="1" x14ac:dyDescent="0.35">
      <c r="H603" s="14"/>
    </row>
    <row r="604" spans="8:8" ht="14.25" customHeight="1" x14ac:dyDescent="0.35">
      <c r="H604" s="14"/>
    </row>
    <row r="605" spans="8:8" ht="14.25" customHeight="1" x14ac:dyDescent="0.35">
      <c r="H605" s="14"/>
    </row>
    <row r="606" spans="8:8" ht="14.25" customHeight="1" x14ac:dyDescent="0.35">
      <c r="H606" s="14"/>
    </row>
    <row r="607" spans="8:8" ht="14.25" customHeight="1" x14ac:dyDescent="0.35">
      <c r="H607" s="14"/>
    </row>
    <row r="608" spans="8:8" ht="14.25" customHeight="1" x14ac:dyDescent="0.35">
      <c r="H608" s="14"/>
    </row>
    <row r="609" spans="8:8" ht="14.25" customHeight="1" x14ac:dyDescent="0.35">
      <c r="H609" s="14"/>
    </row>
    <row r="610" spans="8:8" ht="14.25" customHeight="1" x14ac:dyDescent="0.35">
      <c r="H610" s="14"/>
    </row>
    <row r="611" spans="8:8" ht="14.25" customHeight="1" x14ac:dyDescent="0.35">
      <c r="H611" s="14"/>
    </row>
    <row r="612" spans="8:8" ht="14.25" customHeight="1" x14ac:dyDescent="0.35">
      <c r="H612" s="14"/>
    </row>
    <row r="613" spans="8:8" ht="14.25" customHeight="1" x14ac:dyDescent="0.35">
      <c r="H613" s="14"/>
    </row>
    <row r="614" spans="8:8" ht="14.25" customHeight="1" x14ac:dyDescent="0.35">
      <c r="H614" s="14"/>
    </row>
    <row r="615" spans="8:8" ht="14.25" customHeight="1" x14ac:dyDescent="0.35">
      <c r="H615" s="14"/>
    </row>
    <row r="616" spans="8:8" ht="14.25" customHeight="1" x14ac:dyDescent="0.35">
      <c r="H616" s="14"/>
    </row>
    <row r="617" spans="8:8" ht="14.25" customHeight="1" x14ac:dyDescent="0.35">
      <c r="H617" s="14"/>
    </row>
    <row r="618" spans="8:8" ht="14.25" customHeight="1" x14ac:dyDescent="0.35">
      <c r="H618" s="14"/>
    </row>
    <row r="619" spans="8:8" ht="14.25" customHeight="1" x14ac:dyDescent="0.35">
      <c r="H619" s="14"/>
    </row>
    <row r="620" spans="8:8" ht="14.25" customHeight="1" x14ac:dyDescent="0.35">
      <c r="H620" s="14"/>
    </row>
    <row r="621" spans="8:8" ht="14.25" customHeight="1" x14ac:dyDescent="0.35">
      <c r="H621" s="14"/>
    </row>
    <row r="622" spans="8:8" ht="14.25" customHeight="1" x14ac:dyDescent="0.35">
      <c r="H622" s="14"/>
    </row>
    <row r="623" spans="8:8" ht="14.25" customHeight="1" x14ac:dyDescent="0.35">
      <c r="H623" s="14"/>
    </row>
    <row r="624" spans="8:8" ht="14.25" customHeight="1" x14ac:dyDescent="0.35">
      <c r="H624" s="14"/>
    </row>
    <row r="625" spans="8:8" ht="14.25" customHeight="1" x14ac:dyDescent="0.35">
      <c r="H625" s="14"/>
    </row>
    <row r="626" spans="8:8" ht="14.25" customHeight="1" x14ac:dyDescent="0.35">
      <c r="H626" s="14"/>
    </row>
    <row r="627" spans="8:8" ht="14.25" customHeight="1" x14ac:dyDescent="0.35">
      <c r="H627" s="14"/>
    </row>
    <row r="628" spans="8:8" ht="14.25" customHeight="1" x14ac:dyDescent="0.35">
      <c r="H628" s="14"/>
    </row>
    <row r="629" spans="8:8" ht="14.25" customHeight="1" x14ac:dyDescent="0.35">
      <c r="H629" s="14"/>
    </row>
    <row r="630" spans="8:8" ht="14.25" customHeight="1" x14ac:dyDescent="0.35">
      <c r="H630" s="14"/>
    </row>
    <row r="631" spans="8:8" ht="14.25" customHeight="1" x14ac:dyDescent="0.35">
      <c r="H631" s="14"/>
    </row>
    <row r="632" spans="8:8" ht="14.25" customHeight="1" x14ac:dyDescent="0.35">
      <c r="H632" s="14"/>
    </row>
    <row r="633" spans="8:8" ht="14.25" customHeight="1" x14ac:dyDescent="0.35">
      <c r="H633" s="14"/>
    </row>
    <row r="634" spans="8:8" ht="14.25" customHeight="1" x14ac:dyDescent="0.35">
      <c r="H634" s="14"/>
    </row>
    <row r="635" spans="8:8" ht="14.25" customHeight="1" x14ac:dyDescent="0.35">
      <c r="H635" s="14"/>
    </row>
    <row r="636" spans="8:8" ht="14.25" customHeight="1" x14ac:dyDescent="0.35">
      <c r="H636" s="14"/>
    </row>
    <row r="637" spans="8:8" ht="14.25" customHeight="1" x14ac:dyDescent="0.35">
      <c r="H637" s="14"/>
    </row>
    <row r="638" spans="8:8" ht="14.25" customHeight="1" x14ac:dyDescent="0.35">
      <c r="H638" s="14"/>
    </row>
    <row r="639" spans="8:8" ht="14.25" customHeight="1" x14ac:dyDescent="0.35">
      <c r="H639" s="14"/>
    </row>
    <row r="640" spans="8:8" ht="14.25" customHeight="1" x14ac:dyDescent="0.35">
      <c r="H640" s="14"/>
    </row>
    <row r="641" spans="8:8" ht="14.25" customHeight="1" x14ac:dyDescent="0.35">
      <c r="H641" s="14"/>
    </row>
    <row r="642" spans="8:8" ht="14.25" customHeight="1" x14ac:dyDescent="0.35">
      <c r="H642" s="14"/>
    </row>
    <row r="643" spans="8:8" ht="14.25" customHeight="1" x14ac:dyDescent="0.35">
      <c r="H643" s="14"/>
    </row>
    <row r="644" spans="8:8" ht="14.25" customHeight="1" x14ac:dyDescent="0.35">
      <c r="H644" s="14"/>
    </row>
    <row r="645" spans="8:8" ht="14.25" customHeight="1" x14ac:dyDescent="0.35">
      <c r="H645" s="14"/>
    </row>
    <row r="646" spans="8:8" ht="14.25" customHeight="1" x14ac:dyDescent="0.35">
      <c r="H646" s="14"/>
    </row>
    <row r="647" spans="8:8" ht="14.25" customHeight="1" x14ac:dyDescent="0.35">
      <c r="H647" s="14"/>
    </row>
    <row r="648" spans="8:8" ht="14.25" customHeight="1" x14ac:dyDescent="0.35">
      <c r="H648" s="14"/>
    </row>
    <row r="649" spans="8:8" ht="14.25" customHeight="1" x14ac:dyDescent="0.35">
      <c r="H649" s="14"/>
    </row>
    <row r="650" spans="8:8" ht="14.25" customHeight="1" x14ac:dyDescent="0.35">
      <c r="H650" s="14"/>
    </row>
    <row r="651" spans="8:8" ht="14.25" customHeight="1" x14ac:dyDescent="0.35">
      <c r="H651" s="14"/>
    </row>
    <row r="652" spans="8:8" ht="14.25" customHeight="1" x14ac:dyDescent="0.35">
      <c r="H652" s="14"/>
    </row>
    <row r="653" spans="8:8" ht="14.25" customHeight="1" x14ac:dyDescent="0.35">
      <c r="H653" s="14"/>
    </row>
    <row r="654" spans="8:8" ht="14.25" customHeight="1" x14ac:dyDescent="0.35">
      <c r="H654" s="14"/>
    </row>
    <row r="655" spans="8:8" ht="14.25" customHeight="1" x14ac:dyDescent="0.35">
      <c r="H655" s="14"/>
    </row>
    <row r="656" spans="8:8" ht="14.25" customHeight="1" x14ac:dyDescent="0.35">
      <c r="H656" s="14"/>
    </row>
    <row r="657" spans="8:8" ht="14.25" customHeight="1" x14ac:dyDescent="0.35">
      <c r="H657" s="14"/>
    </row>
    <row r="658" spans="8:8" ht="14.25" customHeight="1" x14ac:dyDescent="0.35">
      <c r="H658" s="14"/>
    </row>
    <row r="659" spans="8:8" ht="14.25" customHeight="1" x14ac:dyDescent="0.35">
      <c r="H659" s="14"/>
    </row>
    <row r="660" spans="8:8" ht="14.25" customHeight="1" x14ac:dyDescent="0.35">
      <c r="H660" s="14"/>
    </row>
    <row r="661" spans="8:8" ht="14.25" customHeight="1" x14ac:dyDescent="0.35">
      <c r="H661" s="14"/>
    </row>
    <row r="662" spans="8:8" ht="14.25" customHeight="1" x14ac:dyDescent="0.35">
      <c r="H662" s="14"/>
    </row>
    <row r="663" spans="8:8" ht="14.25" customHeight="1" x14ac:dyDescent="0.35">
      <c r="H663" s="14"/>
    </row>
    <row r="664" spans="8:8" ht="14.25" customHeight="1" x14ac:dyDescent="0.35">
      <c r="H664" s="14"/>
    </row>
    <row r="665" spans="8:8" ht="14.25" customHeight="1" x14ac:dyDescent="0.35">
      <c r="H665" s="14"/>
    </row>
    <row r="666" spans="8:8" ht="14.25" customHeight="1" x14ac:dyDescent="0.35">
      <c r="H666" s="14"/>
    </row>
    <row r="667" spans="8:8" ht="14.25" customHeight="1" x14ac:dyDescent="0.35">
      <c r="H667" s="14"/>
    </row>
    <row r="668" spans="8:8" ht="14.25" customHeight="1" x14ac:dyDescent="0.35">
      <c r="H668" s="14"/>
    </row>
    <row r="669" spans="8:8" ht="14.25" customHeight="1" x14ac:dyDescent="0.35">
      <c r="H669" s="14"/>
    </row>
    <row r="670" spans="8:8" ht="14.25" customHeight="1" x14ac:dyDescent="0.35">
      <c r="H670" s="14"/>
    </row>
    <row r="671" spans="8:8" ht="14.25" customHeight="1" x14ac:dyDescent="0.35">
      <c r="H671" s="14"/>
    </row>
    <row r="672" spans="8:8" ht="14.25" customHeight="1" x14ac:dyDescent="0.35">
      <c r="H672" s="14"/>
    </row>
    <row r="673" spans="8:8" ht="14.25" customHeight="1" x14ac:dyDescent="0.35">
      <c r="H673" s="14"/>
    </row>
    <row r="674" spans="8:8" ht="14.25" customHeight="1" x14ac:dyDescent="0.35">
      <c r="H674" s="14"/>
    </row>
    <row r="675" spans="8:8" ht="14.25" customHeight="1" x14ac:dyDescent="0.35">
      <c r="H675" s="14"/>
    </row>
    <row r="676" spans="8:8" ht="14.25" customHeight="1" x14ac:dyDescent="0.35">
      <c r="H676" s="14"/>
    </row>
    <row r="677" spans="8:8" ht="14.25" customHeight="1" x14ac:dyDescent="0.35">
      <c r="H677" s="14"/>
    </row>
    <row r="678" spans="8:8" ht="14.25" customHeight="1" x14ac:dyDescent="0.35">
      <c r="H678" s="14"/>
    </row>
    <row r="679" spans="8:8" ht="14.25" customHeight="1" x14ac:dyDescent="0.35">
      <c r="H679" s="14"/>
    </row>
    <row r="680" spans="8:8" ht="14.25" customHeight="1" x14ac:dyDescent="0.35">
      <c r="H680" s="14"/>
    </row>
    <row r="681" spans="8:8" ht="14.25" customHeight="1" x14ac:dyDescent="0.35">
      <c r="H681" s="14"/>
    </row>
    <row r="682" spans="8:8" ht="14.25" customHeight="1" x14ac:dyDescent="0.35">
      <c r="H682" s="14"/>
    </row>
    <row r="683" spans="8:8" ht="14.25" customHeight="1" x14ac:dyDescent="0.35">
      <c r="H683" s="14"/>
    </row>
    <row r="684" spans="8:8" ht="14.25" customHeight="1" x14ac:dyDescent="0.35">
      <c r="H684" s="14"/>
    </row>
    <row r="685" spans="8:8" ht="14.25" customHeight="1" x14ac:dyDescent="0.35">
      <c r="H685" s="14"/>
    </row>
    <row r="686" spans="8:8" ht="14.25" customHeight="1" x14ac:dyDescent="0.35">
      <c r="H686" s="14"/>
    </row>
    <row r="687" spans="8:8" ht="14.25" customHeight="1" x14ac:dyDescent="0.35">
      <c r="H687" s="14"/>
    </row>
    <row r="688" spans="8:8" ht="14.25" customHeight="1" x14ac:dyDescent="0.35">
      <c r="H688" s="14"/>
    </row>
    <row r="689" spans="8:8" ht="14.25" customHeight="1" x14ac:dyDescent="0.35">
      <c r="H689" s="14"/>
    </row>
    <row r="690" spans="8:8" ht="14.25" customHeight="1" x14ac:dyDescent="0.35">
      <c r="H690" s="14"/>
    </row>
    <row r="691" spans="8:8" ht="14.25" customHeight="1" x14ac:dyDescent="0.35">
      <c r="H691" s="14"/>
    </row>
    <row r="692" spans="8:8" ht="14.25" customHeight="1" x14ac:dyDescent="0.35">
      <c r="H692" s="14"/>
    </row>
    <row r="693" spans="8:8" ht="14.25" customHeight="1" x14ac:dyDescent="0.35">
      <c r="H693" s="14"/>
    </row>
    <row r="694" spans="8:8" ht="14.25" customHeight="1" x14ac:dyDescent="0.35">
      <c r="H694" s="14"/>
    </row>
    <row r="695" spans="8:8" ht="14.25" customHeight="1" x14ac:dyDescent="0.35">
      <c r="H695" s="14"/>
    </row>
    <row r="696" spans="8:8" ht="14.25" customHeight="1" x14ac:dyDescent="0.35">
      <c r="H696" s="14"/>
    </row>
    <row r="697" spans="8:8" ht="14.25" customHeight="1" x14ac:dyDescent="0.35">
      <c r="H697" s="14"/>
    </row>
    <row r="698" spans="8:8" ht="14.25" customHeight="1" x14ac:dyDescent="0.35">
      <c r="H698" s="14"/>
    </row>
    <row r="699" spans="8:8" ht="14.25" customHeight="1" x14ac:dyDescent="0.35">
      <c r="H699" s="14"/>
    </row>
    <row r="700" spans="8:8" ht="14.25" customHeight="1" x14ac:dyDescent="0.35">
      <c r="H700" s="14"/>
    </row>
    <row r="701" spans="8:8" ht="14.25" customHeight="1" x14ac:dyDescent="0.35">
      <c r="H701" s="14"/>
    </row>
    <row r="702" spans="8:8" ht="14.25" customHeight="1" x14ac:dyDescent="0.35">
      <c r="H702" s="14"/>
    </row>
    <row r="703" spans="8:8" ht="14.25" customHeight="1" x14ac:dyDescent="0.35">
      <c r="H703" s="14"/>
    </row>
    <row r="704" spans="8:8" ht="14.25" customHeight="1" x14ac:dyDescent="0.35">
      <c r="H704" s="14"/>
    </row>
    <row r="705" spans="8:8" ht="14.25" customHeight="1" x14ac:dyDescent="0.35">
      <c r="H705" s="14"/>
    </row>
    <row r="706" spans="8:8" ht="14.25" customHeight="1" x14ac:dyDescent="0.35">
      <c r="H706" s="14"/>
    </row>
    <row r="707" spans="8:8" ht="14.25" customHeight="1" x14ac:dyDescent="0.35">
      <c r="H707" s="14"/>
    </row>
    <row r="708" spans="8:8" ht="14.25" customHeight="1" x14ac:dyDescent="0.35">
      <c r="H708" s="14"/>
    </row>
    <row r="709" spans="8:8" ht="14.25" customHeight="1" x14ac:dyDescent="0.35">
      <c r="H709" s="14"/>
    </row>
    <row r="710" spans="8:8" ht="14.25" customHeight="1" x14ac:dyDescent="0.35">
      <c r="H710" s="14"/>
    </row>
    <row r="711" spans="8:8" ht="14.25" customHeight="1" x14ac:dyDescent="0.35">
      <c r="H711" s="14"/>
    </row>
    <row r="712" spans="8:8" ht="14.25" customHeight="1" x14ac:dyDescent="0.35">
      <c r="H712" s="14"/>
    </row>
    <row r="713" spans="8:8" ht="14.25" customHeight="1" x14ac:dyDescent="0.35">
      <c r="H713" s="14"/>
    </row>
    <row r="714" spans="8:8" ht="14.25" customHeight="1" x14ac:dyDescent="0.35">
      <c r="H714" s="14"/>
    </row>
    <row r="715" spans="8:8" ht="14.25" customHeight="1" x14ac:dyDescent="0.35">
      <c r="H715" s="14"/>
    </row>
    <row r="716" spans="8:8" ht="14.25" customHeight="1" x14ac:dyDescent="0.35">
      <c r="H716" s="14"/>
    </row>
    <row r="717" spans="8:8" ht="14.25" customHeight="1" x14ac:dyDescent="0.35">
      <c r="H717" s="14"/>
    </row>
    <row r="718" spans="8:8" ht="14.25" customHeight="1" x14ac:dyDescent="0.35">
      <c r="H718" s="14"/>
    </row>
    <row r="719" spans="8:8" ht="14.25" customHeight="1" x14ac:dyDescent="0.35">
      <c r="H719" s="14"/>
    </row>
    <row r="720" spans="8:8" ht="14.25" customHeight="1" x14ac:dyDescent="0.35">
      <c r="H720" s="14"/>
    </row>
    <row r="721" spans="8:8" ht="14.25" customHeight="1" x14ac:dyDescent="0.35">
      <c r="H721" s="14"/>
    </row>
    <row r="722" spans="8:8" ht="14.25" customHeight="1" x14ac:dyDescent="0.35">
      <c r="H722" s="14"/>
    </row>
    <row r="723" spans="8:8" ht="14.25" customHeight="1" x14ac:dyDescent="0.35">
      <c r="H723" s="14"/>
    </row>
    <row r="724" spans="8:8" ht="14.25" customHeight="1" x14ac:dyDescent="0.35">
      <c r="H724" s="14"/>
    </row>
    <row r="725" spans="8:8" ht="14.25" customHeight="1" x14ac:dyDescent="0.35">
      <c r="H725" s="14"/>
    </row>
    <row r="726" spans="8:8" ht="14.25" customHeight="1" x14ac:dyDescent="0.35">
      <c r="H726" s="14"/>
    </row>
    <row r="727" spans="8:8" ht="14.25" customHeight="1" x14ac:dyDescent="0.35">
      <c r="H727" s="14"/>
    </row>
    <row r="728" spans="8:8" ht="14.25" customHeight="1" x14ac:dyDescent="0.35">
      <c r="H728" s="14"/>
    </row>
    <row r="729" spans="8:8" ht="14.25" customHeight="1" x14ac:dyDescent="0.35">
      <c r="H729" s="14"/>
    </row>
    <row r="730" spans="8:8" ht="14.25" customHeight="1" x14ac:dyDescent="0.35">
      <c r="H730" s="14"/>
    </row>
    <row r="731" spans="8:8" ht="14.25" customHeight="1" x14ac:dyDescent="0.35">
      <c r="H731" s="14"/>
    </row>
    <row r="732" spans="8:8" ht="14.25" customHeight="1" x14ac:dyDescent="0.35">
      <c r="H732" s="14"/>
    </row>
    <row r="733" spans="8:8" ht="14.25" customHeight="1" x14ac:dyDescent="0.35">
      <c r="H733" s="14"/>
    </row>
    <row r="734" spans="8:8" ht="14.25" customHeight="1" x14ac:dyDescent="0.35">
      <c r="H734" s="14"/>
    </row>
    <row r="735" spans="8:8" ht="14.25" customHeight="1" x14ac:dyDescent="0.35">
      <c r="H735" s="14"/>
    </row>
    <row r="736" spans="8:8" ht="14.25" customHeight="1" x14ac:dyDescent="0.35">
      <c r="H736" s="14"/>
    </row>
    <row r="737" spans="8:8" ht="14.25" customHeight="1" x14ac:dyDescent="0.35">
      <c r="H737" s="14"/>
    </row>
    <row r="738" spans="8:8" ht="14.25" customHeight="1" x14ac:dyDescent="0.35">
      <c r="H738" s="14"/>
    </row>
    <row r="739" spans="8:8" ht="14.25" customHeight="1" x14ac:dyDescent="0.35">
      <c r="H739" s="14"/>
    </row>
    <row r="740" spans="8:8" ht="14.25" customHeight="1" x14ac:dyDescent="0.35">
      <c r="H740" s="14"/>
    </row>
    <row r="741" spans="8:8" ht="14.25" customHeight="1" x14ac:dyDescent="0.35">
      <c r="H741" s="14"/>
    </row>
    <row r="742" spans="8:8" ht="14.25" customHeight="1" x14ac:dyDescent="0.35">
      <c r="H742" s="14"/>
    </row>
    <row r="743" spans="8:8" ht="14.25" customHeight="1" x14ac:dyDescent="0.35">
      <c r="H743" s="14"/>
    </row>
    <row r="744" spans="8:8" ht="14.25" customHeight="1" x14ac:dyDescent="0.35">
      <c r="H744" s="14"/>
    </row>
    <row r="745" spans="8:8" ht="14.25" customHeight="1" x14ac:dyDescent="0.35">
      <c r="H745" s="14"/>
    </row>
    <row r="746" spans="8:8" ht="14.25" customHeight="1" x14ac:dyDescent="0.35">
      <c r="H746" s="14"/>
    </row>
    <row r="747" spans="8:8" ht="14.25" customHeight="1" x14ac:dyDescent="0.35">
      <c r="H747" s="14"/>
    </row>
    <row r="748" spans="8:8" ht="14.25" customHeight="1" x14ac:dyDescent="0.35">
      <c r="H748" s="14"/>
    </row>
    <row r="749" spans="8:8" ht="14.25" customHeight="1" x14ac:dyDescent="0.35">
      <c r="H749" s="14"/>
    </row>
    <row r="750" spans="8:8" ht="14.25" customHeight="1" x14ac:dyDescent="0.35">
      <c r="H750" s="14"/>
    </row>
    <row r="751" spans="8:8" ht="14.25" customHeight="1" x14ac:dyDescent="0.35">
      <c r="H751" s="14"/>
    </row>
    <row r="752" spans="8:8" ht="14.25" customHeight="1" x14ac:dyDescent="0.35">
      <c r="H752" s="14"/>
    </row>
    <row r="753" spans="8:8" ht="14.25" customHeight="1" x14ac:dyDescent="0.35">
      <c r="H753" s="14"/>
    </row>
    <row r="754" spans="8:8" ht="14.25" customHeight="1" x14ac:dyDescent="0.35">
      <c r="H754" s="14"/>
    </row>
    <row r="755" spans="8:8" ht="14.25" customHeight="1" x14ac:dyDescent="0.35">
      <c r="H755" s="14"/>
    </row>
    <row r="756" spans="8:8" ht="14.25" customHeight="1" x14ac:dyDescent="0.35">
      <c r="H756" s="14"/>
    </row>
    <row r="757" spans="8:8" ht="14.25" customHeight="1" x14ac:dyDescent="0.35">
      <c r="H757" s="14"/>
    </row>
    <row r="758" spans="8:8" ht="14.25" customHeight="1" x14ac:dyDescent="0.35">
      <c r="H758" s="14"/>
    </row>
    <row r="759" spans="8:8" ht="14.25" customHeight="1" x14ac:dyDescent="0.35">
      <c r="H759" s="14"/>
    </row>
    <row r="760" spans="8:8" ht="14.25" customHeight="1" x14ac:dyDescent="0.35">
      <c r="H760" s="14"/>
    </row>
    <row r="761" spans="8:8" ht="14.25" customHeight="1" x14ac:dyDescent="0.35">
      <c r="H761" s="14"/>
    </row>
    <row r="762" spans="8:8" ht="14.25" customHeight="1" x14ac:dyDescent="0.35">
      <c r="H762" s="14"/>
    </row>
    <row r="763" spans="8:8" ht="14.25" customHeight="1" x14ac:dyDescent="0.35">
      <c r="H763" s="14"/>
    </row>
    <row r="764" spans="8:8" ht="14.25" customHeight="1" x14ac:dyDescent="0.35">
      <c r="H764" s="14"/>
    </row>
    <row r="765" spans="8:8" ht="14.25" customHeight="1" x14ac:dyDescent="0.35">
      <c r="H765" s="14"/>
    </row>
    <row r="766" spans="8:8" ht="14.25" customHeight="1" x14ac:dyDescent="0.35">
      <c r="H766" s="14"/>
    </row>
    <row r="767" spans="8:8" ht="14.25" customHeight="1" x14ac:dyDescent="0.35">
      <c r="H767" s="14"/>
    </row>
    <row r="768" spans="8:8" ht="14.25" customHeight="1" x14ac:dyDescent="0.35">
      <c r="H768" s="14"/>
    </row>
    <row r="769" spans="8:8" ht="14.25" customHeight="1" x14ac:dyDescent="0.35">
      <c r="H769" s="14"/>
    </row>
    <row r="770" spans="8:8" ht="14.25" customHeight="1" x14ac:dyDescent="0.35">
      <c r="H770" s="14"/>
    </row>
    <row r="771" spans="8:8" ht="14.25" customHeight="1" x14ac:dyDescent="0.35">
      <c r="H771" s="14"/>
    </row>
    <row r="772" spans="8:8" ht="14.25" customHeight="1" x14ac:dyDescent="0.35">
      <c r="H772" s="14"/>
    </row>
    <row r="773" spans="8:8" ht="14.25" customHeight="1" x14ac:dyDescent="0.35">
      <c r="H773" s="14"/>
    </row>
    <row r="774" spans="8:8" ht="14.25" customHeight="1" x14ac:dyDescent="0.35">
      <c r="H774" s="14"/>
    </row>
    <row r="775" spans="8:8" ht="14.25" customHeight="1" x14ac:dyDescent="0.35">
      <c r="H775" s="14"/>
    </row>
    <row r="776" spans="8:8" ht="14.25" customHeight="1" x14ac:dyDescent="0.35">
      <c r="H776" s="14"/>
    </row>
    <row r="777" spans="8:8" ht="14.25" customHeight="1" x14ac:dyDescent="0.35">
      <c r="H777" s="14"/>
    </row>
    <row r="778" spans="8:8" ht="14.25" customHeight="1" x14ac:dyDescent="0.35">
      <c r="H778" s="14"/>
    </row>
    <row r="779" spans="8:8" ht="14.25" customHeight="1" x14ac:dyDescent="0.35">
      <c r="H779" s="14"/>
    </row>
    <row r="780" spans="8:8" ht="14.25" customHeight="1" x14ac:dyDescent="0.35">
      <c r="H780" s="14"/>
    </row>
    <row r="781" spans="8:8" ht="14.25" customHeight="1" x14ac:dyDescent="0.35">
      <c r="H781" s="14"/>
    </row>
    <row r="782" spans="8:8" ht="14.25" customHeight="1" x14ac:dyDescent="0.35">
      <c r="H782" s="14"/>
    </row>
    <row r="783" spans="8:8" ht="14.25" customHeight="1" x14ac:dyDescent="0.35">
      <c r="H783" s="14"/>
    </row>
    <row r="784" spans="8:8" ht="14.25" customHeight="1" x14ac:dyDescent="0.35">
      <c r="H784" s="14"/>
    </row>
    <row r="785" spans="8:8" ht="14.25" customHeight="1" x14ac:dyDescent="0.35">
      <c r="H785" s="14"/>
    </row>
    <row r="786" spans="8:8" ht="14.25" customHeight="1" x14ac:dyDescent="0.35">
      <c r="H786" s="14"/>
    </row>
    <row r="787" spans="8:8" ht="14.25" customHeight="1" x14ac:dyDescent="0.35">
      <c r="H787" s="14"/>
    </row>
    <row r="788" spans="8:8" ht="14.25" customHeight="1" x14ac:dyDescent="0.35">
      <c r="H788" s="14"/>
    </row>
    <row r="789" spans="8:8" ht="14.25" customHeight="1" x14ac:dyDescent="0.35">
      <c r="H789" s="14"/>
    </row>
    <row r="790" spans="8:8" ht="14.25" customHeight="1" x14ac:dyDescent="0.35">
      <c r="H790" s="14"/>
    </row>
    <row r="791" spans="8:8" ht="14.25" customHeight="1" x14ac:dyDescent="0.35">
      <c r="H791" s="14"/>
    </row>
    <row r="792" spans="8:8" ht="14.25" customHeight="1" x14ac:dyDescent="0.35">
      <c r="H792" s="14"/>
    </row>
    <row r="793" spans="8:8" ht="14.25" customHeight="1" x14ac:dyDescent="0.35">
      <c r="H793" s="14"/>
    </row>
    <row r="794" spans="8:8" ht="14.25" customHeight="1" x14ac:dyDescent="0.35">
      <c r="H794" s="14"/>
    </row>
    <row r="795" spans="8:8" ht="14.25" customHeight="1" x14ac:dyDescent="0.35">
      <c r="H795" s="14"/>
    </row>
    <row r="796" spans="8:8" ht="14.25" customHeight="1" x14ac:dyDescent="0.35">
      <c r="H796" s="14"/>
    </row>
    <row r="797" spans="8:8" ht="14.25" customHeight="1" x14ac:dyDescent="0.35">
      <c r="H797" s="14"/>
    </row>
    <row r="798" spans="8:8" ht="14.25" customHeight="1" x14ac:dyDescent="0.35">
      <c r="H798" s="14"/>
    </row>
    <row r="799" spans="8:8" ht="14.25" customHeight="1" x14ac:dyDescent="0.35">
      <c r="H799" s="14"/>
    </row>
    <row r="800" spans="8:8" ht="14.25" customHeight="1" x14ac:dyDescent="0.35">
      <c r="H800" s="14"/>
    </row>
    <row r="801" spans="8:8" ht="14.25" customHeight="1" x14ac:dyDescent="0.35">
      <c r="H801" s="14"/>
    </row>
    <row r="802" spans="8:8" ht="14.25" customHeight="1" x14ac:dyDescent="0.35">
      <c r="H802" s="14"/>
    </row>
    <row r="803" spans="8:8" ht="14.25" customHeight="1" x14ac:dyDescent="0.35">
      <c r="H803" s="14"/>
    </row>
    <row r="804" spans="8:8" ht="14.25" customHeight="1" x14ac:dyDescent="0.35">
      <c r="H804" s="14"/>
    </row>
    <row r="805" spans="8:8" ht="14.25" customHeight="1" x14ac:dyDescent="0.35">
      <c r="H805" s="14"/>
    </row>
    <row r="806" spans="8:8" ht="14.25" customHeight="1" x14ac:dyDescent="0.35">
      <c r="H806" s="14"/>
    </row>
    <row r="807" spans="8:8" ht="14.25" customHeight="1" x14ac:dyDescent="0.35">
      <c r="H807" s="14"/>
    </row>
    <row r="808" spans="8:8" ht="14.25" customHeight="1" x14ac:dyDescent="0.35">
      <c r="H808" s="14"/>
    </row>
    <row r="809" spans="8:8" ht="14.25" customHeight="1" x14ac:dyDescent="0.35">
      <c r="H809" s="14"/>
    </row>
    <row r="810" spans="8:8" ht="14.25" customHeight="1" x14ac:dyDescent="0.35">
      <c r="H810" s="14"/>
    </row>
    <row r="811" spans="8:8" ht="14.25" customHeight="1" x14ac:dyDescent="0.35">
      <c r="H811" s="14"/>
    </row>
    <row r="812" spans="8:8" ht="14.25" customHeight="1" x14ac:dyDescent="0.35">
      <c r="H812" s="14"/>
    </row>
    <row r="813" spans="8:8" ht="14.25" customHeight="1" x14ac:dyDescent="0.35">
      <c r="H813" s="14"/>
    </row>
    <row r="814" spans="8:8" ht="14.25" customHeight="1" x14ac:dyDescent="0.35">
      <c r="H814" s="14"/>
    </row>
    <row r="815" spans="8:8" ht="14.25" customHeight="1" x14ac:dyDescent="0.35">
      <c r="H815" s="14"/>
    </row>
    <row r="816" spans="8:8" ht="14.25" customHeight="1" x14ac:dyDescent="0.35">
      <c r="H816" s="14"/>
    </row>
    <row r="817" spans="8:8" ht="14.25" customHeight="1" x14ac:dyDescent="0.35">
      <c r="H817" s="14"/>
    </row>
    <row r="818" spans="8:8" ht="14.25" customHeight="1" x14ac:dyDescent="0.35">
      <c r="H818" s="14"/>
    </row>
    <row r="819" spans="8:8" ht="14.25" customHeight="1" x14ac:dyDescent="0.35">
      <c r="H819" s="14"/>
    </row>
    <row r="820" spans="8:8" ht="14.25" customHeight="1" x14ac:dyDescent="0.35">
      <c r="H820" s="14"/>
    </row>
    <row r="821" spans="8:8" ht="14.25" customHeight="1" x14ac:dyDescent="0.35">
      <c r="H821" s="14"/>
    </row>
    <row r="822" spans="8:8" ht="14.25" customHeight="1" x14ac:dyDescent="0.35">
      <c r="H822" s="14"/>
    </row>
    <row r="823" spans="8:8" ht="14.25" customHeight="1" x14ac:dyDescent="0.35">
      <c r="H823" s="14"/>
    </row>
    <row r="824" spans="8:8" ht="14.25" customHeight="1" x14ac:dyDescent="0.35">
      <c r="H824" s="14"/>
    </row>
    <row r="825" spans="8:8" ht="14.25" customHeight="1" x14ac:dyDescent="0.35">
      <c r="H825" s="14"/>
    </row>
    <row r="826" spans="8:8" ht="14.25" customHeight="1" x14ac:dyDescent="0.35">
      <c r="H826" s="14"/>
    </row>
    <row r="827" spans="8:8" ht="14.25" customHeight="1" x14ac:dyDescent="0.35">
      <c r="H827" s="14"/>
    </row>
    <row r="828" spans="8:8" ht="14.25" customHeight="1" x14ac:dyDescent="0.35">
      <c r="H828" s="14"/>
    </row>
    <row r="829" spans="8:8" ht="14.25" customHeight="1" x14ac:dyDescent="0.35">
      <c r="H829" s="14"/>
    </row>
    <row r="830" spans="8:8" ht="14.25" customHeight="1" x14ac:dyDescent="0.35">
      <c r="H830" s="14"/>
    </row>
    <row r="831" spans="8:8" ht="14.25" customHeight="1" x14ac:dyDescent="0.35">
      <c r="H831" s="14"/>
    </row>
    <row r="832" spans="8:8" ht="14.25" customHeight="1" x14ac:dyDescent="0.35">
      <c r="H832" s="14"/>
    </row>
    <row r="833" spans="8:8" ht="14.25" customHeight="1" x14ac:dyDescent="0.35">
      <c r="H833" s="14"/>
    </row>
    <row r="834" spans="8:8" ht="14.25" customHeight="1" x14ac:dyDescent="0.35">
      <c r="H834" s="14"/>
    </row>
    <row r="835" spans="8:8" ht="14.25" customHeight="1" x14ac:dyDescent="0.35">
      <c r="H835" s="14"/>
    </row>
    <row r="836" spans="8:8" ht="14.25" customHeight="1" x14ac:dyDescent="0.35">
      <c r="H836" s="14"/>
    </row>
    <row r="837" spans="8:8" ht="14.25" customHeight="1" x14ac:dyDescent="0.35">
      <c r="H837" s="14"/>
    </row>
    <row r="838" spans="8:8" ht="14.25" customHeight="1" x14ac:dyDescent="0.35">
      <c r="H838" s="14"/>
    </row>
    <row r="839" spans="8:8" ht="14.25" customHeight="1" x14ac:dyDescent="0.35">
      <c r="H839" s="14"/>
    </row>
    <row r="840" spans="8:8" ht="14.25" customHeight="1" x14ac:dyDescent="0.35">
      <c r="H840" s="14"/>
    </row>
    <row r="841" spans="8:8" ht="14.25" customHeight="1" x14ac:dyDescent="0.35">
      <c r="H841" s="14"/>
    </row>
    <row r="842" spans="8:8" ht="14.25" customHeight="1" x14ac:dyDescent="0.35">
      <c r="H842" s="14"/>
    </row>
    <row r="843" spans="8:8" ht="14.25" customHeight="1" x14ac:dyDescent="0.35">
      <c r="H843" s="14"/>
    </row>
    <row r="844" spans="8:8" ht="14.25" customHeight="1" x14ac:dyDescent="0.35">
      <c r="H844" s="14"/>
    </row>
    <row r="845" spans="8:8" ht="14.25" customHeight="1" x14ac:dyDescent="0.35">
      <c r="H845" s="14"/>
    </row>
    <row r="846" spans="8:8" ht="14.25" customHeight="1" x14ac:dyDescent="0.35">
      <c r="H846" s="14"/>
    </row>
    <row r="847" spans="8:8" ht="14.25" customHeight="1" x14ac:dyDescent="0.35">
      <c r="H847" s="14"/>
    </row>
    <row r="848" spans="8:8" ht="14.25" customHeight="1" x14ac:dyDescent="0.35">
      <c r="H848" s="14"/>
    </row>
    <row r="849" spans="8:8" ht="14.25" customHeight="1" x14ac:dyDescent="0.35">
      <c r="H849" s="14"/>
    </row>
    <row r="850" spans="8:8" ht="14.25" customHeight="1" x14ac:dyDescent="0.35">
      <c r="H850" s="14"/>
    </row>
    <row r="851" spans="8:8" ht="14.25" customHeight="1" x14ac:dyDescent="0.35">
      <c r="H851" s="14"/>
    </row>
    <row r="852" spans="8:8" ht="14.25" customHeight="1" x14ac:dyDescent="0.35">
      <c r="H852" s="14"/>
    </row>
    <row r="853" spans="8:8" ht="14.25" customHeight="1" x14ac:dyDescent="0.35">
      <c r="H853" s="14"/>
    </row>
    <row r="854" spans="8:8" ht="14.25" customHeight="1" x14ac:dyDescent="0.35">
      <c r="H854" s="14"/>
    </row>
    <row r="855" spans="8:8" ht="14.25" customHeight="1" x14ac:dyDescent="0.35">
      <c r="H855" s="14"/>
    </row>
    <row r="856" spans="8:8" ht="14.25" customHeight="1" x14ac:dyDescent="0.35">
      <c r="H856" s="14"/>
    </row>
    <row r="857" spans="8:8" ht="14.25" customHeight="1" x14ac:dyDescent="0.35">
      <c r="H857" s="14"/>
    </row>
    <row r="858" spans="8:8" ht="14.25" customHeight="1" x14ac:dyDescent="0.35">
      <c r="H858" s="14"/>
    </row>
    <row r="859" spans="8:8" ht="14.25" customHeight="1" x14ac:dyDescent="0.35">
      <c r="H859" s="14"/>
    </row>
    <row r="860" spans="8:8" ht="14.25" customHeight="1" x14ac:dyDescent="0.35">
      <c r="H860" s="14"/>
    </row>
    <row r="861" spans="8:8" ht="14.25" customHeight="1" x14ac:dyDescent="0.35">
      <c r="H861" s="14"/>
    </row>
    <row r="862" spans="8:8" ht="14.25" customHeight="1" x14ac:dyDescent="0.35">
      <c r="H862" s="14"/>
    </row>
    <row r="863" spans="8:8" ht="14.25" customHeight="1" x14ac:dyDescent="0.35">
      <c r="H863" s="14"/>
    </row>
    <row r="864" spans="8:8" ht="14.25" customHeight="1" x14ac:dyDescent="0.35">
      <c r="H864" s="14"/>
    </row>
    <row r="865" spans="8:8" ht="14.25" customHeight="1" x14ac:dyDescent="0.35">
      <c r="H865" s="14"/>
    </row>
    <row r="866" spans="8:8" ht="14.25" customHeight="1" x14ac:dyDescent="0.35">
      <c r="H866" s="14"/>
    </row>
    <row r="867" spans="8:8" ht="14.25" customHeight="1" x14ac:dyDescent="0.35">
      <c r="H867" s="14"/>
    </row>
    <row r="868" spans="8:8" ht="14.25" customHeight="1" x14ac:dyDescent="0.35">
      <c r="H868" s="14"/>
    </row>
    <row r="869" spans="8:8" ht="14.25" customHeight="1" x14ac:dyDescent="0.35">
      <c r="H869" s="14"/>
    </row>
    <row r="870" spans="8:8" ht="14.25" customHeight="1" x14ac:dyDescent="0.35">
      <c r="H870" s="14"/>
    </row>
    <row r="871" spans="8:8" ht="14.25" customHeight="1" x14ac:dyDescent="0.35">
      <c r="H871" s="14"/>
    </row>
    <row r="872" spans="8:8" ht="14.25" customHeight="1" x14ac:dyDescent="0.35">
      <c r="H872" s="14"/>
    </row>
    <row r="873" spans="8:8" ht="14.25" customHeight="1" x14ac:dyDescent="0.35">
      <c r="H873" s="14"/>
    </row>
    <row r="874" spans="8:8" ht="14.25" customHeight="1" x14ac:dyDescent="0.35">
      <c r="H874" s="14"/>
    </row>
    <row r="875" spans="8:8" ht="14.25" customHeight="1" x14ac:dyDescent="0.35">
      <c r="H875" s="14"/>
    </row>
    <row r="876" spans="8:8" ht="14.25" customHeight="1" x14ac:dyDescent="0.35">
      <c r="H876" s="14"/>
    </row>
    <row r="877" spans="8:8" ht="14.25" customHeight="1" x14ac:dyDescent="0.35">
      <c r="H877" s="14"/>
    </row>
    <row r="878" spans="8:8" ht="14.25" customHeight="1" x14ac:dyDescent="0.35">
      <c r="H878" s="14"/>
    </row>
    <row r="879" spans="8:8" ht="14.25" customHeight="1" x14ac:dyDescent="0.35">
      <c r="H879" s="14"/>
    </row>
    <row r="880" spans="8:8" ht="14.25" customHeight="1" x14ac:dyDescent="0.35">
      <c r="H880" s="14"/>
    </row>
    <row r="881" spans="8:8" ht="14.25" customHeight="1" x14ac:dyDescent="0.35">
      <c r="H881" s="14"/>
    </row>
    <row r="882" spans="8:8" ht="14.25" customHeight="1" x14ac:dyDescent="0.35">
      <c r="H882" s="14"/>
    </row>
    <row r="883" spans="8:8" ht="14.25" customHeight="1" x14ac:dyDescent="0.35">
      <c r="H883" s="14"/>
    </row>
    <row r="884" spans="8:8" ht="14.25" customHeight="1" x14ac:dyDescent="0.35">
      <c r="H884" s="14"/>
    </row>
    <row r="885" spans="8:8" ht="14.25" customHeight="1" x14ac:dyDescent="0.35">
      <c r="H885" s="14"/>
    </row>
    <row r="886" spans="8:8" ht="14.25" customHeight="1" x14ac:dyDescent="0.35">
      <c r="H886" s="14"/>
    </row>
    <row r="887" spans="8:8" ht="14.25" customHeight="1" x14ac:dyDescent="0.35">
      <c r="H887" s="14"/>
    </row>
    <row r="888" spans="8:8" ht="14.25" customHeight="1" x14ac:dyDescent="0.35">
      <c r="H888" s="14"/>
    </row>
    <row r="889" spans="8:8" ht="14.25" customHeight="1" x14ac:dyDescent="0.35">
      <c r="H889" s="14"/>
    </row>
    <row r="890" spans="8:8" ht="14.25" customHeight="1" x14ac:dyDescent="0.35">
      <c r="H890" s="14"/>
    </row>
    <row r="891" spans="8:8" ht="14.25" customHeight="1" x14ac:dyDescent="0.35">
      <c r="H891" s="14"/>
    </row>
    <row r="892" spans="8:8" ht="14.25" customHeight="1" x14ac:dyDescent="0.35">
      <c r="H892" s="14"/>
    </row>
    <row r="893" spans="8:8" ht="14.25" customHeight="1" x14ac:dyDescent="0.35">
      <c r="H893" s="14"/>
    </row>
    <row r="894" spans="8:8" ht="14.25" customHeight="1" x14ac:dyDescent="0.35">
      <c r="H894" s="14"/>
    </row>
    <row r="895" spans="8:8" ht="14.25" customHeight="1" x14ac:dyDescent="0.35">
      <c r="H895" s="14"/>
    </row>
    <row r="896" spans="8:8" ht="14.25" customHeight="1" x14ac:dyDescent="0.35">
      <c r="H896" s="14"/>
    </row>
    <row r="897" spans="8:8" ht="14.25" customHeight="1" x14ac:dyDescent="0.35">
      <c r="H897" s="14"/>
    </row>
    <row r="898" spans="8:8" ht="14.25" customHeight="1" x14ac:dyDescent="0.35">
      <c r="H898" s="14"/>
    </row>
    <row r="899" spans="8:8" ht="14.25" customHeight="1" x14ac:dyDescent="0.35">
      <c r="H899" s="14"/>
    </row>
    <row r="900" spans="8:8" ht="14.25" customHeight="1" x14ac:dyDescent="0.35">
      <c r="H900" s="14"/>
    </row>
    <row r="901" spans="8:8" ht="14.25" customHeight="1" x14ac:dyDescent="0.35">
      <c r="H901" s="14"/>
    </row>
    <row r="902" spans="8:8" ht="14.25" customHeight="1" x14ac:dyDescent="0.35">
      <c r="H902" s="14"/>
    </row>
    <row r="903" spans="8:8" ht="14.25" customHeight="1" x14ac:dyDescent="0.35">
      <c r="H903" s="14"/>
    </row>
    <row r="904" spans="8:8" ht="14.25" customHeight="1" x14ac:dyDescent="0.35">
      <c r="H904" s="14"/>
    </row>
    <row r="905" spans="8:8" ht="14.25" customHeight="1" x14ac:dyDescent="0.35">
      <c r="H905" s="14"/>
    </row>
    <row r="906" spans="8:8" ht="14.25" customHeight="1" x14ac:dyDescent="0.35">
      <c r="H906" s="14"/>
    </row>
    <row r="907" spans="8:8" ht="14.25" customHeight="1" x14ac:dyDescent="0.35">
      <c r="H907" s="14"/>
    </row>
    <row r="908" spans="8:8" ht="14.25" customHeight="1" x14ac:dyDescent="0.35">
      <c r="H908" s="14"/>
    </row>
    <row r="909" spans="8:8" ht="14.25" customHeight="1" x14ac:dyDescent="0.35">
      <c r="H909" s="14"/>
    </row>
    <row r="910" spans="8:8" ht="14.25" customHeight="1" x14ac:dyDescent="0.35">
      <c r="H910" s="14"/>
    </row>
    <row r="911" spans="8:8" ht="14.25" customHeight="1" x14ac:dyDescent="0.35">
      <c r="H911" s="14"/>
    </row>
    <row r="912" spans="8:8" ht="14.25" customHeight="1" x14ac:dyDescent="0.35">
      <c r="H912" s="14"/>
    </row>
    <row r="913" spans="8:8" ht="14.25" customHeight="1" x14ac:dyDescent="0.35">
      <c r="H913" s="14"/>
    </row>
    <row r="914" spans="8:8" ht="14.25" customHeight="1" x14ac:dyDescent="0.35">
      <c r="H914" s="14"/>
    </row>
    <row r="915" spans="8:8" ht="14.25" customHeight="1" x14ac:dyDescent="0.35">
      <c r="H915" s="14"/>
    </row>
    <row r="916" spans="8:8" ht="14.25" customHeight="1" x14ac:dyDescent="0.35">
      <c r="H916" s="14"/>
    </row>
    <row r="917" spans="8:8" ht="14.25" customHeight="1" x14ac:dyDescent="0.35">
      <c r="H917" s="14"/>
    </row>
    <row r="918" spans="8:8" ht="14.25" customHeight="1" x14ac:dyDescent="0.35">
      <c r="H918" s="14"/>
    </row>
    <row r="919" spans="8:8" ht="14.25" customHeight="1" x14ac:dyDescent="0.35">
      <c r="H919" s="14"/>
    </row>
    <row r="920" spans="8:8" ht="14.25" customHeight="1" x14ac:dyDescent="0.35">
      <c r="H920" s="14"/>
    </row>
    <row r="921" spans="8:8" ht="14.25" customHeight="1" x14ac:dyDescent="0.35">
      <c r="H921" s="14"/>
    </row>
    <row r="922" spans="8:8" ht="14.25" customHeight="1" x14ac:dyDescent="0.35">
      <c r="H922" s="14"/>
    </row>
    <row r="923" spans="8:8" ht="14.25" customHeight="1" x14ac:dyDescent="0.35">
      <c r="H923" s="14"/>
    </row>
    <row r="924" spans="8:8" ht="14.25" customHeight="1" x14ac:dyDescent="0.35">
      <c r="H924" s="14"/>
    </row>
    <row r="925" spans="8:8" ht="14.25" customHeight="1" x14ac:dyDescent="0.35">
      <c r="H925" s="14"/>
    </row>
    <row r="926" spans="8:8" ht="14.25" customHeight="1" x14ac:dyDescent="0.35">
      <c r="H926" s="14"/>
    </row>
    <row r="927" spans="8:8" ht="14.25" customHeight="1" x14ac:dyDescent="0.35">
      <c r="H927" s="14"/>
    </row>
    <row r="928" spans="8:8" ht="14.25" customHeight="1" x14ac:dyDescent="0.35">
      <c r="H928" s="14"/>
    </row>
    <row r="929" spans="8:8" ht="14.25" customHeight="1" x14ac:dyDescent="0.35">
      <c r="H929" s="14"/>
    </row>
    <row r="930" spans="8:8" ht="14.25" customHeight="1" x14ac:dyDescent="0.35">
      <c r="H930" s="14"/>
    </row>
    <row r="931" spans="8:8" ht="14.25" customHeight="1" x14ac:dyDescent="0.35">
      <c r="H931" s="14"/>
    </row>
    <row r="932" spans="8:8" ht="14.25" customHeight="1" x14ac:dyDescent="0.35">
      <c r="H932" s="14"/>
    </row>
    <row r="933" spans="8:8" ht="14.25" customHeight="1" x14ac:dyDescent="0.35">
      <c r="H933" s="14"/>
    </row>
    <row r="934" spans="8:8" ht="14.25" customHeight="1" x14ac:dyDescent="0.35">
      <c r="H934" s="14"/>
    </row>
    <row r="935" spans="8:8" ht="14.25" customHeight="1" x14ac:dyDescent="0.35">
      <c r="H935" s="14"/>
    </row>
    <row r="936" spans="8:8" ht="14.25" customHeight="1" x14ac:dyDescent="0.35">
      <c r="H936" s="14"/>
    </row>
    <row r="937" spans="8:8" ht="14.25" customHeight="1" x14ac:dyDescent="0.35">
      <c r="H937" s="14"/>
    </row>
    <row r="938" spans="8:8" ht="14.25" customHeight="1" x14ac:dyDescent="0.35">
      <c r="H938" s="14"/>
    </row>
    <row r="939" spans="8:8" ht="14.25" customHeight="1" x14ac:dyDescent="0.35">
      <c r="H939" s="14"/>
    </row>
    <row r="940" spans="8:8" ht="14.25" customHeight="1" x14ac:dyDescent="0.35">
      <c r="H940" s="14"/>
    </row>
    <row r="941" spans="8:8" ht="14.25" customHeight="1" x14ac:dyDescent="0.35">
      <c r="H941" s="14"/>
    </row>
    <row r="942" spans="8:8" ht="14.25" customHeight="1" x14ac:dyDescent="0.35">
      <c r="H942" s="14"/>
    </row>
    <row r="943" spans="8:8" ht="14.25" customHeight="1" x14ac:dyDescent="0.35">
      <c r="H943" s="14"/>
    </row>
    <row r="944" spans="8:8" ht="14.25" customHeight="1" x14ac:dyDescent="0.35">
      <c r="H944" s="14"/>
    </row>
    <row r="945" spans="8:8" ht="14.25" customHeight="1" x14ac:dyDescent="0.35">
      <c r="H945" s="14"/>
    </row>
    <row r="946" spans="8:8" ht="14.25" customHeight="1" x14ac:dyDescent="0.35">
      <c r="H946" s="14"/>
    </row>
    <row r="947" spans="8:8" ht="14.25" customHeight="1" x14ac:dyDescent="0.35">
      <c r="H947" s="14"/>
    </row>
    <row r="948" spans="8:8" ht="14.25" customHeight="1" x14ac:dyDescent="0.35">
      <c r="H948" s="14"/>
    </row>
    <row r="949" spans="8:8" ht="14.25" customHeight="1" x14ac:dyDescent="0.35">
      <c r="H949" s="14"/>
    </row>
    <row r="950" spans="8:8" ht="14.25" customHeight="1" x14ac:dyDescent="0.35">
      <c r="H950" s="14"/>
    </row>
    <row r="951" spans="8:8" ht="14.25" customHeight="1" x14ac:dyDescent="0.35">
      <c r="H951" s="14"/>
    </row>
    <row r="952" spans="8:8" ht="14.25" customHeight="1" x14ac:dyDescent="0.35">
      <c r="H952" s="14"/>
    </row>
    <row r="953" spans="8:8" ht="14.25" customHeight="1" x14ac:dyDescent="0.35">
      <c r="H953" s="14"/>
    </row>
    <row r="954" spans="8:8" ht="14.25" customHeight="1" x14ac:dyDescent="0.35">
      <c r="H954" s="14"/>
    </row>
    <row r="955" spans="8:8" ht="14.25" customHeight="1" x14ac:dyDescent="0.35">
      <c r="H955" s="14"/>
    </row>
    <row r="956" spans="8:8" ht="14.25" customHeight="1" x14ac:dyDescent="0.35">
      <c r="H956" s="14"/>
    </row>
    <row r="957" spans="8:8" ht="14.25" customHeight="1" x14ac:dyDescent="0.35">
      <c r="H957" s="14"/>
    </row>
    <row r="958" spans="8:8" ht="14.25" customHeight="1" x14ac:dyDescent="0.35">
      <c r="H958" s="14"/>
    </row>
    <row r="959" spans="8:8" ht="14.25" customHeight="1" x14ac:dyDescent="0.35">
      <c r="H959" s="14"/>
    </row>
    <row r="960" spans="8:8" ht="14.25" customHeight="1" x14ac:dyDescent="0.35">
      <c r="H960" s="14"/>
    </row>
    <row r="961" spans="8:8" ht="14.25" customHeight="1" x14ac:dyDescent="0.35">
      <c r="H961" s="14"/>
    </row>
    <row r="962" spans="8:8" ht="14.25" customHeight="1" x14ac:dyDescent="0.35">
      <c r="H962" s="14"/>
    </row>
    <row r="963" spans="8:8" ht="14.25" customHeight="1" x14ac:dyDescent="0.35">
      <c r="H963" s="14"/>
    </row>
    <row r="964" spans="8:8" ht="14.25" customHeight="1" x14ac:dyDescent="0.35">
      <c r="H964" s="14"/>
    </row>
    <row r="965" spans="8:8" ht="14.25" customHeight="1" x14ac:dyDescent="0.35">
      <c r="H965" s="14"/>
    </row>
    <row r="966" spans="8:8" ht="14.25" customHeight="1" x14ac:dyDescent="0.35">
      <c r="H966" s="14"/>
    </row>
    <row r="967" spans="8:8" ht="14.25" customHeight="1" x14ac:dyDescent="0.35">
      <c r="H967" s="14"/>
    </row>
    <row r="968" spans="8:8" ht="14.25" customHeight="1" x14ac:dyDescent="0.35">
      <c r="H968" s="14"/>
    </row>
    <row r="969" spans="8:8" ht="14.25" customHeight="1" x14ac:dyDescent="0.35">
      <c r="H969" s="14"/>
    </row>
    <row r="970" spans="8:8" ht="14.25" customHeight="1" x14ac:dyDescent="0.35">
      <c r="H970" s="14"/>
    </row>
    <row r="971" spans="8:8" ht="14.25" customHeight="1" x14ac:dyDescent="0.35">
      <c r="H971" s="14"/>
    </row>
    <row r="972" spans="8:8" ht="14.25" customHeight="1" x14ac:dyDescent="0.35">
      <c r="H972" s="14"/>
    </row>
    <row r="973" spans="8:8" ht="14.25" customHeight="1" x14ac:dyDescent="0.35">
      <c r="H973" s="14"/>
    </row>
    <row r="974" spans="8:8" ht="14.25" customHeight="1" x14ac:dyDescent="0.35">
      <c r="H974" s="14"/>
    </row>
    <row r="975" spans="8:8" ht="14.25" customHeight="1" x14ac:dyDescent="0.35">
      <c r="H975" s="14"/>
    </row>
    <row r="976" spans="8:8" ht="14.25" customHeight="1" x14ac:dyDescent="0.35">
      <c r="H976" s="14"/>
    </row>
    <row r="977" spans="8:8" ht="14.25" customHeight="1" x14ac:dyDescent="0.35">
      <c r="H977" s="14"/>
    </row>
    <row r="978" spans="8:8" ht="14.25" customHeight="1" x14ac:dyDescent="0.35">
      <c r="H978" s="14"/>
    </row>
    <row r="979" spans="8:8" ht="14.25" customHeight="1" x14ac:dyDescent="0.35">
      <c r="H979" s="14"/>
    </row>
    <row r="980" spans="8:8" ht="14.25" customHeight="1" x14ac:dyDescent="0.35">
      <c r="H980" s="14"/>
    </row>
    <row r="981" spans="8:8" ht="14.25" customHeight="1" x14ac:dyDescent="0.35">
      <c r="H981" s="14"/>
    </row>
    <row r="982" spans="8:8" ht="14.25" customHeight="1" x14ac:dyDescent="0.35">
      <c r="H982" s="14"/>
    </row>
    <row r="983" spans="8:8" ht="14.25" customHeight="1" x14ac:dyDescent="0.35">
      <c r="H983" s="14"/>
    </row>
    <row r="984" spans="8:8" ht="14.25" customHeight="1" x14ac:dyDescent="0.35">
      <c r="H984" s="14"/>
    </row>
    <row r="985" spans="8:8" ht="14.25" customHeight="1" x14ac:dyDescent="0.35">
      <c r="H985" s="14"/>
    </row>
    <row r="986" spans="8:8" ht="14.25" customHeight="1" x14ac:dyDescent="0.35">
      <c r="H986" s="14"/>
    </row>
    <row r="987" spans="8:8" ht="14.25" customHeight="1" x14ac:dyDescent="0.35">
      <c r="H987" s="14"/>
    </row>
    <row r="988" spans="8:8" ht="14.25" customHeight="1" x14ac:dyDescent="0.35">
      <c r="H988" s="14"/>
    </row>
    <row r="989" spans="8:8" ht="14.25" customHeight="1" x14ac:dyDescent="0.35">
      <c r="H989" s="14"/>
    </row>
    <row r="990" spans="8:8" ht="14.25" customHeight="1" x14ac:dyDescent="0.35">
      <c r="H990" s="14"/>
    </row>
    <row r="991" spans="8:8" ht="14.25" customHeight="1" x14ac:dyDescent="0.35">
      <c r="H991" s="14"/>
    </row>
    <row r="992" spans="8:8" ht="14.25" customHeight="1" x14ac:dyDescent="0.35">
      <c r="H992" s="14"/>
    </row>
    <row r="993" spans="8:8" ht="14.25" customHeight="1" x14ac:dyDescent="0.35">
      <c r="H993" s="14"/>
    </row>
    <row r="994" spans="8:8" ht="14.25" customHeight="1" x14ac:dyDescent="0.35">
      <c r="H994" s="14"/>
    </row>
    <row r="995" spans="8:8" ht="14.25" customHeight="1" x14ac:dyDescent="0.35">
      <c r="H995" s="14"/>
    </row>
    <row r="996" spans="8:8" ht="14.25" customHeight="1" x14ac:dyDescent="0.35">
      <c r="H996" s="14"/>
    </row>
    <row r="997" spans="8:8" ht="14.25" customHeight="1" x14ac:dyDescent="0.35">
      <c r="H997" s="14"/>
    </row>
    <row r="998" spans="8:8" ht="14.25" customHeight="1" x14ac:dyDescent="0.35">
      <c r="H998" s="14"/>
    </row>
    <row r="999" spans="8:8" ht="14.25" customHeight="1" x14ac:dyDescent="0.35">
      <c r="H999" s="14"/>
    </row>
    <row r="1000" spans="8:8" ht="14.25" customHeight="1" x14ac:dyDescent="0.35">
      <c r="H1000" s="14"/>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EAA4-302D-40AF-9A87-585F80EDDC83}">
  <dimension ref="A1"/>
  <sheetViews>
    <sheetView zoomScale="110" zoomScaleNormal="110" workbookViewId="0"/>
  </sheetViews>
  <sheetFormatPr defaultRowHeight="14.5" x14ac:dyDescent="0.35"/>
  <cols>
    <col min="1" max="16384" width="8.7265625" style="116"/>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topLeftCell="A10" workbookViewId="0">
      <selection activeCell="A27" sqref="A27"/>
    </sheetView>
  </sheetViews>
  <sheetFormatPr defaultColWidth="14.453125" defaultRowHeight="15" customHeight="1" x14ac:dyDescent="0.35"/>
  <cols>
    <col min="1" max="1" width="11.6328125" style="117" customWidth="1"/>
    <col min="2" max="2" width="13.6328125" style="117" customWidth="1"/>
    <col min="3" max="3" width="18.453125" style="117" customWidth="1"/>
    <col min="4" max="4" width="12.6328125" style="117" customWidth="1"/>
    <col min="5" max="5" width="11.453125" style="117" customWidth="1"/>
    <col min="6" max="10" width="8.6328125" style="117" customWidth="1"/>
    <col min="11" max="11" width="14.6328125" style="117" customWidth="1"/>
    <col min="12" max="26" width="8.6328125" style="117" customWidth="1"/>
    <col min="27" max="16384" width="14.453125" style="117"/>
  </cols>
  <sheetData>
    <row r="1" spans="1:12" ht="14.25" customHeight="1" x14ac:dyDescent="0.35">
      <c r="A1" s="117" t="s">
        <v>235</v>
      </c>
    </row>
    <row r="2" spans="1:12" ht="14.25" customHeight="1" x14ac:dyDescent="0.35">
      <c r="H2" s="118"/>
    </row>
    <row r="3" spans="1:12" ht="14.25" customHeight="1" x14ac:dyDescent="0.35">
      <c r="C3" s="119">
        <f>1.2*0.89</f>
        <v>1.0680000000000001</v>
      </c>
      <c r="D3" s="120" t="s">
        <v>30</v>
      </c>
    </row>
    <row r="4" spans="1:12" ht="14.25" customHeight="1" x14ac:dyDescent="0.35"/>
    <row r="5" spans="1:12" ht="15" customHeight="1" x14ac:dyDescent="0.35">
      <c r="B5" s="121"/>
      <c r="C5" s="121"/>
      <c r="D5" s="121"/>
      <c r="E5" s="121"/>
      <c r="F5" s="121"/>
      <c r="G5" s="121"/>
      <c r="H5" s="121"/>
      <c r="I5" s="121"/>
      <c r="J5" s="121"/>
      <c r="K5" s="121"/>
    </row>
    <row r="6" spans="1:12" ht="14.25" customHeight="1" x14ac:dyDescent="0.35">
      <c r="A6" s="122" t="s">
        <v>236</v>
      </c>
      <c r="B6" s="121"/>
      <c r="C6" s="121"/>
      <c r="D6" s="121"/>
      <c r="E6" s="121"/>
      <c r="F6" s="121"/>
      <c r="G6" s="121"/>
      <c r="H6" s="121"/>
      <c r="I6" s="121"/>
      <c r="J6" s="121"/>
      <c r="K6" s="121"/>
    </row>
    <row r="7" spans="1:12" ht="14.25" customHeight="1" x14ac:dyDescent="0.35">
      <c r="A7" s="123"/>
      <c r="B7" s="123"/>
      <c r="C7" s="123"/>
      <c r="D7" s="123"/>
      <c r="E7" s="123"/>
      <c r="F7" s="123"/>
      <c r="G7" s="123"/>
      <c r="H7" s="123"/>
      <c r="I7" s="123"/>
      <c r="J7" s="123"/>
      <c r="K7" s="123"/>
    </row>
    <row r="8" spans="1:12" ht="14.25" customHeight="1" x14ac:dyDescent="0.35">
      <c r="C8" s="124">
        <f>17320/13565-1</f>
        <v>0.27681533357906374</v>
      </c>
      <c r="D8" s="120" t="s">
        <v>30</v>
      </c>
      <c r="F8" s="118"/>
    </row>
    <row r="9" spans="1:12" ht="14.25" customHeight="1" x14ac:dyDescent="0.35">
      <c r="D9" s="120"/>
      <c r="F9" s="118"/>
    </row>
    <row r="10" spans="1:12" ht="14.25" customHeight="1" x14ac:dyDescent="0.35"/>
    <row r="11" spans="1:12" ht="14.25" customHeight="1" x14ac:dyDescent="0.35">
      <c r="A11" s="117" t="s">
        <v>237</v>
      </c>
    </row>
    <row r="12" spans="1:12" ht="14.25" customHeight="1" x14ac:dyDescent="0.35">
      <c r="E12" s="125"/>
      <c r="F12" s="125"/>
      <c r="G12" s="125"/>
      <c r="H12" s="125"/>
      <c r="I12" s="125"/>
      <c r="J12" s="125"/>
      <c r="K12" s="125"/>
      <c r="L12" s="125"/>
    </row>
    <row r="13" spans="1:12" ht="14.25" customHeight="1" x14ac:dyDescent="0.35">
      <c r="C13" s="124">
        <f>78560/90300</f>
        <v>0.86998892580287934</v>
      </c>
      <c r="D13" s="120" t="s">
        <v>30</v>
      </c>
    </row>
    <row r="14" spans="1:12" ht="14.25" customHeight="1" x14ac:dyDescent="0.35"/>
    <row r="15" spans="1:12" ht="14.25" customHeight="1" x14ac:dyDescent="0.35"/>
    <row r="16" spans="1:12" ht="14.25" customHeight="1" x14ac:dyDescent="0.35">
      <c r="A16" s="117" t="s">
        <v>238</v>
      </c>
    </row>
    <row r="17" spans="1:11" ht="14.25" customHeight="1" x14ac:dyDescent="0.35"/>
    <row r="18" spans="1:11" ht="14.25" customHeight="1" x14ac:dyDescent="0.35">
      <c r="C18" s="124">
        <f>41/33-1</f>
        <v>0.24242424242424243</v>
      </c>
      <c r="D18" s="120" t="s">
        <v>30</v>
      </c>
    </row>
    <row r="19" spans="1:11" ht="14.25" customHeight="1" x14ac:dyDescent="0.35">
      <c r="D19" s="120"/>
    </row>
    <row r="20" spans="1:11" ht="14.25" customHeight="1" x14ac:dyDescent="0.35"/>
    <row r="21" spans="1:11" ht="14.25" customHeight="1" x14ac:dyDescent="0.35">
      <c r="A21" s="117" t="s">
        <v>239</v>
      </c>
    </row>
    <row r="22" spans="1:11" ht="14.25" customHeight="1" x14ac:dyDescent="0.35"/>
    <row r="23" spans="1:11" ht="14.25" customHeight="1" x14ac:dyDescent="0.35">
      <c r="C23" s="119">
        <f>1.5*1.05</f>
        <v>1.5750000000000002</v>
      </c>
      <c r="D23" s="120" t="s">
        <v>30</v>
      </c>
    </row>
    <row r="24" spans="1:11" ht="14.25" customHeight="1" x14ac:dyDescent="0.35">
      <c r="D24" s="120"/>
    </row>
    <row r="25" spans="1:11" ht="14.25" customHeight="1" x14ac:dyDescent="0.35"/>
    <row r="26" spans="1:11" ht="14.25" customHeight="1" x14ac:dyDescent="0.35">
      <c r="A26" s="117" t="s">
        <v>267</v>
      </c>
    </row>
    <row r="27" spans="1:11" ht="14.25" customHeight="1" x14ac:dyDescent="0.35"/>
    <row r="28" spans="1:11" ht="14.25" customHeight="1" x14ac:dyDescent="0.35">
      <c r="C28" s="119">
        <f>22/1.25</f>
        <v>17.600000000000001</v>
      </c>
      <c r="D28" s="120" t="s">
        <v>30</v>
      </c>
    </row>
    <row r="29" spans="1:11" ht="14.25" customHeight="1" x14ac:dyDescent="0.35"/>
    <row r="30" spans="1:11" ht="14.25" customHeight="1" x14ac:dyDescent="0.35"/>
    <row r="31" spans="1:11" ht="14.25" customHeight="1" x14ac:dyDescent="0.35">
      <c r="A31" s="197" t="s">
        <v>240</v>
      </c>
      <c r="B31" s="198"/>
      <c r="C31" s="198"/>
      <c r="D31" s="198"/>
      <c r="E31" s="198"/>
      <c r="F31" s="198"/>
      <c r="G31" s="198"/>
      <c r="H31" s="198"/>
      <c r="I31" s="198"/>
      <c r="J31" s="198"/>
      <c r="K31" s="198"/>
    </row>
    <row r="32" spans="1:11" ht="14.25" customHeight="1" x14ac:dyDescent="0.35">
      <c r="A32" s="198"/>
      <c r="B32" s="198"/>
      <c r="C32" s="198"/>
      <c r="D32" s="198"/>
      <c r="E32" s="198"/>
      <c r="F32" s="198"/>
      <c r="G32" s="198"/>
      <c r="H32" s="198"/>
      <c r="I32" s="198"/>
      <c r="J32" s="198"/>
      <c r="K32" s="198"/>
    </row>
    <row r="33" spans="1:11" ht="14.25" customHeight="1" x14ac:dyDescent="0.35">
      <c r="A33" s="198"/>
      <c r="B33" s="198"/>
      <c r="C33" s="198"/>
      <c r="D33" s="198"/>
      <c r="E33" s="198"/>
      <c r="F33" s="198"/>
      <c r="G33" s="198"/>
      <c r="H33" s="198"/>
      <c r="I33" s="198"/>
      <c r="J33" s="198"/>
      <c r="K33" s="198"/>
    </row>
    <row r="34" spans="1:11" ht="14.25" customHeight="1" x14ac:dyDescent="0.35">
      <c r="C34" s="126">
        <f>ROUNDDOWN(3600/0.7,0)</f>
        <v>5142</v>
      </c>
      <c r="D34" s="126"/>
      <c r="E34" s="120" t="s">
        <v>30</v>
      </c>
    </row>
    <row r="35" spans="1:11" ht="14.25" customHeight="1" x14ac:dyDescent="0.35">
      <c r="E35" s="120"/>
    </row>
    <row r="36" spans="1:11" ht="14.25" customHeight="1" x14ac:dyDescent="0.35"/>
    <row r="37" spans="1:11" ht="14.25" customHeight="1" x14ac:dyDescent="0.35">
      <c r="A37" s="117" t="s">
        <v>241</v>
      </c>
    </row>
    <row r="38" spans="1:11" ht="14.25" customHeight="1" x14ac:dyDescent="0.35"/>
    <row r="39" spans="1:11" ht="14.25" customHeight="1" x14ac:dyDescent="0.35">
      <c r="C39" s="124">
        <f>173/C34</f>
        <v>3.3644496304939715E-2</v>
      </c>
      <c r="D39" s="126"/>
      <c r="E39" s="120" t="s">
        <v>30</v>
      </c>
    </row>
    <row r="40" spans="1:11" ht="14.25" customHeight="1" x14ac:dyDescent="0.35"/>
    <row r="41" spans="1:11" ht="14.25" customHeight="1" x14ac:dyDescent="0.35"/>
    <row r="42" spans="1:11" ht="14.25" customHeight="1" x14ac:dyDescent="0.35">
      <c r="A42" s="127" t="s">
        <v>242</v>
      </c>
      <c r="B42" s="127"/>
      <c r="C42" s="127"/>
      <c r="D42" s="127"/>
      <c r="E42" s="127"/>
      <c r="F42" s="127"/>
      <c r="G42" s="127"/>
      <c r="H42" s="127"/>
      <c r="I42" s="127"/>
    </row>
    <row r="43" spans="1:11" ht="14.25" customHeight="1" x14ac:dyDescent="0.35"/>
    <row r="44" spans="1:11" ht="14.25" customHeight="1" x14ac:dyDescent="0.35">
      <c r="C44" s="124">
        <f>C34/103514</f>
        <v>4.9674440172343841E-2</v>
      </c>
      <c r="D44" s="126"/>
      <c r="E44" s="120" t="s">
        <v>30</v>
      </c>
    </row>
    <row r="45" spans="1:11" ht="14.25" customHeight="1" x14ac:dyDescent="0.35">
      <c r="C45" s="128"/>
      <c r="E45" s="120"/>
    </row>
    <row r="46" spans="1:11" ht="14.25" customHeight="1" x14ac:dyDescent="0.35"/>
    <row r="47" spans="1:11" ht="14.25" customHeight="1" x14ac:dyDescent="0.35">
      <c r="A47" s="197" t="s">
        <v>243</v>
      </c>
      <c r="B47" s="198"/>
      <c r="C47" s="198"/>
      <c r="D47" s="198"/>
      <c r="E47" s="198"/>
      <c r="F47" s="198"/>
      <c r="G47" s="198"/>
      <c r="H47" s="198"/>
      <c r="I47" s="198"/>
      <c r="J47" s="198"/>
    </row>
    <row r="48" spans="1:11" ht="14.25" customHeight="1" x14ac:dyDescent="0.35">
      <c r="A48" s="198"/>
      <c r="B48" s="198"/>
      <c r="C48" s="198"/>
      <c r="D48" s="198"/>
      <c r="E48" s="198"/>
      <c r="F48" s="198"/>
      <c r="G48" s="198"/>
      <c r="H48" s="198"/>
      <c r="I48" s="198"/>
      <c r="J48" s="198"/>
    </row>
    <row r="49" spans="3:5" ht="14.25" customHeight="1" x14ac:dyDescent="0.35"/>
    <row r="50" spans="3:5" ht="14.25" customHeight="1" x14ac:dyDescent="0.35">
      <c r="C50" s="124">
        <f>(415*173)/53220-1</f>
        <v>0.3490229237128899</v>
      </c>
      <c r="D50" s="126"/>
      <c r="E50" s="120" t="s">
        <v>30</v>
      </c>
    </row>
    <row r="51" spans="3:5" ht="14.25" customHeight="1" x14ac:dyDescent="0.35"/>
    <row r="52" spans="3:5" ht="14.25" customHeight="1" x14ac:dyDescent="0.35"/>
    <row r="53" spans="3:5" ht="14.25" customHeight="1" x14ac:dyDescent="0.35"/>
    <row r="54" spans="3:5" ht="14.25" customHeight="1" x14ac:dyDescent="0.35"/>
    <row r="55" spans="3:5" ht="14.25" customHeight="1" x14ac:dyDescent="0.35"/>
    <row r="56" spans="3:5" ht="14.25" customHeight="1" x14ac:dyDescent="0.35"/>
    <row r="57" spans="3:5" ht="14.25" customHeight="1" x14ac:dyDescent="0.35"/>
    <row r="58" spans="3:5" ht="14.25" customHeight="1" x14ac:dyDescent="0.35"/>
    <row r="59" spans="3:5" ht="14.25" customHeight="1" x14ac:dyDescent="0.35"/>
    <row r="60" spans="3:5" ht="14.25" customHeight="1" x14ac:dyDescent="0.35"/>
    <row r="61" spans="3:5" ht="14.25" customHeight="1" x14ac:dyDescent="0.35"/>
    <row r="62" spans="3:5" ht="14.25" customHeight="1" x14ac:dyDescent="0.35"/>
    <row r="63" spans="3:5" ht="14.25" customHeight="1" x14ac:dyDescent="0.35"/>
    <row r="64" spans="3:5" ht="14.25" customHeight="1" x14ac:dyDescent="0.35"/>
    <row r="65" s="117" customFormat="1" ht="14.25" customHeight="1" x14ac:dyDescent="0.35"/>
    <row r="66" s="117" customFormat="1" ht="14.25" customHeight="1" x14ac:dyDescent="0.35"/>
    <row r="67" s="117" customFormat="1" ht="14.25" customHeight="1" x14ac:dyDescent="0.35"/>
    <row r="68" s="117" customFormat="1" ht="14.25" customHeight="1" x14ac:dyDescent="0.35"/>
    <row r="69" s="117" customFormat="1" ht="14.25" customHeight="1" x14ac:dyDescent="0.35"/>
    <row r="70" s="117" customFormat="1" ht="14.25" customHeight="1" x14ac:dyDescent="0.35"/>
    <row r="71" s="117" customFormat="1" ht="14.25" customHeight="1" x14ac:dyDescent="0.35"/>
    <row r="72" s="117" customFormat="1" ht="14.25" customHeight="1" x14ac:dyDescent="0.35"/>
    <row r="73" s="117" customFormat="1" ht="14.25" customHeight="1" x14ac:dyDescent="0.35"/>
    <row r="74" s="117" customFormat="1" ht="14.25" customHeight="1" x14ac:dyDescent="0.35"/>
    <row r="75" s="117" customFormat="1" ht="14.25" customHeight="1" x14ac:dyDescent="0.35"/>
    <row r="76" s="117" customFormat="1" ht="14.25" customHeight="1" x14ac:dyDescent="0.35"/>
    <row r="77" s="117" customFormat="1" ht="14.25" customHeight="1" x14ac:dyDescent="0.35"/>
    <row r="78" s="117" customFormat="1" ht="14.25" customHeight="1" x14ac:dyDescent="0.35"/>
    <row r="79" s="117" customFormat="1" ht="14.25" customHeight="1" x14ac:dyDescent="0.35"/>
    <row r="80" s="117" customFormat="1" ht="14.25" customHeight="1" x14ac:dyDescent="0.35"/>
    <row r="81" s="117" customFormat="1" ht="14.25" customHeight="1" x14ac:dyDescent="0.35"/>
    <row r="82" s="117" customFormat="1" ht="14.25" customHeight="1" x14ac:dyDescent="0.35"/>
    <row r="83" s="117" customFormat="1" ht="14.25" customHeight="1" x14ac:dyDescent="0.35"/>
    <row r="84" s="117" customFormat="1" ht="14.25" customHeight="1" x14ac:dyDescent="0.35"/>
    <row r="85" s="117" customFormat="1" ht="14.25" customHeight="1" x14ac:dyDescent="0.35"/>
    <row r="86" s="117" customFormat="1" ht="14.25" customHeight="1" x14ac:dyDescent="0.35"/>
    <row r="87" s="117" customFormat="1" ht="14.25" customHeight="1" x14ac:dyDescent="0.35"/>
    <row r="88" s="117" customFormat="1" ht="14.25" customHeight="1" x14ac:dyDescent="0.35"/>
    <row r="89" s="117" customFormat="1" ht="14.25" customHeight="1" x14ac:dyDescent="0.35"/>
    <row r="90" s="117" customFormat="1" ht="14.25" customHeight="1" x14ac:dyDescent="0.35"/>
    <row r="91" s="117" customFormat="1" ht="14.25" customHeight="1" x14ac:dyDescent="0.35"/>
    <row r="92" s="117" customFormat="1" ht="14.25" customHeight="1" x14ac:dyDescent="0.35"/>
    <row r="93" s="117" customFormat="1" ht="14.25" customHeight="1" x14ac:dyDescent="0.35"/>
    <row r="94" s="117" customFormat="1" ht="14.25" customHeight="1" x14ac:dyDescent="0.35"/>
    <row r="95" s="117" customFormat="1" ht="14.25" customHeight="1" x14ac:dyDescent="0.35"/>
    <row r="96" s="117" customFormat="1" ht="14.25" customHeight="1" x14ac:dyDescent="0.35"/>
    <row r="97" s="117" customFormat="1" ht="14.25" customHeight="1" x14ac:dyDescent="0.35"/>
    <row r="98" s="117" customFormat="1" ht="14.25" customHeight="1" x14ac:dyDescent="0.35"/>
    <row r="99" s="117" customFormat="1" ht="14.25" customHeight="1" x14ac:dyDescent="0.35"/>
    <row r="100" s="117" customFormat="1" ht="14.25" customHeight="1" x14ac:dyDescent="0.35"/>
    <row r="101" s="117" customFormat="1" ht="14.25" customHeight="1" x14ac:dyDescent="0.35"/>
    <row r="102" s="117" customFormat="1" ht="14.25" customHeight="1" x14ac:dyDescent="0.35"/>
    <row r="103" s="117" customFormat="1" ht="14.25" customHeight="1" x14ac:dyDescent="0.35"/>
    <row r="104" s="117" customFormat="1" ht="14.25" customHeight="1" x14ac:dyDescent="0.35"/>
    <row r="105" s="117" customFormat="1" ht="14.25" customHeight="1" x14ac:dyDescent="0.35"/>
    <row r="106" s="117" customFormat="1" ht="14.25" customHeight="1" x14ac:dyDescent="0.35"/>
    <row r="107" s="117" customFormat="1" ht="14.25" customHeight="1" x14ac:dyDescent="0.35"/>
    <row r="108" s="117" customFormat="1" ht="14.25" customHeight="1" x14ac:dyDescent="0.35"/>
    <row r="109" s="117" customFormat="1" ht="14.25" customHeight="1" x14ac:dyDescent="0.35"/>
    <row r="110" s="117" customFormat="1" ht="14.25" customHeight="1" x14ac:dyDescent="0.35"/>
    <row r="111" s="117" customFormat="1" ht="14.25" customHeight="1" x14ac:dyDescent="0.35"/>
    <row r="112" s="117" customFormat="1" ht="14.25" customHeight="1" x14ac:dyDescent="0.35"/>
    <row r="113" s="117" customFormat="1" ht="14.25" customHeight="1" x14ac:dyDescent="0.35"/>
    <row r="114" s="117" customFormat="1" ht="14.25" customHeight="1" x14ac:dyDescent="0.35"/>
    <row r="115" s="117" customFormat="1" ht="14.25" customHeight="1" x14ac:dyDescent="0.35"/>
    <row r="116" s="117" customFormat="1" ht="14.25" customHeight="1" x14ac:dyDescent="0.35"/>
    <row r="117" s="117" customFormat="1" ht="14.25" customHeight="1" x14ac:dyDescent="0.35"/>
    <row r="118" s="117" customFormat="1" ht="14.25" customHeight="1" x14ac:dyDescent="0.35"/>
    <row r="119" s="117" customFormat="1" ht="14.25" customHeight="1" x14ac:dyDescent="0.35"/>
    <row r="120" s="117" customFormat="1" ht="14.25" customHeight="1" x14ac:dyDescent="0.35"/>
    <row r="121" s="117" customFormat="1" ht="14.25" customHeight="1" x14ac:dyDescent="0.35"/>
    <row r="122" s="117" customFormat="1" ht="14.25" customHeight="1" x14ac:dyDescent="0.35"/>
    <row r="123" s="117" customFormat="1" ht="14.25" customHeight="1" x14ac:dyDescent="0.35"/>
    <row r="124" s="117" customFormat="1" ht="14.25" customHeight="1" x14ac:dyDescent="0.35"/>
    <row r="125" s="117" customFormat="1" ht="14.25" customHeight="1" x14ac:dyDescent="0.35"/>
    <row r="126" s="117" customFormat="1" ht="14.25" customHeight="1" x14ac:dyDescent="0.35"/>
    <row r="127" s="117" customFormat="1" ht="14.25" customHeight="1" x14ac:dyDescent="0.35"/>
    <row r="128" s="117" customFormat="1" ht="14.25" customHeight="1" x14ac:dyDescent="0.35"/>
    <row r="129" s="117" customFormat="1" ht="14.25" customHeight="1" x14ac:dyDescent="0.35"/>
    <row r="130" s="117" customFormat="1" ht="14.25" customHeight="1" x14ac:dyDescent="0.35"/>
    <row r="131" s="117" customFormat="1" ht="14.25" customHeight="1" x14ac:dyDescent="0.35"/>
    <row r="132" s="117" customFormat="1" ht="14.25" customHeight="1" x14ac:dyDescent="0.35"/>
    <row r="133" s="117" customFormat="1" ht="14.25" customHeight="1" x14ac:dyDescent="0.35"/>
    <row r="134" s="117" customFormat="1" ht="14.25" customHeight="1" x14ac:dyDescent="0.35"/>
    <row r="135" s="117" customFormat="1" ht="14.25" customHeight="1" x14ac:dyDescent="0.35"/>
    <row r="136" s="117" customFormat="1" ht="14.25" customHeight="1" x14ac:dyDescent="0.35"/>
    <row r="137" s="117" customFormat="1" ht="14.25" customHeight="1" x14ac:dyDescent="0.35"/>
    <row r="138" s="117" customFormat="1" ht="14.25" customHeight="1" x14ac:dyDescent="0.35"/>
    <row r="139" s="117" customFormat="1" ht="14.25" customHeight="1" x14ac:dyDescent="0.35"/>
    <row r="140" s="117" customFormat="1" ht="14.25" customHeight="1" x14ac:dyDescent="0.35"/>
    <row r="141" s="117" customFormat="1" ht="14.25" customHeight="1" x14ac:dyDescent="0.35"/>
    <row r="142" s="117" customFormat="1" ht="14.25" customHeight="1" x14ac:dyDescent="0.35"/>
    <row r="143" s="117" customFormat="1" ht="14.25" customHeight="1" x14ac:dyDescent="0.35"/>
    <row r="144" s="117" customFormat="1" ht="14.25" customHeight="1" x14ac:dyDescent="0.35"/>
    <row r="145" s="117" customFormat="1" ht="14.25" customHeight="1" x14ac:dyDescent="0.35"/>
    <row r="146" s="117" customFormat="1" ht="14.25" customHeight="1" x14ac:dyDescent="0.35"/>
    <row r="147" s="117" customFormat="1" ht="14.25" customHeight="1" x14ac:dyDescent="0.35"/>
    <row r="148" s="117" customFormat="1" ht="14.25" customHeight="1" x14ac:dyDescent="0.35"/>
    <row r="149" s="117" customFormat="1" ht="14.25" customHeight="1" x14ac:dyDescent="0.35"/>
    <row r="150" s="117" customFormat="1" ht="14.25" customHeight="1" x14ac:dyDescent="0.35"/>
    <row r="151" s="117" customFormat="1" ht="14.25" customHeight="1" x14ac:dyDescent="0.35"/>
    <row r="152" s="117" customFormat="1" ht="14.25" customHeight="1" x14ac:dyDescent="0.35"/>
    <row r="153" s="117" customFormat="1" ht="14.25" customHeight="1" x14ac:dyDescent="0.35"/>
    <row r="154" s="117" customFormat="1" ht="14.25" customHeight="1" x14ac:dyDescent="0.35"/>
    <row r="155" s="117" customFormat="1" ht="14.25" customHeight="1" x14ac:dyDescent="0.35"/>
    <row r="156" s="117" customFormat="1" ht="14.25" customHeight="1" x14ac:dyDescent="0.35"/>
    <row r="157" s="117" customFormat="1" ht="14.25" customHeight="1" x14ac:dyDescent="0.35"/>
    <row r="158" s="117" customFormat="1" ht="14.25" customHeight="1" x14ac:dyDescent="0.35"/>
    <row r="159" s="117" customFormat="1" ht="14.25" customHeight="1" x14ac:dyDescent="0.35"/>
    <row r="160" s="117" customFormat="1" ht="14.25" customHeight="1" x14ac:dyDescent="0.35"/>
    <row r="161" s="117" customFormat="1" ht="14.25" customHeight="1" x14ac:dyDescent="0.35"/>
    <row r="162" s="117" customFormat="1" ht="14.25" customHeight="1" x14ac:dyDescent="0.35"/>
    <row r="163" s="117" customFormat="1" ht="14.25" customHeight="1" x14ac:dyDescent="0.35"/>
    <row r="164" s="117" customFormat="1" ht="14.25" customHeight="1" x14ac:dyDescent="0.35"/>
    <row r="165" s="117" customFormat="1" ht="14.25" customHeight="1" x14ac:dyDescent="0.35"/>
    <row r="166" s="117" customFormat="1" ht="14.25" customHeight="1" x14ac:dyDescent="0.35"/>
    <row r="167" s="117" customFormat="1" ht="14.25" customHeight="1" x14ac:dyDescent="0.35"/>
    <row r="168" s="117" customFormat="1" ht="14.25" customHeight="1" x14ac:dyDescent="0.35"/>
    <row r="169" s="117" customFormat="1" ht="14.25" customHeight="1" x14ac:dyDescent="0.35"/>
    <row r="170" s="117" customFormat="1" ht="14.25" customHeight="1" x14ac:dyDescent="0.35"/>
    <row r="171" s="117" customFormat="1" ht="14.25" customHeight="1" x14ac:dyDescent="0.35"/>
    <row r="172" s="117" customFormat="1" ht="14.25" customHeight="1" x14ac:dyDescent="0.35"/>
    <row r="173" s="117" customFormat="1" ht="14.25" customHeight="1" x14ac:dyDescent="0.35"/>
    <row r="174" s="117" customFormat="1" ht="14.25" customHeight="1" x14ac:dyDescent="0.35"/>
    <row r="175" s="117" customFormat="1" ht="14.25" customHeight="1" x14ac:dyDescent="0.35"/>
    <row r="176" s="117" customFormat="1" ht="14.25" customHeight="1" x14ac:dyDescent="0.35"/>
    <row r="177" s="117" customFormat="1" ht="14.25" customHeight="1" x14ac:dyDescent="0.35"/>
    <row r="178" s="117" customFormat="1" ht="14.25" customHeight="1" x14ac:dyDescent="0.35"/>
    <row r="179" s="117" customFormat="1" ht="14.25" customHeight="1" x14ac:dyDescent="0.35"/>
    <row r="180" s="117" customFormat="1" ht="14.25" customHeight="1" x14ac:dyDescent="0.35"/>
    <row r="181" s="117" customFormat="1" ht="14.25" customHeight="1" x14ac:dyDescent="0.35"/>
    <row r="182" s="117" customFormat="1" ht="14.25" customHeight="1" x14ac:dyDescent="0.35"/>
    <row r="183" s="117" customFormat="1" ht="14.25" customHeight="1" x14ac:dyDescent="0.35"/>
    <row r="184" s="117" customFormat="1" ht="14.25" customHeight="1" x14ac:dyDescent="0.35"/>
    <row r="185" s="117" customFormat="1" ht="14.25" customHeight="1" x14ac:dyDescent="0.35"/>
    <row r="186" s="117" customFormat="1" ht="14.25" customHeight="1" x14ac:dyDescent="0.35"/>
    <row r="187" s="117" customFormat="1" ht="14.25" customHeight="1" x14ac:dyDescent="0.35"/>
    <row r="188" s="117" customFormat="1" ht="14.25" customHeight="1" x14ac:dyDescent="0.35"/>
    <row r="189" s="117" customFormat="1" ht="14.25" customHeight="1" x14ac:dyDescent="0.35"/>
    <row r="190" s="117" customFormat="1" ht="14.25" customHeight="1" x14ac:dyDescent="0.35"/>
    <row r="191" s="117" customFormat="1" ht="14.25" customHeight="1" x14ac:dyDescent="0.35"/>
    <row r="192" s="117" customFormat="1" ht="14.25" customHeight="1" x14ac:dyDescent="0.35"/>
    <row r="193" s="117" customFormat="1" ht="14.25" customHeight="1" x14ac:dyDescent="0.35"/>
    <row r="194" s="117" customFormat="1" ht="14.25" customHeight="1" x14ac:dyDescent="0.35"/>
    <row r="195" s="117" customFormat="1" ht="14.25" customHeight="1" x14ac:dyDescent="0.35"/>
    <row r="196" s="117" customFormat="1" ht="14.25" customHeight="1" x14ac:dyDescent="0.35"/>
    <row r="197" s="117" customFormat="1" ht="14.25" customHeight="1" x14ac:dyDescent="0.35"/>
    <row r="198" s="117" customFormat="1" ht="14.25" customHeight="1" x14ac:dyDescent="0.35"/>
    <row r="199" s="117" customFormat="1" ht="14.25" customHeight="1" x14ac:dyDescent="0.35"/>
    <row r="200" s="117" customFormat="1" ht="14.25" customHeight="1" x14ac:dyDescent="0.35"/>
    <row r="201" s="117" customFormat="1" ht="14.25" customHeight="1" x14ac:dyDescent="0.35"/>
    <row r="202" s="117" customFormat="1" ht="14.25" customHeight="1" x14ac:dyDescent="0.35"/>
    <row r="203" s="117" customFormat="1" ht="14.25" customHeight="1" x14ac:dyDescent="0.35"/>
    <row r="204" s="117" customFormat="1" ht="14.25" customHeight="1" x14ac:dyDescent="0.35"/>
    <row r="205" s="117" customFormat="1" ht="14.25" customHeight="1" x14ac:dyDescent="0.35"/>
    <row r="206" s="117" customFormat="1" ht="14.25" customHeight="1" x14ac:dyDescent="0.35"/>
    <row r="207" s="117" customFormat="1" ht="14.25" customHeight="1" x14ac:dyDescent="0.35"/>
    <row r="208" s="117" customFormat="1" ht="14.25" customHeight="1" x14ac:dyDescent="0.35"/>
    <row r="209" s="117" customFormat="1" ht="14.25" customHeight="1" x14ac:dyDescent="0.35"/>
    <row r="210" s="117" customFormat="1" ht="14.25" customHeight="1" x14ac:dyDescent="0.35"/>
    <row r="211" s="117" customFormat="1" ht="14.25" customHeight="1" x14ac:dyDescent="0.35"/>
    <row r="212" s="117" customFormat="1" ht="14.25" customHeight="1" x14ac:dyDescent="0.35"/>
    <row r="213" s="117" customFormat="1" ht="14.25" customHeight="1" x14ac:dyDescent="0.35"/>
    <row r="214" s="117" customFormat="1" ht="14.25" customHeight="1" x14ac:dyDescent="0.35"/>
    <row r="215" s="117" customFormat="1" ht="14.25" customHeight="1" x14ac:dyDescent="0.35"/>
    <row r="216" s="117" customFormat="1" ht="14.25" customHeight="1" x14ac:dyDescent="0.35"/>
    <row r="217" s="117" customFormat="1" ht="14.25" customHeight="1" x14ac:dyDescent="0.35"/>
    <row r="218" s="117" customFormat="1" ht="14.25" customHeight="1" x14ac:dyDescent="0.35"/>
    <row r="219" s="117" customFormat="1" ht="14.25" customHeight="1" x14ac:dyDescent="0.35"/>
    <row r="220" s="117" customFormat="1" ht="14.25" customHeight="1" x14ac:dyDescent="0.35"/>
    <row r="221" s="117" customFormat="1" ht="14.25" customHeight="1" x14ac:dyDescent="0.35"/>
    <row r="222" s="117" customFormat="1" ht="14.25" customHeight="1" x14ac:dyDescent="0.35"/>
    <row r="223" s="117" customFormat="1" ht="14.25" customHeight="1" x14ac:dyDescent="0.35"/>
    <row r="224" s="117" customFormat="1" ht="14.25" customHeight="1" x14ac:dyDescent="0.35"/>
    <row r="225" s="117" customFormat="1" ht="14.25" customHeight="1" x14ac:dyDescent="0.35"/>
    <row r="226" s="117" customFormat="1" ht="14.25" customHeight="1" x14ac:dyDescent="0.35"/>
    <row r="227" s="117" customFormat="1" ht="14.25" customHeight="1" x14ac:dyDescent="0.35"/>
    <row r="228" s="117" customFormat="1" ht="14.25" customHeight="1" x14ac:dyDescent="0.35"/>
    <row r="229" s="117" customFormat="1" ht="14.25" customHeight="1" x14ac:dyDescent="0.35"/>
    <row r="230" s="117" customFormat="1" ht="14.25" customHeight="1" x14ac:dyDescent="0.35"/>
    <row r="231" s="117" customFormat="1" ht="14.25" customHeight="1" x14ac:dyDescent="0.35"/>
    <row r="232" s="117" customFormat="1" ht="14.25" customHeight="1" x14ac:dyDescent="0.35"/>
    <row r="233" s="117" customFormat="1" ht="14.25" customHeight="1" x14ac:dyDescent="0.35"/>
    <row r="234" s="117" customFormat="1" ht="14.25" customHeight="1" x14ac:dyDescent="0.35"/>
    <row r="235" s="117" customFormat="1" ht="14.25" customHeight="1" x14ac:dyDescent="0.35"/>
    <row r="236" s="117" customFormat="1" ht="14.25" customHeight="1" x14ac:dyDescent="0.35"/>
    <row r="237" s="117" customFormat="1" ht="14.25" customHeight="1" x14ac:dyDescent="0.35"/>
    <row r="238" s="117" customFormat="1" ht="14.25" customHeight="1" x14ac:dyDescent="0.35"/>
    <row r="239" s="117" customFormat="1" ht="14.25" customHeight="1" x14ac:dyDescent="0.35"/>
    <row r="240" s="117" customFormat="1" ht="14.25" customHeight="1" x14ac:dyDescent="0.35"/>
    <row r="241" s="117" customFormat="1" ht="14.25" customHeight="1" x14ac:dyDescent="0.35"/>
    <row r="242" s="117" customFormat="1" ht="14.25" customHeight="1" x14ac:dyDescent="0.35"/>
    <row r="243" s="117" customFormat="1" ht="14.25" customHeight="1" x14ac:dyDescent="0.35"/>
    <row r="244" s="117" customFormat="1" ht="14.25" customHeight="1" x14ac:dyDescent="0.35"/>
    <row r="245" s="117" customFormat="1" ht="14.25" customHeight="1" x14ac:dyDescent="0.35"/>
    <row r="246" s="117" customFormat="1" ht="14.25" customHeight="1" x14ac:dyDescent="0.35"/>
    <row r="247" s="117" customFormat="1" ht="14.25" customHeight="1" x14ac:dyDescent="0.35"/>
    <row r="248" s="117" customFormat="1" ht="14.25" customHeight="1" x14ac:dyDescent="0.35"/>
    <row r="249" s="117" customFormat="1" ht="14.25" customHeight="1" x14ac:dyDescent="0.35"/>
    <row r="250" s="117" customFormat="1" ht="14.25" customHeight="1" x14ac:dyDescent="0.35"/>
    <row r="251" s="117" customFormat="1" ht="14.25" customHeight="1" x14ac:dyDescent="0.35"/>
    <row r="252" s="117" customFormat="1" ht="14.25" customHeight="1" x14ac:dyDescent="0.35"/>
    <row r="253" s="117" customFormat="1" ht="14.25" customHeight="1" x14ac:dyDescent="0.35"/>
    <row r="254" s="117" customFormat="1" ht="14.25" customHeight="1" x14ac:dyDescent="0.35"/>
    <row r="255" s="117" customFormat="1" ht="14.25" customHeight="1" x14ac:dyDescent="0.35"/>
    <row r="256" s="117" customFormat="1" ht="14.25" customHeight="1" x14ac:dyDescent="0.35"/>
    <row r="257" s="117" customFormat="1" ht="14.25" customHeight="1" x14ac:dyDescent="0.35"/>
    <row r="258" s="117" customFormat="1" ht="14.25" customHeight="1" x14ac:dyDescent="0.35"/>
    <row r="259" s="117" customFormat="1" ht="14.25" customHeight="1" x14ac:dyDescent="0.35"/>
    <row r="260" s="117" customFormat="1" ht="14.25" customHeight="1" x14ac:dyDescent="0.35"/>
    <row r="261" s="117" customFormat="1" ht="14.25" customHeight="1" x14ac:dyDescent="0.35"/>
    <row r="262" s="117" customFormat="1" ht="14.25" customHeight="1" x14ac:dyDescent="0.35"/>
    <row r="263" s="117" customFormat="1" ht="14.25" customHeight="1" x14ac:dyDescent="0.35"/>
    <row r="264" s="117" customFormat="1" ht="14.25" customHeight="1" x14ac:dyDescent="0.35"/>
    <row r="265" s="117" customFormat="1" ht="14.25" customHeight="1" x14ac:dyDescent="0.35"/>
    <row r="266" s="117" customFormat="1" ht="14.25" customHeight="1" x14ac:dyDescent="0.35"/>
    <row r="267" s="117" customFormat="1" ht="14.25" customHeight="1" x14ac:dyDescent="0.35"/>
    <row r="268" s="117" customFormat="1" ht="14.25" customHeight="1" x14ac:dyDescent="0.35"/>
    <row r="269" s="117" customFormat="1" ht="14.25" customHeight="1" x14ac:dyDescent="0.35"/>
    <row r="270" s="117" customFormat="1" ht="14.25" customHeight="1" x14ac:dyDescent="0.35"/>
    <row r="271" s="117" customFormat="1" ht="14.25" customHeight="1" x14ac:dyDescent="0.35"/>
    <row r="272" s="117" customFormat="1" ht="14.25" customHeight="1" x14ac:dyDescent="0.35"/>
    <row r="273" s="117" customFormat="1" ht="14.25" customHeight="1" x14ac:dyDescent="0.35"/>
    <row r="274" s="117" customFormat="1" ht="14.25" customHeight="1" x14ac:dyDescent="0.35"/>
    <row r="275" s="117" customFormat="1" ht="14.25" customHeight="1" x14ac:dyDescent="0.35"/>
    <row r="276" s="117" customFormat="1" ht="14.25" customHeight="1" x14ac:dyDescent="0.35"/>
    <row r="277" s="117" customFormat="1" ht="14.25" customHeight="1" x14ac:dyDescent="0.35"/>
    <row r="278" s="117" customFormat="1" ht="14.25" customHeight="1" x14ac:dyDescent="0.35"/>
    <row r="279" s="117" customFormat="1" ht="14.25" customHeight="1" x14ac:dyDescent="0.35"/>
    <row r="280" s="117" customFormat="1" ht="14.25" customHeight="1" x14ac:dyDescent="0.35"/>
    <row r="281" s="117" customFormat="1" ht="14.25" customHeight="1" x14ac:dyDescent="0.35"/>
    <row r="282" s="117" customFormat="1" ht="14.25" customHeight="1" x14ac:dyDescent="0.35"/>
    <row r="283" s="117" customFormat="1" ht="14.25" customHeight="1" x14ac:dyDescent="0.35"/>
    <row r="284" s="117" customFormat="1" ht="14.25" customHeight="1" x14ac:dyDescent="0.35"/>
    <row r="285" s="117" customFormat="1" ht="14.25" customHeight="1" x14ac:dyDescent="0.35"/>
    <row r="286" s="117" customFormat="1" ht="14.25" customHeight="1" x14ac:dyDescent="0.35"/>
    <row r="287" s="117" customFormat="1" ht="14.25" customHeight="1" x14ac:dyDescent="0.35"/>
    <row r="288" s="117" customFormat="1" ht="14.25" customHeight="1" x14ac:dyDescent="0.35"/>
    <row r="289" s="117" customFormat="1" ht="14.25" customHeight="1" x14ac:dyDescent="0.35"/>
    <row r="290" s="117" customFormat="1" ht="14.25" customHeight="1" x14ac:dyDescent="0.35"/>
    <row r="291" s="117" customFormat="1" ht="14.25" customHeight="1" x14ac:dyDescent="0.35"/>
    <row r="292" s="117" customFormat="1" ht="14.25" customHeight="1" x14ac:dyDescent="0.35"/>
    <row r="293" s="117" customFormat="1" ht="14.25" customHeight="1" x14ac:dyDescent="0.35"/>
    <row r="294" s="117" customFormat="1" ht="14.25" customHeight="1" x14ac:dyDescent="0.35"/>
    <row r="295" s="117" customFormat="1" ht="14.25" customHeight="1" x14ac:dyDescent="0.35"/>
    <row r="296" s="117" customFormat="1" ht="14.25" customHeight="1" x14ac:dyDescent="0.35"/>
    <row r="297" s="117" customFormat="1" ht="14.25" customHeight="1" x14ac:dyDescent="0.35"/>
    <row r="298" s="117" customFormat="1" ht="14.25" customHeight="1" x14ac:dyDescent="0.35"/>
    <row r="299" s="117" customFormat="1" ht="14.25" customHeight="1" x14ac:dyDescent="0.35"/>
    <row r="300" s="117" customFormat="1" ht="14.25" customHeight="1" x14ac:dyDescent="0.35"/>
    <row r="301" s="117" customFormat="1" ht="14.25" customHeight="1" x14ac:dyDescent="0.35"/>
    <row r="302" s="117" customFormat="1" ht="14.25" customHeight="1" x14ac:dyDescent="0.35"/>
    <row r="303" s="117" customFormat="1" ht="14.25" customHeight="1" x14ac:dyDescent="0.35"/>
    <row r="304" s="117" customFormat="1" ht="14.25" customHeight="1" x14ac:dyDescent="0.35"/>
    <row r="305" s="117" customFormat="1" ht="14.25" customHeight="1" x14ac:dyDescent="0.35"/>
    <row r="306" s="117" customFormat="1" ht="14.25" customHeight="1" x14ac:dyDescent="0.35"/>
    <row r="307" s="117" customFormat="1" ht="14.25" customHeight="1" x14ac:dyDescent="0.35"/>
    <row r="308" s="117" customFormat="1" ht="14.25" customHeight="1" x14ac:dyDescent="0.35"/>
    <row r="309" s="117" customFormat="1" ht="14.25" customHeight="1" x14ac:dyDescent="0.35"/>
    <row r="310" s="117" customFormat="1" ht="14.25" customHeight="1" x14ac:dyDescent="0.35"/>
    <row r="311" s="117" customFormat="1" ht="14.25" customHeight="1" x14ac:dyDescent="0.35"/>
    <row r="312" s="117" customFormat="1" ht="14.25" customHeight="1" x14ac:dyDescent="0.35"/>
    <row r="313" s="117" customFormat="1" ht="14.25" customHeight="1" x14ac:dyDescent="0.35"/>
    <row r="314" s="117" customFormat="1" ht="14.25" customHeight="1" x14ac:dyDescent="0.35"/>
    <row r="315" s="117" customFormat="1" ht="14.25" customHeight="1" x14ac:dyDescent="0.35"/>
    <row r="316" s="117" customFormat="1" ht="14.25" customHeight="1" x14ac:dyDescent="0.35"/>
    <row r="317" s="117" customFormat="1" ht="14.25" customHeight="1" x14ac:dyDescent="0.35"/>
    <row r="318" s="117" customFormat="1" ht="14.25" customHeight="1" x14ac:dyDescent="0.35"/>
    <row r="319" s="117" customFormat="1" ht="14.25" customHeight="1" x14ac:dyDescent="0.35"/>
    <row r="320" s="117" customFormat="1" ht="14.25" customHeight="1" x14ac:dyDescent="0.35"/>
    <row r="321" s="117" customFormat="1" ht="14.25" customHeight="1" x14ac:dyDescent="0.35"/>
    <row r="322" s="117" customFormat="1" ht="14.25" customHeight="1" x14ac:dyDescent="0.35"/>
    <row r="323" s="117" customFormat="1" ht="14.25" customHeight="1" x14ac:dyDescent="0.35"/>
    <row r="324" s="117" customFormat="1" ht="14.25" customHeight="1" x14ac:dyDescent="0.35"/>
    <row r="325" s="117" customFormat="1" ht="14.25" customHeight="1" x14ac:dyDescent="0.35"/>
    <row r="326" s="117" customFormat="1" ht="14.25" customHeight="1" x14ac:dyDescent="0.35"/>
    <row r="327" s="117" customFormat="1" ht="14.25" customHeight="1" x14ac:dyDescent="0.35"/>
    <row r="328" s="117" customFormat="1" ht="14.25" customHeight="1" x14ac:dyDescent="0.35"/>
    <row r="329" s="117" customFormat="1" ht="14.25" customHeight="1" x14ac:dyDescent="0.35"/>
    <row r="330" s="117" customFormat="1" ht="14.25" customHeight="1" x14ac:dyDescent="0.35"/>
    <row r="331" s="117" customFormat="1" ht="14.25" customHeight="1" x14ac:dyDescent="0.35"/>
    <row r="332" s="117" customFormat="1" ht="14.25" customHeight="1" x14ac:dyDescent="0.35"/>
    <row r="333" s="117" customFormat="1" ht="14.25" customHeight="1" x14ac:dyDescent="0.35"/>
    <row r="334" s="117" customFormat="1" ht="14.25" customHeight="1" x14ac:dyDescent="0.35"/>
    <row r="335" s="117" customFormat="1" ht="14.25" customHeight="1" x14ac:dyDescent="0.35"/>
    <row r="336" s="117" customFormat="1" ht="14.25" customHeight="1" x14ac:dyDescent="0.35"/>
    <row r="337" s="117" customFormat="1" ht="14.25" customHeight="1" x14ac:dyDescent="0.35"/>
    <row r="338" s="117" customFormat="1" ht="14.25" customHeight="1" x14ac:dyDescent="0.35"/>
    <row r="339" s="117" customFormat="1" ht="14.25" customHeight="1" x14ac:dyDescent="0.35"/>
    <row r="340" s="117" customFormat="1" ht="14.25" customHeight="1" x14ac:dyDescent="0.35"/>
    <row r="341" s="117" customFormat="1" ht="14.25" customHeight="1" x14ac:dyDescent="0.35"/>
    <row r="342" s="117" customFormat="1" ht="14.25" customHeight="1" x14ac:dyDescent="0.35"/>
    <row r="343" s="117" customFormat="1" ht="14.25" customHeight="1" x14ac:dyDescent="0.35"/>
    <row r="344" s="117" customFormat="1" ht="14.25" customHeight="1" x14ac:dyDescent="0.35"/>
    <row r="345" s="117" customFormat="1" ht="14.25" customHeight="1" x14ac:dyDescent="0.35"/>
    <row r="346" s="117" customFormat="1" ht="14.25" customHeight="1" x14ac:dyDescent="0.35"/>
    <row r="347" s="117" customFormat="1" ht="14.25" customHeight="1" x14ac:dyDescent="0.35"/>
    <row r="348" s="117" customFormat="1" ht="14.25" customHeight="1" x14ac:dyDescent="0.35"/>
    <row r="349" s="117" customFormat="1" ht="14.25" customHeight="1" x14ac:dyDescent="0.35"/>
    <row r="350" s="117" customFormat="1" ht="14.25" customHeight="1" x14ac:dyDescent="0.35"/>
    <row r="351" s="117" customFormat="1" ht="14.25" customHeight="1" x14ac:dyDescent="0.35"/>
    <row r="352" s="117" customFormat="1" ht="14.25" customHeight="1" x14ac:dyDescent="0.35"/>
    <row r="353" s="117" customFormat="1" ht="14.25" customHeight="1" x14ac:dyDescent="0.35"/>
    <row r="354" s="117" customFormat="1" ht="14.25" customHeight="1" x14ac:dyDescent="0.35"/>
    <row r="355" s="117" customFormat="1" ht="14.25" customHeight="1" x14ac:dyDescent="0.35"/>
    <row r="356" s="117" customFormat="1" ht="14.25" customHeight="1" x14ac:dyDescent="0.35"/>
    <row r="357" s="117" customFormat="1" ht="14.25" customHeight="1" x14ac:dyDescent="0.35"/>
    <row r="358" s="117" customFormat="1" ht="14.25" customHeight="1" x14ac:dyDescent="0.35"/>
    <row r="359" s="117" customFormat="1" ht="14.25" customHeight="1" x14ac:dyDescent="0.35"/>
    <row r="360" s="117" customFormat="1" ht="14.25" customHeight="1" x14ac:dyDescent="0.35"/>
    <row r="361" s="117" customFormat="1" ht="14.25" customHeight="1" x14ac:dyDescent="0.35"/>
    <row r="362" s="117" customFormat="1" ht="14.25" customHeight="1" x14ac:dyDescent="0.35"/>
    <row r="363" s="117" customFormat="1" ht="14.25" customHeight="1" x14ac:dyDescent="0.35"/>
    <row r="364" s="117" customFormat="1" ht="14.25" customHeight="1" x14ac:dyDescent="0.35"/>
    <row r="365" s="117" customFormat="1" ht="14.25" customHeight="1" x14ac:dyDescent="0.35"/>
    <row r="366" s="117" customFormat="1" ht="14.25" customHeight="1" x14ac:dyDescent="0.35"/>
    <row r="367" s="117" customFormat="1" ht="14.25" customHeight="1" x14ac:dyDescent="0.35"/>
    <row r="368" s="117" customFormat="1" ht="14.25" customHeight="1" x14ac:dyDescent="0.35"/>
    <row r="369" s="117" customFormat="1" ht="14.25" customHeight="1" x14ac:dyDescent="0.35"/>
    <row r="370" s="117" customFormat="1" ht="14.25" customHeight="1" x14ac:dyDescent="0.35"/>
    <row r="371" s="117" customFormat="1" ht="14.25" customHeight="1" x14ac:dyDescent="0.35"/>
    <row r="372" s="117" customFormat="1" ht="14.25" customHeight="1" x14ac:dyDescent="0.35"/>
    <row r="373" s="117" customFormat="1" ht="14.25" customHeight="1" x14ac:dyDescent="0.35"/>
    <row r="374" s="117" customFormat="1" ht="14.25" customHeight="1" x14ac:dyDescent="0.35"/>
    <row r="375" s="117" customFormat="1" ht="14.25" customHeight="1" x14ac:dyDescent="0.35"/>
    <row r="376" s="117" customFormat="1" ht="14.25" customHeight="1" x14ac:dyDescent="0.35"/>
    <row r="377" s="117" customFormat="1" ht="14.25" customHeight="1" x14ac:dyDescent="0.35"/>
    <row r="378" s="117" customFormat="1" ht="14.25" customHeight="1" x14ac:dyDescent="0.35"/>
    <row r="379" s="117" customFormat="1" ht="14.25" customHeight="1" x14ac:dyDescent="0.35"/>
    <row r="380" s="117" customFormat="1" ht="14.25" customHeight="1" x14ac:dyDescent="0.35"/>
    <row r="381" s="117" customFormat="1" ht="14.25" customHeight="1" x14ac:dyDescent="0.35"/>
    <row r="382" s="117" customFormat="1" ht="14.25" customHeight="1" x14ac:dyDescent="0.35"/>
    <row r="383" s="117" customFormat="1" ht="14.25" customHeight="1" x14ac:dyDescent="0.35"/>
    <row r="384" s="117" customFormat="1" ht="14.25" customHeight="1" x14ac:dyDescent="0.35"/>
    <row r="385" s="117" customFormat="1" ht="14.25" customHeight="1" x14ac:dyDescent="0.35"/>
    <row r="386" s="117" customFormat="1" ht="14.25" customHeight="1" x14ac:dyDescent="0.35"/>
    <row r="387" s="117" customFormat="1" ht="14.25" customHeight="1" x14ac:dyDescent="0.35"/>
    <row r="388" s="117" customFormat="1" ht="14.25" customHeight="1" x14ac:dyDescent="0.35"/>
    <row r="389" s="117" customFormat="1" ht="14.25" customHeight="1" x14ac:dyDescent="0.35"/>
    <row r="390" s="117" customFormat="1" ht="14.25" customHeight="1" x14ac:dyDescent="0.35"/>
    <row r="391" s="117" customFormat="1" ht="14.25" customHeight="1" x14ac:dyDescent="0.35"/>
    <row r="392" s="117" customFormat="1" ht="14.25" customHeight="1" x14ac:dyDescent="0.35"/>
    <row r="393" s="117" customFormat="1" ht="14.25" customHeight="1" x14ac:dyDescent="0.35"/>
    <row r="394" s="117" customFormat="1" ht="14.25" customHeight="1" x14ac:dyDescent="0.35"/>
    <row r="395" s="117" customFormat="1" ht="14.25" customHeight="1" x14ac:dyDescent="0.35"/>
    <row r="396" s="117" customFormat="1" ht="14.25" customHeight="1" x14ac:dyDescent="0.35"/>
    <row r="397" s="117" customFormat="1" ht="14.25" customHeight="1" x14ac:dyDescent="0.35"/>
    <row r="398" s="117" customFormat="1" ht="14.25" customHeight="1" x14ac:dyDescent="0.35"/>
    <row r="399" s="117" customFormat="1" ht="14.25" customHeight="1" x14ac:dyDescent="0.35"/>
    <row r="400" s="117" customFormat="1" ht="14.25" customHeight="1" x14ac:dyDescent="0.35"/>
    <row r="401" s="117" customFormat="1" ht="14.25" customHeight="1" x14ac:dyDescent="0.35"/>
    <row r="402" s="117" customFormat="1" ht="14.25" customHeight="1" x14ac:dyDescent="0.35"/>
    <row r="403" s="117" customFormat="1" ht="14.25" customHeight="1" x14ac:dyDescent="0.35"/>
    <row r="404" s="117" customFormat="1" ht="14.25" customHeight="1" x14ac:dyDescent="0.35"/>
    <row r="405" s="117" customFormat="1" ht="14.25" customHeight="1" x14ac:dyDescent="0.35"/>
    <row r="406" s="117" customFormat="1" ht="14.25" customHeight="1" x14ac:dyDescent="0.35"/>
    <row r="407" s="117" customFormat="1" ht="14.25" customHeight="1" x14ac:dyDescent="0.35"/>
    <row r="408" s="117" customFormat="1" ht="14.25" customHeight="1" x14ac:dyDescent="0.35"/>
    <row r="409" s="117" customFormat="1" ht="14.25" customHeight="1" x14ac:dyDescent="0.35"/>
    <row r="410" s="117" customFormat="1" ht="14.25" customHeight="1" x14ac:dyDescent="0.35"/>
    <row r="411" s="117" customFormat="1" ht="14.25" customHeight="1" x14ac:dyDescent="0.35"/>
    <row r="412" s="117" customFormat="1" ht="14.25" customHeight="1" x14ac:dyDescent="0.35"/>
    <row r="413" s="117" customFormat="1" ht="14.25" customHeight="1" x14ac:dyDescent="0.35"/>
    <row r="414" s="117" customFormat="1" ht="14.25" customHeight="1" x14ac:dyDescent="0.35"/>
    <row r="415" s="117" customFormat="1" ht="14.25" customHeight="1" x14ac:dyDescent="0.35"/>
    <row r="416" s="117" customFormat="1" ht="14.25" customHeight="1" x14ac:dyDescent="0.35"/>
    <row r="417" s="117" customFormat="1" ht="14.25" customHeight="1" x14ac:dyDescent="0.35"/>
    <row r="418" s="117" customFormat="1" ht="14.25" customHeight="1" x14ac:dyDescent="0.35"/>
    <row r="419" s="117" customFormat="1" ht="14.25" customHeight="1" x14ac:dyDescent="0.35"/>
    <row r="420" s="117" customFormat="1" ht="14.25" customHeight="1" x14ac:dyDescent="0.35"/>
    <row r="421" s="117" customFormat="1" ht="14.25" customHeight="1" x14ac:dyDescent="0.35"/>
    <row r="422" s="117" customFormat="1" ht="14.25" customHeight="1" x14ac:dyDescent="0.35"/>
    <row r="423" s="117" customFormat="1" ht="14.25" customHeight="1" x14ac:dyDescent="0.35"/>
    <row r="424" s="117" customFormat="1" ht="14.25" customHeight="1" x14ac:dyDescent="0.35"/>
    <row r="425" s="117" customFormat="1" ht="14.25" customHeight="1" x14ac:dyDescent="0.35"/>
    <row r="426" s="117" customFormat="1" ht="14.25" customHeight="1" x14ac:dyDescent="0.35"/>
    <row r="427" s="117" customFormat="1" ht="14.25" customHeight="1" x14ac:dyDescent="0.35"/>
    <row r="428" s="117" customFormat="1" ht="14.25" customHeight="1" x14ac:dyDescent="0.35"/>
    <row r="429" s="117" customFormat="1" ht="14.25" customHeight="1" x14ac:dyDescent="0.35"/>
    <row r="430" s="117" customFormat="1" ht="14.25" customHeight="1" x14ac:dyDescent="0.35"/>
    <row r="431" s="117" customFormat="1" ht="14.25" customHeight="1" x14ac:dyDescent="0.35"/>
    <row r="432" s="117" customFormat="1" ht="14.25" customHeight="1" x14ac:dyDescent="0.35"/>
    <row r="433" s="117" customFormat="1" ht="14.25" customHeight="1" x14ac:dyDescent="0.35"/>
    <row r="434" s="117" customFormat="1" ht="14.25" customHeight="1" x14ac:dyDescent="0.35"/>
    <row r="435" s="117" customFormat="1" ht="14.25" customHeight="1" x14ac:dyDescent="0.35"/>
    <row r="436" s="117" customFormat="1" ht="14.25" customHeight="1" x14ac:dyDescent="0.35"/>
    <row r="437" s="117" customFormat="1" ht="14.25" customHeight="1" x14ac:dyDescent="0.35"/>
    <row r="438" s="117" customFormat="1" ht="14.25" customHeight="1" x14ac:dyDescent="0.35"/>
    <row r="439" s="117" customFormat="1" ht="14.25" customHeight="1" x14ac:dyDescent="0.35"/>
    <row r="440" s="117" customFormat="1" ht="14.25" customHeight="1" x14ac:dyDescent="0.35"/>
    <row r="441" s="117" customFormat="1" ht="14.25" customHeight="1" x14ac:dyDescent="0.35"/>
    <row r="442" s="117" customFormat="1" ht="14.25" customHeight="1" x14ac:dyDescent="0.35"/>
    <row r="443" s="117" customFormat="1" ht="14.25" customHeight="1" x14ac:dyDescent="0.35"/>
    <row r="444" s="117" customFormat="1" ht="14.25" customHeight="1" x14ac:dyDescent="0.35"/>
    <row r="445" s="117" customFormat="1" ht="14.25" customHeight="1" x14ac:dyDescent="0.35"/>
    <row r="446" s="117" customFormat="1" ht="14.25" customHeight="1" x14ac:dyDescent="0.35"/>
    <row r="447" s="117" customFormat="1" ht="14.25" customHeight="1" x14ac:dyDescent="0.35"/>
    <row r="448" s="117" customFormat="1" ht="14.25" customHeight="1" x14ac:dyDescent="0.35"/>
    <row r="449" s="117" customFormat="1" ht="14.25" customHeight="1" x14ac:dyDescent="0.35"/>
    <row r="450" s="117" customFormat="1" ht="14.25" customHeight="1" x14ac:dyDescent="0.35"/>
    <row r="451" s="117" customFormat="1" ht="14.25" customHeight="1" x14ac:dyDescent="0.35"/>
    <row r="452" s="117" customFormat="1" ht="14.25" customHeight="1" x14ac:dyDescent="0.35"/>
    <row r="453" s="117" customFormat="1" ht="14.25" customHeight="1" x14ac:dyDescent="0.35"/>
    <row r="454" s="117" customFormat="1" ht="14.25" customHeight="1" x14ac:dyDescent="0.35"/>
    <row r="455" s="117" customFormat="1" ht="14.25" customHeight="1" x14ac:dyDescent="0.35"/>
    <row r="456" s="117" customFormat="1" ht="14.25" customHeight="1" x14ac:dyDescent="0.35"/>
    <row r="457" s="117" customFormat="1" ht="14.25" customHeight="1" x14ac:dyDescent="0.35"/>
    <row r="458" s="117" customFormat="1" ht="14.25" customHeight="1" x14ac:dyDescent="0.35"/>
    <row r="459" s="117" customFormat="1" ht="14.25" customHeight="1" x14ac:dyDescent="0.35"/>
    <row r="460" s="117" customFormat="1" ht="14.25" customHeight="1" x14ac:dyDescent="0.35"/>
    <row r="461" s="117" customFormat="1" ht="14.25" customHeight="1" x14ac:dyDescent="0.35"/>
    <row r="462" s="117" customFormat="1" ht="14.25" customHeight="1" x14ac:dyDescent="0.35"/>
    <row r="463" s="117" customFormat="1" ht="14.25" customHeight="1" x14ac:dyDescent="0.35"/>
    <row r="464" s="117" customFormat="1" ht="14.25" customHeight="1" x14ac:dyDescent="0.35"/>
    <row r="465" s="117" customFormat="1" ht="14.25" customHeight="1" x14ac:dyDescent="0.35"/>
    <row r="466" s="117" customFormat="1" ht="14.25" customHeight="1" x14ac:dyDescent="0.35"/>
    <row r="467" s="117" customFormat="1" ht="14.25" customHeight="1" x14ac:dyDescent="0.35"/>
    <row r="468" s="117" customFormat="1" ht="14.25" customHeight="1" x14ac:dyDescent="0.35"/>
    <row r="469" s="117" customFormat="1" ht="14.25" customHeight="1" x14ac:dyDescent="0.35"/>
    <row r="470" s="117" customFormat="1" ht="14.25" customHeight="1" x14ac:dyDescent="0.35"/>
    <row r="471" s="117" customFormat="1" ht="14.25" customHeight="1" x14ac:dyDescent="0.35"/>
    <row r="472" s="117" customFormat="1" ht="14.25" customHeight="1" x14ac:dyDescent="0.35"/>
    <row r="473" s="117" customFormat="1" ht="14.25" customHeight="1" x14ac:dyDescent="0.35"/>
    <row r="474" s="117" customFormat="1" ht="14.25" customHeight="1" x14ac:dyDescent="0.35"/>
    <row r="475" s="117" customFormat="1" ht="14.25" customHeight="1" x14ac:dyDescent="0.35"/>
    <row r="476" s="117" customFormat="1" ht="14.25" customHeight="1" x14ac:dyDescent="0.35"/>
    <row r="477" s="117" customFormat="1" ht="14.25" customHeight="1" x14ac:dyDescent="0.35"/>
    <row r="478" s="117" customFormat="1" ht="14.25" customHeight="1" x14ac:dyDescent="0.35"/>
    <row r="479" s="117" customFormat="1" ht="14.25" customHeight="1" x14ac:dyDescent="0.35"/>
    <row r="480" s="117" customFormat="1" ht="14.25" customHeight="1" x14ac:dyDescent="0.35"/>
    <row r="481" s="117" customFormat="1" ht="14.25" customHeight="1" x14ac:dyDescent="0.35"/>
    <row r="482" s="117" customFormat="1" ht="14.25" customHeight="1" x14ac:dyDescent="0.35"/>
    <row r="483" s="117" customFormat="1" ht="14.25" customHeight="1" x14ac:dyDescent="0.35"/>
    <row r="484" s="117" customFormat="1" ht="14.25" customHeight="1" x14ac:dyDescent="0.35"/>
    <row r="485" s="117" customFormat="1" ht="14.25" customHeight="1" x14ac:dyDescent="0.35"/>
    <row r="486" s="117" customFormat="1" ht="14.25" customHeight="1" x14ac:dyDescent="0.35"/>
    <row r="487" s="117" customFormat="1" ht="14.25" customHeight="1" x14ac:dyDescent="0.35"/>
    <row r="488" s="117" customFormat="1" ht="14.25" customHeight="1" x14ac:dyDescent="0.35"/>
    <row r="489" s="117" customFormat="1" ht="14.25" customHeight="1" x14ac:dyDescent="0.35"/>
    <row r="490" s="117" customFormat="1" ht="14.25" customHeight="1" x14ac:dyDescent="0.35"/>
    <row r="491" s="117" customFormat="1" ht="14.25" customHeight="1" x14ac:dyDescent="0.35"/>
    <row r="492" s="117" customFormat="1" ht="14.25" customHeight="1" x14ac:dyDescent="0.35"/>
    <row r="493" s="117" customFormat="1" ht="14.25" customHeight="1" x14ac:dyDescent="0.35"/>
    <row r="494" s="117" customFormat="1" ht="14.25" customHeight="1" x14ac:dyDescent="0.35"/>
    <row r="495" s="117" customFormat="1" ht="14.25" customHeight="1" x14ac:dyDescent="0.35"/>
    <row r="496" s="117" customFormat="1" ht="14.25" customHeight="1" x14ac:dyDescent="0.35"/>
    <row r="497" s="117" customFormat="1" ht="14.25" customHeight="1" x14ac:dyDescent="0.35"/>
    <row r="498" s="117" customFormat="1" ht="14.25" customHeight="1" x14ac:dyDescent="0.35"/>
    <row r="499" s="117" customFormat="1" ht="14.25" customHeight="1" x14ac:dyDescent="0.35"/>
    <row r="500" s="117" customFormat="1" ht="14.25" customHeight="1" x14ac:dyDescent="0.35"/>
    <row r="501" s="117" customFormat="1" ht="14.25" customHeight="1" x14ac:dyDescent="0.35"/>
    <row r="502" s="117" customFormat="1" ht="14.25" customHeight="1" x14ac:dyDescent="0.35"/>
    <row r="503" s="117" customFormat="1" ht="14.25" customHeight="1" x14ac:dyDescent="0.35"/>
    <row r="504" s="117" customFormat="1" ht="14.25" customHeight="1" x14ac:dyDescent="0.35"/>
    <row r="505" s="117" customFormat="1" ht="14.25" customHeight="1" x14ac:dyDescent="0.35"/>
    <row r="506" s="117" customFormat="1" ht="14.25" customHeight="1" x14ac:dyDescent="0.35"/>
    <row r="507" s="117" customFormat="1" ht="14.25" customHeight="1" x14ac:dyDescent="0.35"/>
    <row r="508" s="117" customFormat="1" ht="14.25" customHeight="1" x14ac:dyDescent="0.35"/>
    <row r="509" s="117" customFormat="1" ht="14.25" customHeight="1" x14ac:dyDescent="0.35"/>
    <row r="510" s="117" customFormat="1" ht="14.25" customHeight="1" x14ac:dyDescent="0.35"/>
    <row r="511" s="117" customFormat="1" ht="14.25" customHeight="1" x14ac:dyDescent="0.35"/>
    <row r="512" s="117" customFormat="1" ht="14.25" customHeight="1" x14ac:dyDescent="0.35"/>
    <row r="513" s="117" customFormat="1" ht="14.25" customHeight="1" x14ac:dyDescent="0.35"/>
    <row r="514" s="117" customFormat="1" ht="14.25" customHeight="1" x14ac:dyDescent="0.35"/>
    <row r="515" s="117" customFormat="1" ht="14.25" customHeight="1" x14ac:dyDescent="0.35"/>
    <row r="516" s="117" customFormat="1" ht="14.25" customHeight="1" x14ac:dyDescent="0.35"/>
    <row r="517" s="117" customFormat="1" ht="14.25" customHeight="1" x14ac:dyDescent="0.35"/>
    <row r="518" s="117" customFormat="1" ht="14.25" customHeight="1" x14ac:dyDescent="0.35"/>
    <row r="519" s="117" customFormat="1" ht="14.25" customHeight="1" x14ac:dyDescent="0.35"/>
    <row r="520" s="117" customFormat="1" ht="14.25" customHeight="1" x14ac:dyDescent="0.35"/>
    <row r="521" s="117" customFormat="1" ht="14.25" customHeight="1" x14ac:dyDescent="0.35"/>
    <row r="522" s="117" customFormat="1" ht="14.25" customHeight="1" x14ac:dyDescent="0.35"/>
    <row r="523" s="117" customFormat="1" ht="14.25" customHeight="1" x14ac:dyDescent="0.35"/>
    <row r="524" s="117" customFormat="1" ht="14.25" customHeight="1" x14ac:dyDescent="0.35"/>
    <row r="525" s="117" customFormat="1" ht="14.25" customHeight="1" x14ac:dyDescent="0.35"/>
    <row r="526" s="117" customFormat="1" ht="14.25" customHeight="1" x14ac:dyDescent="0.35"/>
    <row r="527" s="117" customFormat="1" ht="14.25" customHeight="1" x14ac:dyDescent="0.35"/>
    <row r="528" s="117" customFormat="1" ht="14.25" customHeight="1" x14ac:dyDescent="0.35"/>
    <row r="529" s="117" customFormat="1" ht="14.25" customHeight="1" x14ac:dyDescent="0.35"/>
    <row r="530" s="117" customFormat="1" ht="14.25" customHeight="1" x14ac:dyDescent="0.35"/>
    <row r="531" s="117" customFormat="1" ht="14.25" customHeight="1" x14ac:dyDescent="0.35"/>
    <row r="532" s="117" customFormat="1" ht="14.25" customHeight="1" x14ac:dyDescent="0.35"/>
    <row r="533" s="117" customFormat="1" ht="14.25" customHeight="1" x14ac:dyDescent="0.35"/>
    <row r="534" s="117" customFormat="1" ht="14.25" customHeight="1" x14ac:dyDescent="0.35"/>
    <row r="535" s="117" customFormat="1" ht="14.25" customHeight="1" x14ac:dyDescent="0.35"/>
    <row r="536" s="117" customFormat="1" ht="14.25" customHeight="1" x14ac:dyDescent="0.35"/>
    <row r="537" s="117" customFormat="1" ht="14.25" customHeight="1" x14ac:dyDescent="0.35"/>
    <row r="538" s="117" customFormat="1" ht="14.25" customHeight="1" x14ac:dyDescent="0.35"/>
    <row r="539" s="117" customFormat="1" ht="14.25" customHeight="1" x14ac:dyDescent="0.35"/>
    <row r="540" s="117" customFormat="1" ht="14.25" customHeight="1" x14ac:dyDescent="0.35"/>
    <row r="541" s="117" customFormat="1" ht="14.25" customHeight="1" x14ac:dyDescent="0.35"/>
    <row r="542" s="117" customFormat="1" ht="14.25" customHeight="1" x14ac:dyDescent="0.35"/>
    <row r="543" s="117" customFormat="1" ht="14.25" customHeight="1" x14ac:dyDescent="0.35"/>
    <row r="544" s="117" customFormat="1" ht="14.25" customHeight="1" x14ac:dyDescent="0.35"/>
    <row r="545" s="117" customFormat="1" ht="14.25" customHeight="1" x14ac:dyDescent="0.35"/>
    <row r="546" s="117" customFormat="1" ht="14.25" customHeight="1" x14ac:dyDescent="0.35"/>
    <row r="547" s="117" customFormat="1" ht="14.25" customHeight="1" x14ac:dyDescent="0.35"/>
    <row r="548" s="117" customFormat="1" ht="14.25" customHeight="1" x14ac:dyDescent="0.35"/>
    <row r="549" s="117" customFormat="1" ht="14.25" customHeight="1" x14ac:dyDescent="0.35"/>
    <row r="550" s="117" customFormat="1" ht="14.25" customHeight="1" x14ac:dyDescent="0.35"/>
    <row r="551" s="117" customFormat="1" ht="14.25" customHeight="1" x14ac:dyDescent="0.35"/>
    <row r="552" s="117" customFormat="1" ht="14.25" customHeight="1" x14ac:dyDescent="0.35"/>
    <row r="553" s="117" customFormat="1" ht="14.25" customHeight="1" x14ac:dyDescent="0.35"/>
    <row r="554" s="117" customFormat="1" ht="14.25" customHeight="1" x14ac:dyDescent="0.35"/>
    <row r="555" s="117" customFormat="1" ht="14.25" customHeight="1" x14ac:dyDescent="0.35"/>
    <row r="556" s="117" customFormat="1" ht="14.25" customHeight="1" x14ac:dyDescent="0.35"/>
    <row r="557" s="117" customFormat="1" ht="14.25" customHeight="1" x14ac:dyDescent="0.35"/>
    <row r="558" s="117" customFormat="1" ht="14.25" customHeight="1" x14ac:dyDescent="0.35"/>
    <row r="559" s="117" customFormat="1" ht="14.25" customHeight="1" x14ac:dyDescent="0.35"/>
    <row r="560" s="117" customFormat="1" ht="14.25" customHeight="1" x14ac:dyDescent="0.35"/>
    <row r="561" s="117" customFormat="1" ht="14.25" customHeight="1" x14ac:dyDescent="0.35"/>
    <row r="562" s="117" customFormat="1" ht="14.25" customHeight="1" x14ac:dyDescent="0.35"/>
    <row r="563" s="117" customFormat="1" ht="14.25" customHeight="1" x14ac:dyDescent="0.35"/>
    <row r="564" s="117" customFormat="1" ht="14.25" customHeight="1" x14ac:dyDescent="0.35"/>
    <row r="565" s="117" customFormat="1" ht="14.25" customHeight="1" x14ac:dyDescent="0.35"/>
    <row r="566" s="117" customFormat="1" ht="14.25" customHeight="1" x14ac:dyDescent="0.35"/>
    <row r="567" s="117" customFormat="1" ht="14.25" customHeight="1" x14ac:dyDescent="0.35"/>
    <row r="568" s="117" customFormat="1" ht="14.25" customHeight="1" x14ac:dyDescent="0.35"/>
    <row r="569" s="117" customFormat="1" ht="14.25" customHeight="1" x14ac:dyDescent="0.35"/>
    <row r="570" s="117" customFormat="1" ht="14.25" customHeight="1" x14ac:dyDescent="0.35"/>
    <row r="571" s="117" customFormat="1" ht="14.25" customHeight="1" x14ac:dyDescent="0.35"/>
    <row r="572" s="117" customFormat="1" ht="14.25" customHeight="1" x14ac:dyDescent="0.35"/>
    <row r="573" s="117" customFormat="1" ht="14.25" customHeight="1" x14ac:dyDescent="0.35"/>
    <row r="574" s="117" customFormat="1" ht="14.25" customHeight="1" x14ac:dyDescent="0.35"/>
    <row r="575" s="117" customFormat="1" ht="14.25" customHeight="1" x14ac:dyDescent="0.35"/>
    <row r="576" s="117" customFormat="1" ht="14.25" customHeight="1" x14ac:dyDescent="0.35"/>
    <row r="577" s="117" customFormat="1" ht="14.25" customHeight="1" x14ac:dyDescent="0.35"/>
    <row r="578" s="117" customFormat="1" ht="14.25" customHeight="1" x14ac:dyDescent="0.35"/>
    <row r="579" s="117" customFormat="1" ht="14.25" customHeight="1" x14ac:dyDescent="0.35"/>
    <row r="580" s="117" customFormat="1" ht="14.25" customHeight="1" x14ac:dyDescent="0.35"/>
    <row r="581" s="117" customFormat="1" ht="14.25" customHeight="1" x14ac:dyDescent="0.35"/>
    <row r="582" s="117" customFormat="1" ht="14.25" customHeight="1" x14ac:dyDescent="0.35"/>
    <row r="583" s="117" customFormat="1" ht="14.25" customHeight="1" x14ac:dyDescent="0.35"/>
    <row r="584" s="117" customFormat="1" ht="14.25" customHeight="1" x14ac:dyDescent="0.35"/>
    <row r="585" s="117" customFormat="1" ht="14.25" customHeight="1" x14ac:dyDescent="0.35"/>
    <row r="586" s="117" customFormat="1" ht="14.25" customHeight="1" x14ac:dyDescent="0.35"/>
    <row r="587" s="117" customFormat="1" ht="14.25" customHeight="1" x14ac:dyDescent="0.35"/>
    <row r="588" s="117" customFormat="1" ht="14.25" customHeight="1" x14ac:dyDescent="0.35"/>
    <row r="589" s="117" customFormat="1" ht="14.25" customHeight="1" x14ac:dyDescent="0.35"/>
    <row r="590" s="117" customFormat="1" ht="14.25" customHeight="1" x14ac:dyDescent="0.35"/>
    <row r="591" s="117" customFormat="1" ht="14.25" customHeight="1" x14ac:dyDescent="0.35"/>
    <row r="592" s="117" customFormat="1" ht="14.25" customHeight="1" x14ac:dyDescent="0.35"/>
    <row r="593" s="117" customFormat="1" ht="14.25" customHeight="1" x14ac:dyDescent="0.35"/>
    <row r="594" s="117" customFormat="1" ht="14.25" customHeight="1" x14ac:dyDescent="0.35"/>
    <row r="595" s="117" customFormat="1" ht="14.25" customHeight="1" x14ac:dyDescent="0.35"/>
    <row r="596" s="117" customFormat="1" ht="14.25" customHeight="1" x14ac:dyDescent="0.35"/>
    <row r="597" s="117" customFormat="1" ht="14.25" customHeight="1" x14ac:dyDescent="0.35"/>
    <row r="598" s="117" customFormat="1" ht="14.25" customHeight="1" x14ac:dyDescent="0.35"/>
    <row r="599" s="117" customFormat="1" ht="14.25" customHeight="1" x14ac:dyDescent="0.35"/>
    <row r="600" s="117" customFormat="1" ht="14.25" customHeight="1" x14ac:dyDescent="0.35"/>
    <row r="601" s="117" customFormat="1" ht="14.25" customHeight="1" x14ac:dyDescent="0.35"/>
    <row r="602" s="117" customFormat="1" ht="14.25" customHeight="1" x14ac:dyDescent="0.35"/>
    <row r="603" s="117" customFormat="1" ht="14.25" customHeight="1" x14ac:dyDescent="0.35"/>
    <row r="604" s="117" customFormat="1" ht="14.25" customHeight="1" x14ac:dyDescent="0.35"/>
    <row r="605" s="117" customFormat="1" ht="14.25" customHeight="1" x14ac:dyDescent="0.35"/>
    <row r="606" s="117" customFormat="1" ht="14.25" customHeight="1" x14ac:dyDescent="0.35"/>
    <row r="607" s="117" customFormat="1" ht="14.25" customHeight="1" x14ac:dyDescent="0.35"/>
    <row r="608" s="117" customFormat="1" ht="14.25" customHeight="1" x14ac:dyDescent="0.35"/>
    <row r="609" s="117" customFormat="1" ht="14.25" customHeight="1" x14ac:dyDescent="0.35"/>
    <row r="610" s="117" customFormat="1" ht="14.25" customHeight="1" x14ac:dyDescent="0.35"/>
    <row r="611" s="117" customFormat="1" ht="14.25" customHeight="1" x14ac:dyDescent="0.35"/>
    <row r="612" s="117" customFormat="1" ht="14.25" customHeight="1" x14ac:dyDescent="0.35"/>
    <row r="613" s="117" customFormat="1" ht="14.25" customHeight="1" x14ac:dyDescent="0.35"/>
    <row r="614" s="117" customFormat="1" ht="14.25" customHeight="1" x14ac:dyDescent="0.35"/>
    <row r="615" s="117" customFormat="1" ht="14.25" customHeight="1" x14ac:dyDescent="0.35"/>
    <row r="616" s="117" customFormat="1" ht="14.25" customHeight="1" x14ac:dyDescent="0.35"/>
    <row r="617" s="117" customFormat="1" ht="14.25" customHeight="1" x14ac:dyDescent="0.35"/>
    <row r="618" s="117" customFormat="1" ht="14.25" customHeight="1" x14ac:dyDescent="0.35"/>
    <row r="619" s="117" customFormat="1" ht="14.25" customHeight="1" x14ac:dyDescent="0.35"/>
    <row r="620" s="117" customFormat="1" ht="14.25" customHeight="1" x14ac:dyDescent="0.35"/>
    <row r="621" s="117" customFormat="1" ht="14.25" customHeight="1" x14ac:dyDescent="0.35"/>
    <row r="622" s="117" customFormat="1" ht="14.25" customHeight="1" x14ac:dyDescent="0.35"/>
    <row r="623" s="117" customFormat="1" ht="14.25" customHeight="1" x14ac:dyDescent="0.35"/>
    <row r="624" s="117" customFormat="1" ht="14.25" customHeight="1" x14ac:dyDescent="0.35"/>
    <row r="625" s="117" customFormat="1" ht="14.25" customHeight="1" x14ac:dyDescent="0.35"/>
    <row r="626" s="117" customFormat="1" ht="14.25" customHeight="1" x14ac:dyDescent="0.35"/>
    <row r="627" s="117" customFormat="1" ht="14.25" customHeight="1" x14ac:dyDescent="0.35"/>
    <row r="628" s="117" customFormat="1" ht="14.25" customHeight="1" x14ac:dyDescent="0.35"/>
    <row r="629" s="117" customFormat="1" ht="14.25" customHeight="1" x14ac:dyDescent="0.35"/>
    <row r="630" s="117" customFormat="1" ht="14.25" customHeight="1" x14ac:dyDescent="0.35"/>
    <row r="631" s="117" customFormat="1" ht="14.25" customHeight="1" x14ac:dyDescent="0.35"/>
    <row r="632" s="117" customFormat="1" ht="14.25" customHeight="1" x14ac:dyDescent="0.35"/>
    <row r="633" s="117" customFormat="1" ht="14.25" customHeight="1" x14ac:dyDescent="0.35"/>
    <row r="634" s="117" customFormat="1" ht="14.25" customHeight="1" x14ac:dyDescent="0.35"/>
    <row r="635" s="117" customFormat="1" ht="14.25" customHeight="1" x14ac:dyDescent="0.35"/>
    <row r="636" s="117" customFormat="1" ht="14.25" customHeight="1" x14ac:dyDescent="0.35"/>
    <row r="637" s="117" customFormat="1" ht="14.25" customHeight="1" x14ac:dyDescent="0.35"/>
    <row r="638" s="117" customFormat="1" ht="14.25" customHeight="1" x14ac:dyDescent="0.35"/>
    <row r="639" s="117" customFormat="1" ht="14.25" customHeight="1" x14ac:dyDescent="0.35"/>
    <row r="640" s="117" customFormat="1" ht="14.25" customHeight="1" x14ac:dyDescent="0.35"/>
    <row r="641" s="117" customFormat="1" ht="14.25" customHeight="1" x14ac:dyDescent="0.35"/>
    <row r="642" s="117" customFormat="1" ht="14.25" customHeight="1" x14ac:dyDescent="0.35"/>
    <row r="643" s="117" customFormat="1" ht="14.25" customHeight="1" x14ac:dyDescent="0.35"/>
    <row r="644" s="117" customFormat="1" ht="14.25" customHeight="1" x14ac:dyDescent="0.35"/>
    <row r="645" s="117" customFormat="1" ht="14.25" customHeight="1" x14ac:dyDescent="0.35"/>
    <row r="646" s="117" customFormat="1" ht="14.25" customHeight="1" x14ac:dyDescent="0.35"/>
    <row r="647" s="117" customFormat="1" ht="14.25" customHeight="1" x14ac:dyDescent="0.35"/>
    <row r="648" s="117" customFormat="1" ht="14.25" customHeight="1" x14ac:dyDescent="0.35"/>
    <row r="649" s="117" customFormat="1" ht="14.25" customHeight="1" x14ac:dyDescent="0.35"/>
    <row r="650" s="117" customFormat="1" ht="14.25" customHeight="1" x14ac:dyDescent="0.35"/>
    <row r="651" s="117" customFormat="1" ht="14.25" customHeight="1" x14ac:dyDescent="0.35"/>
    <row r="652" s="117" customFormat="1" ht="14.25" customHeight="1" x14ac:dyDescent="0.35"/>
    <row r="653" s="117" customFormat="1" ht="14.25" customHeight="1" x14ac:dyDescent="0.35"/>
    <row r="654" s="117" customFormat="1" ht="14.25" customHeight="1" x14ac:dyDescent="0.35"/>
    <row r="655" s="117" customFormat="1" ht="14.25" customHeight="1" x14ac:dyDescent="0.35"/>
    <row r="656" s="117" customFormat="1" ht="14.25" customHeight="1" x14ac:dyDescent="0.35"/>
    <row r="657" s="117" customFormat="1" ht="14.25" customHeight="1" x14ac:dyDescent="0.35"/>
    <row r="658" s="117" customFormat="1" ht="14.25" customHeight="1" x14ac:dyDescent="0.35"/>
    <row r="659" s="117" customFormat="1" ht="14.25" customHeight="1" x14ac:dyDescent="0.35"/>
    <row r="660" s="117" customFormat="1" ht="14.25" customHeight="1" x14ac:dyDescent="0.35"/>
    <row r="661" s="117" customFormat="1" ht="14.25" customHeight="1" x14ac:dyDescent="0.35"/>
    <row r="662" s="117" customFormat="1" ht="14.25" customHeight="1" x14ac:dyDescent="0.35"/>
    <row r="663" s="117" customFormat="1" ht="14.25" customHeight="1" x14ac:dyDescent="0.35"/>
    <row r="664" s="117" customFormat="1" ht="14.25" customHeight="1" x14ac:dyDescent="0.35"/>
    <row r="665" s="117" customFormat="1" ht="14.25" customHeight="1" x14ac:dyDescent="0.35"/>
    <row r="666" s="117" customFormat="1" ht="14.25" customHeight="1" x14ac:dyDescent="0.35"/>
    <row r="667" s="117" customFormat="1" ht="14.25" customHeight="1" x14ac:dyDescent="0.35"/>
    <row r="668" s="117" customFormat="1" ht="14.25" customHeight="1" x14ac:dyDescent="0.35"/>
    <row r="669" s="117" customFormat="1" ht="14.25" customHeight="1" x14ac:dyDescent="0.35"/>
    <row r="670" s="117" customFormat="1" ht="14.25" customHeight="1" x14ac:dyDescent="0.35"/>
    <row r="671" s="117" customFormat="1" ht="14.25" customHeight="1" x14ac:dyDescent="0.35"/>
    <row r="672" s="117" customFormat="1" ht="14.25" customHeight="1" x14ac:dyDescent="0.35"/>
    <row r="673" s="117" customFormat="1" ht="14.25" customHeight="1" x14ac:dyDescent="0.35"/>
    <row r="674" s="117" customFormat="1" ht="14.25" customHeight="1" x14ac:dyDescent="0.35"/>
    <row r="675" s="117" customFormat="1" ht="14.25" customHeight="1" x14ac:dyDescent="0.35"/>
    <row r="676" s="117" customFormat="1" ht="14.25" customHeight="1" x14ac:dyDescent="0.35"/>
    <row r="677" s="117" customFormat="1" ht="14.25" customHeight="1" x14ac:dyDescent="0.35"/>
    <row r="678" s="117" customFormat="1" ht="14.25" customHeight="1" x14ac:dyDescent="0.35"/>
    <row r="679" s="117" customFormat="1" ht="14.25" customHeight="1" x14ac:dyDescent="0.35"/>
    <row r="680" s="117" customFormat="1" ht="14.25" customHeight="1" x14ac:dyDescent="0.35"/>
    <row r="681" s="117" customFormat="1" ht="14.25" customHeight="1" x14ac:dyDescent="0.35"/>
    <row r="682" s="117" customFormat="1" ht="14.25" customHeight="1" x14ac:dyDescent="0.35"/>
    <row r="683" s="117" customFormat="1" ht="14.25" customHeight="1" x14ac:dyDescent="0.35"/>
    <row r="684" s="117" customFormat="1" ht="14.25" customHeight="1" x14ac:dyDescent="0.35"/>
    <row r="685" s="117" customFormat="1" ht="14.25" customHeight="1" x14ac:dyDescent="0.35"/>
    <row r="686" s="117" customFormat="1" ht="14.25" customHeight="1" x14ac:dyDescent="0.35"/>
    <row r="687" s="117" customFormat="1" ht="14.25" customHeight="1" x14ac:dyDescent="0.35"/>
    <row r="688" s="117" customFormat="1" ht="14.25" customHeight="1" x14ac:dyDescent="0.35"/>
    <row r="689" s="117" customFormat="1" ht="14.25" customHeight="1" x14ac:dyDescent="0.35"/>
    <row r="690" s="117" customFormat="1" ht="14.25" customHeight="1" x14ac:dyDescent="0.35"/>
    <row r="691" s="117" customFormat="1" ht="14.25" customHeight="1" x14ac:dyDescent="0.35"/>
    <row r="692" s="117" customFormat="1" ht="14.25" customHeight="1" x14ac:dyDescent="0.35"/>
    <row r="693" s="117" customFormat="1" ht="14.25" customHeight="1" x14ac:dyDescent="0.35"/>
    <row r="694" s="117" customFormat="1" ht="14.25" customHeight="1" x14ac:dyDescent="0.35"/>
    <row r="695" s="117" customFormat="1" ht="14.25" customHeight="1" x14ac:dyDescent="0.35"/>
    <row r="696" s="117" customFormat="1" ht="14.25" customHeight="1" x14ac:dyDescent="0.35"/>
    <row r="697" s="117" customFormat="1" ht="14.25" customHeight="1" x14ac:dyDescent="0.35"/>
    <row r="698" s="117" customFormat="1" ht="14.25" customHeight="1" x14ac:dyDescent="0.35"/>
    <row r="699" s="117" customFormat="1" ht="14.25" customHeight="1" x14ac:dyDescent="0.35"/>
    <row r="700" s="117" customFormat="1" ht="14.25" customHeight="1" x14ac:dyDescent="0.35"/>
    <row r="701" s="117" customFormat="1" ht="14.25" customHeight="1" x14ac:dyDescent="0.35"/>
    <row r="702" s="117" customFormat="1" ht="14.25" customHeight="1" x14ac:dyDescent="0.35"/>
    <row r="703" s="117" customFormat="1" ht="14.25" customHeight="1" x14ac:dyDescent="0.35"/>
    <row r="704" s="117" customFormat="1" ht="14.25" customHeight="1" x14ac:dyDescent="0.35"/>
    <row r="705" s="117" customFormat="1" ht="14.25" customHeight="1" x14ac:dyDescent="0.35"/>
    <row r="706" s="117" customFormat="1" ht="14.25" customHeight="1" x14ac:dyDescent="0.35"/>
    <row r="707" s="117" customFormat="1" ht="14.25" customHeight="1" x14ac:dyDescent="0.35"/>
    <row r="708" s="117" customFormat="1" ht="14.25" customHeight="1" x14ac:dyDescent="0.35"/>
    <row r="709" s="117" customFormat="1" ht="14.25" customHeight="1" x14ac:dyDescent="0.35"/>
    <row r="710" s="117" customFormat="1" ht="14.25" customHeight="1" x14ac:dyDescent="0.35"/>
    <row r="711" s="117" customFormat="1" ht="14.25" customHeight="1" x14ac:dyDescent="0.35"/>
    <row r="712" s="117" customFormat="1" ht="14.25" customHeight="1" x14ac:dyDescent="0.35"/>
    <row r="713" s="117" customFormat="1" ht="14.25" customHeight="1" x14ac:dyDescent="0.35"/>
    <row r="714" s="117" customFormat="1" ht="14.25" customHeight="1" x14ac:dyDescent="0.35"/>
    <row r="715" s="117" customFormat="1" ht="14.25" customHeight="1" x14ac:dyDescent="0.35"/>
    <row r="716" s="117" customFormat="1" ht="14.25" customHeight="1" x14ac:dyDescent="0.35"/>
    <row r="717" s="117" customFormat="1" ht="14.25" customHeight="1" x14ac:dyDescent="0.35"/>
    <row r="718" s="117" customFormat="1" ht="14.25" customHeight="1" x14ac:dyDescent="0.35"/>
    <row r="719" s="117" customFormat="1" ht="14.25" customHeight="1" x14ac:dyDescent="0.35"/>
    <row r="720" s="117" customFormat="1" ht="14.25" customHeight="1" x14ac:dyDescent="0.35"/>
    <row r="721" s="117" customFormat="1" ht="14.25" customHeight="1" x14ac:dyDescent="0.35"/>
    <row r="722" s="117" customFormat="1" ht="14.25" customHeight="1" x14ac:dyDescent="0.35"/>
    <row r="723" s="117" customFormat="1" ht="14.25" customHeight="1" x14ac:dyDescent="0.35"/>
    <row r="724" s="117" customFormat="1" ht="14.25" customHeight="1" x14ac:dyDescent="0.35"/>
    <row r="725" s="117" customFormat="1" ht="14.25" customHeight="1" x14ac:dyDescent="0.35"/>
    <row r="726" s="117" customFormat="1" ht="14.25" customHeight="1" x14ac:dyDescent="0.35"/>
    <row r="727" s="117" customFormat="1" ht="14.25" customHeight="1" x14ac:dyDescent="0.35"/>
    <row r="728" s="117" customFormat="1" ht="14.25" customHeight="1" x14ac:dyDescent="0.35"/>
    <row r="729" s="117" customFormat="1" ht="14.25" customHeight="1" x14ac:dyDescent="0.35"/>
    <row r="730" s="117" customFormat="1" ht="14.25" customHeight="1" x14ac:dyDescent="0.35"/>
    <row r="731" s="117" customFormat="1" ht="14.25" customHeight="1" x14ac:dyDescent="0.35"/>
    <row r="732" s="117" customFormat="1" ht="14.25" customHeight="1" x14ac:dyDescent="0.35"/>
    <row r="733" s="117" customFormat="1" ht="14.25" customHeight="1" x14ac:dyDescent="0.35"/>
    <row r="734" s="117" customFormat="1" ht="14.25" customHeight="1" x14ac:dyDescent="0.35"/>
    <row r="735" s="117" customFormat="1" ht="14.25" customHeight="1" x14ac:dyDescent="0.35"/>
    <row r="736" s="117" customFormat="1" ht="14.25" customHeight="1" x14ac:dyDescent="0.35"/>
    <row r="737" s="117" customFormat="1" ht="14.25" customHeight="1" x14ac:dyDescent="0.35"/>
    <row r="738" s="117" customFormat="1" ht="14.25" customHeight="1" x14ac:dyDescent="0.35"/>
    <row r="739" s="117" customFormat="1" ht="14.25" customHeight="1" x14ac:dyDescent="0.35"/>
    <row r="740" s="117" customFormat="1" ht="14.25" customHeight="1" x14ac:dyDescent="0.35"/>
    <row r="741" s="117" customFormat="1" ht="14.25" customHeight="1" x14ac:dyDescent="0.35"/>
    <row r="742" s="117" customFormat="1" ht="14.25" customHeight="1" x14ac:dyDescent="0.35"/>
    <row r="743" s="117" customFormat="1" ht="14.25" customHeight="1" x14ac:dyDescent="0.35"/>
    <row r="744" s="117" customFormat="1" ht="14.25" customHeight="1" x14ac:dyDescent="0.35"/>
    <row r="745" s="117" customFormat="1" ht="14.25" customHeight="1" x14ac:dyDescent="0.35"/>
    <row r="746" s="117" customFormat="1" ht="14.25" customHeight="1" x14ac:dyDescent="0.35"/>
    <row r="747" s="117" customFormat="1" ht="14.25" customHeight="1" x14ac:dyDescent="0.35"/>
    <row r="748" s="117" customFormat="1" ht="14.25" customHeight="1" x14ac:dyDescent="0.35"/>
    <row r="749" s="117" customFormat="1" ht="14.25" customHeight="1" x14ac:dyDescent="0.35"/>
    <row r="750" s="117" customFormat="1" ht="14.25" customHeight="1" x14ac:dyDescent="0.35"/>
    <row r="751" s="117" customFormat="1" ht="14.25" customHeight="1" x14ac:dyDescent="0.35"/>
    <row r="752" s="117" customFormat="1" ht="14.25" customHeight="1" x14ac:dyDescent="0.35"/>
    <row r="753" s="117" customFormat="1" ht="14.25" customHeight="1" x14ac:dyDescent="0.35"/>
    <row r="754" s="117" customFormat="1" ht="14.25" customHeight="1" x14ac:dyDescent="0.35"/>
    <row r="755" s="117" customFormat="1" ht="14.25" customHeight="1" x14ac:dyDescent="0.35"/>
    <row r="756" s="117" customFormat="1" ht="14.25" customHeight="1" x14ac:dyDescent="0.35"/>
    <row r="757" s="117" customFormat="1" ht="14.25" customHeight="1" x14ac:dyDescent="0.35"/>
    <row r="758" s="117" customFormat="1" ht="14.25" customHeight="1" x14ac:dyDescent="0.35"/>
    <row r="759" s="117" customFormat="1" ht="14.25" customHeight="1" x14ac:dyDescent="0.35"/>
    <row r="760" s="117" customFormat="1" ht="14.25" customHeight="1" x14ac:dyDescent="0.35"/>
    <row r="761" s="117" customFormat="1" ht="14.25" customHeight="1" x14ac:dyDescent="0.35"/>
    <row r="762" s="117" customFormat="1" ht="14.25" customHeight="1" x14ac:dyDescent="0.35"/>
    <row r="763" s="117" customFormat="1" ht="14.25" customHeight="1" x14ac:dyDescent="0.35"/>
    <row r="764" s="117" customFormat="1" ht="14.25" customHeight="1" x14ac:dyDescent="0.35"/>
    <row r="765" s="117" customFormat="1" ht="14.25" customHeight="1" x14ac:dyDescent="0.35"/>
    <row r="766" s="117" customFormat="1" ht="14.25" customHeight="1" x14ac:dyDescent="0.35"/>
    <row r="767" s="117" customFormat="1" ht="14.25" customHeight="1" x14ac:dyDescent="0.35"/>
    <row r="768" s="117" customFormat="1" ht="14.25" customHeight="1" x14ac:dyDescent="0.35"/>
    <row r="769" s="117" customFormat="1" ht="14.25" customHeight="1" x14ac:dyDescent="0.35"/>
    <row r="770" s="117" customFormat="1" ht="14.25" customHeight="1" x14ac:dyDescent="0.35"/>
    <row r="771" s="117" customFormat="1" ht="14.25" customHeight="1" x14ac:dyDescent="0.35"/>
    <row r="772" s="117" customFormat="1" ht="14.25" customHeight="1" x14ac:dyDescent="0.35"/>
    <row r="773" s="117" customFormat="1" ht="14.25" customHeight="1" x14ac:dyDescent="0.35"/>
    <row r="774" s="117" customFormat="1" ht="14.25" customHeight="1" x14ac:dyDescent="0.35"/>
    <row r="775" s="117" customFormat="1" ht="14.25" customHeight="1" x14ac:dyDescent="0.35"/>
    <row r="776" s="117" customFormat="1" ht="14.25" customHeight="1" x14ac:dyDescent="0.35"/>
    <row r="777" s="117" customFormat="1" ht="14.25" customHeight="1" x14ac:dyDescent="0.35"/>
    <row r="778" s="117" customFormat="1" ht="14.25" customHeight="1" x14ac:dyDescent="0.35"/>
    <row r="779" s="117" customFormat="1" ht="14.25" customHeight="1" x14ac:dyDescent="0.35"/>
    <row r="780" s="117" customFormat="1" ht="14.25" customHeight="1" x14ac:dyDescent="0.35"/>
    <row r="781" s="117" customFormat="1" ht="14.25" customHeight="1" x14ac:dyDescent="0.35"/>
    <row r="782" s="117" customFormat="1" ht="14.25" customHeight="1" x14ac:dyDescent="0.35"/>
    <row r="783" s="117" customFormat="1" ht="14.25" customHeight="1" x14ac:dyDescent="0.35"/>
    <row r="784" s="117" customFormat="1" ht="14.25" customHeight="1" x14ac:dyDescent="0.35"/>
    <row r="785" s="117" customFormat="1" ht="14.25" customHeight="1" x14ac:dyDescent="0.35"/>
    <row r="786" s="117" customFormat="1" ht="14.25" customHeight="1" x14ac:dyDescent="0.35"/>
    <row r="787" s="117" customFormat="1" ht="14.25" customHeight="1" x14ac:dyDescent="0.35"/>
    <row r="788" s="117" customFormat="1" ht="14.25" customHeight="1" x14ac:dyDescent="0.35"/>
    <row r="789" s="117" customFormat="1" ht="14.25" customHeight="1" x14ac:dyDescent="0.35"/>
    <row r="790" s="117" customFormat="1" ht="14.25" customHeight="1" x14ac:dyDescent="0.35"/>
    <row r="791" s="117" customFormat="1" ht="14.25" customHeight="1" x14ac:dyDescent="0.35"/>
    <row r="792" s="117" customFormat="1" ht="14.25" customHeight="1" x14ac:dyDescent="0.35"/>
    <row r="793" s="117" customFormat="1" ht="14.25" customHeight="1" x14ac:dyDescent="0.35"/>
    <row r="794" s="117" customFormat="1" ht="14.25" customHeight="1" x14ac:dyDescent="0.35"/>
    <row r="795" s="117" customFormat="1" ht="14.25" customHeight="1" x14ac:dyDescent="0.35"/>
    <row r="796" s="117" customFormat="1" ht="14.25" customHeight="1" x14ac:dyDescent="0.35"/>
    <row r="797" s="117" customFormat="1" ht="14.25" customHeight="1" x14ac:dyDescent="0.35"/>
    <row r="798" s="117" customFormat="1" ht="14.25" customHeight="1" x14ac:dyDescent="0.35"/>
    <row r="799" s="117" customFormat="1" ht="14.25" customHeight="1" x14ac:dyDescent="0.35"/>
    <row r="800" s="117" customFormat="1" ht="14.25" customHeight="1" x14ac:dyDescent="0.35"/>
    <row r="801" s="117" customFormat="1" ht="14.25" customHeight="1" x14ac:dyDescent="0.35"/>
    <row r="802" s="117" customFormat="1" ht="14.25" customHeight="1" x14ac:dyDescent="0.35"/>
    <row r="803" s="117" customFormat="1" ht="14.25" customHeight="1" x14ac:dyDescent="0.35"/>
    <row r="804" s="117" customFormat="1" ht="14.25" customHeight="1" x14ac:dyDescent="0.35"/>
    <row r="805" s="117" customFormat="1" ht="14.25" customHeight="1" x14ac:dyDescent="0.35"/>
    <row r="806" s="117" customFormat="1" ht="14.25" customHeight="1" x14ac:dyDescent="0.35"/>
    <row r="807" s="117" customFormat="1" ht="14.25" customHeight="1" x14ac:dyDescent="0.35"/>
    <row r="808" s="117" customFormat="1" ht="14.25" customHeight="1" x14ac:dyDescent="0.35"/>
    <row r="809" s="117" customFormat="1" ht="14.25" customHeight="1" x14ac:dyDescent="0.35"/>
    <row r="810" s="117" customFormat="1" ht="14.25" customHeight="1" x14ac:dyDescent="0.35"/>
    <row r="811" s="117" customFormat="1" ht="14.25" customHeight="1" x14ac:dyDescent="0.35"/>
    <row r="812" s="117" customFormat="1" ht="14.25" customHeight="1" x14ac:dyDescent="0.35"/>
    <row r="813" s="117" customFormat="1" ht="14.25" customHeight="1" x14ac:dyDescent="0.35"/>
    <row r="814" s="117" customFormat="1" ht="14.25" customHeight="1" x14ac:dyDescent="0.35"/>
    <row r="815" s="117" customFormat="1" ht="14.25" customHeight="1" x14ac:dyDescent="0.35"/>
    <row r="816" s="117" customFormat="1" ht="14.25" customHeight="1" x14ac:dyDescent="0.35"/>
    <row r="817" s="117" customFormat="1" ht="14.25" customHeight="1" x14ac:dyDescent="0.35"/>
    <row r="818" s="117" customFormat="1" ht="14.25" customHeight="1" x14ac:dyDescent="0.35"/>
    <row r="819" s="117" customFormat="1" ht="14.25" customHeight="1" x14ac:dyDescent="0.35"/>
    <row r="820" s="117" customFormat="1" ht="14.25" customHeight="1" x14ac:dyDescent="0.35"/>
    <row r="821" s="117" customFormat="1" ht="14.25" customHeight="1" x14ac:dyDescent="0.35"/>
    <row r="822" s="117" customFormat="1" ht="14.25" customHeight="1" x14ac:dyDescent="0.35"/>
    <row r="823" s="117" customFormat="1" ht="14.25" customHeight="1" x14ac:dyDescent="0.35"/>
    <row r="824" s="117" customFormat="1" ht="14.25" customHeight="1" x14ac:dyDescent="0.35"/>
    <row r="825" s="117" customFormat="1" ht="14.25" customHeight="1" x14ac:dyDescent="0.35"/>
    <row r="826" s="117" customFormat="1" ht="14.25" customHeight="1" x14ac:dyDescent="0.35"/>
    <row r="827" s="117" customFormat="1" ht="14.25" customHeight="1" x14ac:dyDescent="0.35"/>
    <row r="828" s="117" customFormat="1" ht="14.25" customHeight="1" x14ac:dyDescent="0.35"/>
    <row r="829" s="117" customFormat="1" ht="14.25" customHeight="1" x14ac:dyDescent="0.35"/>
    <row r="830" s="117" customFormat="1" ht="14.25" customHeight="1" x14ac:dyDescent="0.35"/>
    <row r="831" s="117" customFormat="1" ht="14.25" customHeight="1" x14ac:dyDescent="0.35"/>
    <row r="832" s="117" customFormat="1" ht="14.25" customHeight="1" x14ac:dyDescent="0.35"/>
    <row r="833" s="117" customFormat="1" ht="14.25" customHeight="1" x14ac:dyDescent="0.35"/>
    <row r="834" s="117" customFormat="1" ht="14.25" customHeight="1" x14ac:dyDescent="0.35"/>
    <row r="835" s="117" customFormat="1" ht="14.25" customHeight="1" x14ac:dyDescent="0.35"/>
    <row r="836" s="117" customFormat="1" ht="14.25" customHeight="1" x14ac:dyDescent="0.35"/>
    <row r="837" s="117" customFormat="1" ht="14.25" customHeight="1" x14ac:dyDescent="0.35"/>
    <row r="838" s="117" customFormat="1" ht="14.25" customHeight="1" x14ac:dyDescent="0.35"/>
    <row r="839" s="117" customFormat="1" ht="14.25" customHeight="1" x14ac:dyDescent="0.35"/>
    <row r="840" s="117" customFormat="1" ht="14.25" customHeight="1" x14ac:dyDescent="0.35"/>
    <row r="841" s="117" customFormat="1" ht="14.25" customHeight="1" x14ac:dyDescent="0.35"/>
    <row r="842" s="117" customFormat="1" ht="14.25" customHeight="1" x14ac:dyDescent="0.35"/>
    <row r="843" s="117" customFormat="1" ht="14.25" customHeight="1" x14ac:dyDescent="0.35"/>
    <row r="844" s="117" customFormat="1" ht="14.25" customHeight="1" x14ac:dyDescent="0.35"/>
    <row r="845" s="117" customFormat="1" ht="14.25" customHeight="1" x14ac:dyDescent="0.35"/>
    <row r="846" s="117" customFormat="1" ht="14.25" customHeight="1" x14ac:dyDescent="0.35"/>
    <row r="847" s="117" customFormat="1" ht="14.25" customHeight="1" x14ac:dyDescent="0.35"/>
    <row r="848" s="117" customFormat="1" ht="14.25" customHeight="1" x14ac:dyDescent="0.35"/>
    <row r="849" s="117" customFormat="1" ht="14.25" customHeight="1" x14ac:dyDescent="0.35"/>
    <row r="850" s="117" customFormat="1" ht="14.25" customHeight="1" x14ac:dyDescent="0.35"/>
    <row r="851" s="117" customFormat="1" ht="14.25" customHeight="1" x14ac:dyDescent="0.35"/>
    <row r="852" s="117" customFormat="1" ht="14.25" customHeight="1" x14ac:dyDescent="0.35"/>
    <row r="853" s="117" customFormat="1" ht="14.25" customHeight="1" x14ac:dyDescent="0.35"/>
    <row r="854" s="117" customFormat="1" ht="14.25" customHeight="1" x14ac:dyDescent="0.35"/>
    <row r="855" s="117" customFormat="1" ht="14.25" customHeight="1" x14ac:dyDescent="0.35"/>
    <row r="856" s="117" customFormat="1" ht="14.25" customHeight="1" x14ac:dyDescent="0.35"/>
    <row r="857" s="117" customFormat="1" ht="14.25" customHeight="1" x14ac:dyDescent="0.35"/>
    <row r="858" s="117" customFormat="1" ht="14.25" customHeight="1" x14ac:dyDescent="0.35"/>
    <row r="859" s="117" customFormat="1" ht="14.25" customHeight="1" x14ac:dyDescent="0.35"/>
    <row r="860" s="117" customFormat="1" ht="14.25" customHeight="1" x14ac:dyDescent="0.35"/>
    <row r="861" s="117" customFormat="1" ht="14.25" customHeight="1" x14ac:dyDescent="0.35"/>
    <row r="862" s="117" customFormat="1" ht="14.25" customHeight="1" x14ac:dyDescent="0.35"/>
    <row r="863" s="117" customFormat="1" ht="14.25" customHeight="1" x14ac:dyDescent="0.35"/>
    <row r="864" s="117" customFormat="1" ht="14.25" customHeight="1" x14ac:dyDescent="0.35"/>
    <row r="865" s="117" customFormat="1" ht="14.25" customHeight="1" x14ac:dyDescent="0.35"/>
    <row r="866" s="117" customFormat="1" ht="14.25" customHeight="1" x14ac:dyDescent="0.35"/>
    <row r="867" s="117" customFormat="1" ht="14.25" customHeight="1" x14ac:dyDescent="0.35"/>
    <row r="868" s="117" customFormat="1" ht="14.25" customHeight="1" x14ac:dyDescent="0.35"/>
    <row r="869" s="117" customFormat="1" ht="14.25" customHeight="1" x14ac:dyDescent="0.35"/>
    <row r="870" s="117" customFormat="1" ht="14.25" customHeight="1" x14ac:dyDescent="0.35"/>
    <row r="871" s="117" customFormat="1" ht="14.25" customHeight="1" x14ac:dyDescent="0.35"/>
    <row r="872" s="117" customFormat="1" ht="14.25" customHeight="1" x14ac:dyDescent="0.35"/>
    <row r="873" s="117" customFormat="1" ht="14.25" customHeight="1" x14ac:dyDescent="0.35"/>
    <row r="874" s="117" customFormat="1" ht="14.25" customHeight="1" x14ac:dyDescent="0.35"/>
    <row r="875" s="117" customFormat="1" ht="14.25" customHeight="1" x14ac:dyDescent="0.35"/>
    <row r="876" s="117" customFormat="1" ht="14.25" customHeight="1" x14ac:dyDescent="0.35"/>
    <row r="877" s="117" customFormat="1" ht="14.25" customHeight="1" x14ac:dyDescent="0.35"/>
    <row r="878" s="117" customFormat="1" ht="14.25" customHeight="1" x14ac:dyDescent="0.35"/>
    <row r="879" s="117" customFormat="1" ht="14.25" customHeight="1" x14ac:dyDescent="0.35"/>
    <row r="880" s="117" customFormat="1" ht="14.25" customHeight="1" x14ac:dyDescent="0.35"/>
    <row r="881" s="117" customFormat="1" ht="14.25" customHeight="1" x14ac:dyDescent="0.35"/>
    <row r="882" s="117" customFormat="1" ht="14.25" customHeight="1" x14ac:dyDescent="0.35"/>
    <row r="883" s="117" customFormat="1" ht="14.25" customHeight="1" x14ac:dyDescent="0.35"/>
    <row r="884" s="117" customFormat="1" ht="14.25" customHeight="1" x14ac:dyDescent="0.35"/>
    <row r="885" s="117" customFormat="1" ht="14.25" customHeight="1" x14ac:dyDescent="0.35"/>
    <row r="886" s="117" customFormat="1" ht="14.25" customHeight="1" x14ac:dyDescent="0.35"/>
    <row r="887" s="117" customFormat="1" ht="14.25" customHeight="1" x14ac:dyDescent="0.35"/>
    <row r="888" s="117" customFormat="1" ht="14.25" customHeight="1" x14ac:dyDescent="0.35"/>
    <row r="889" s="117" customFormat="1" ht="14.25" customHeight="1" x14ac:dyDescent="0.35"/>
    <row r="890" s="117" customFormat="1" ht="14.25" customHeight="1" x14ac:dyDescent="0.35"/>
    <row r="891" s="117" customFormat="1" ht="14.25" customHeight="1" x14ac:dyDescent="0.35"/>
    <row r="892" s="117" customFormat="1" ht="14.25" customHeight="1" x14ac:dyDescent="0.35"/>
    <row r="893" s="117" customFormat="1" ht="14.25" customHeight="1" x14ac:dyDescent="0.35"/>
    <row r="894" s="117" customFormat="1" ht="14.25" customHeight="1" x14ac:dyDescent="0.35"/>
    <row r="895" s="117" customFormat="1" ht="14.25" customHeight="1" x14ac:dyDescent="0.35"/>
    <row r="896" s="117" customFormat="1" ht="14.25" customHeight="1" x14ac:dyDescent="0.35"/>
    <row r="897" s="117" customFormat="1" ht="14.25" customHeight="1" x14ac:dyDescent="0.35"/>
    <row r="898" s="117" customFormat="1" ht="14.25" customHeight="1" x14ac:dyDescent="0.35"/>
    <row r="899" s="117" customFormat="1" ht="14.25" customHeight="1" x14ac:dyDescent="0.35"/>
    <row r="900" s="117" customFormat="1" ht="14.25" customHeight="1" x14ac:dyDescent="0.35"/>
    <row r="901" s="117" customFormat="1" ht="14.25" customHeight="1" x14ac:dyDescent="0.35"/>
    <row r="902" s="117" customFormat="1" ht="14.25" customHeight="1" x14ac:dyDescent="0.35"/>
    <row r="903" s="117" customFormat="1" ht="14.25" customHeight="1" x14ac:dyDescent="0.35"/>
    <row r="904" s="117" customFormat="1" ht="14.25" customHeight="1" x14ac:dyDescent="0.35"/>
    <row r="905" s="117" customFormat="1" ht="14.25" customHeight="1" x14ac:dyDescent="0.35"/>
    <row r="906" s="117" customFormat="1" ht="14.25" customHeight="1" x14ac:dyDescent="0.35"/>
    <row r="907" s="117" customFormat="1" ht="14.25" customHeight="1" x14ac:dyDescent="0.35"/>
    <row r="908" s="117" customFormat="1" ht="14.25" customHeight="1" x14ac:dyDescent="0.35"/>
    <row r="909" s="117" customFormat="1" ht="14.25" customHeight="1" x14ac:dyDescent="0.35"/>
    <row r="910" s="117" customFormat="1" ht="14.25" customHeight="1" x14ac:dyDescent="0.35"/>
    <row r="911" s="117" customFormat="1" ht="14.25" customHeight="1" x14ac:dyDescent="0.35"/>
    <row r="912" s="117" customFormat="1" ht="14.25" customHeight="1" x14ac:dyDescent="0.35"/>
    <row r="913" s="117" customFormat="1" ht="14.25" customHeight="1" x14ac:dyDescent="0.35"/>
    <row r="914" s="117" customFormat="1" ht="14.25" customHeight="1" x14ac:dyDescent="0.35"/>
    <row r="915" s="117" customFormat="1" ht="14.25" customHeight="1" x14ac:dyDescent="0.35"/>
    <row r="916" s="117" customFormat="1" ht="14.25" customHeight="1" x14ac:dyDescent="0.35"/>
    <row r="917" s="117" customFormat="1" ht="14.25" customHeight="1" x14ac:dyDescent="0.35"/>
    <row r="918" s="117" customFormat="1" ht="14.25" customHeight="1" x14ac:dyDescent="0.35"/>
    <row r="919" s="117" customFormat="1" ht="14.25" customHeight="1" x14ac:dyDescent="0.35"/>
    <row r="920" s="117" customFormat="1" ht="14.25" customHeight="1" x14ac:dyDescent="0.35"/>
    <row r="921" s="117" customFormat="1" ht="14.25" customHeight="1" x14ac:dyDescent="0.35"/>
    <row r="922" s="117" customFormat="1" ht="14.25" customHeight="1" x14ac:dyDescent="0.35"/>
    <row r="923" s="117" customFormat="1" ht="14.25" customHeight="1" x14ac:dyDescent="0.35"/>
    <row r="924" s="117" customFormat="1" ht="14.25" customHeight="1" x14ac:dyDescent="0.35"/>
    <row r="925" s="117" customFormat="1" ht="14.25" customHeight="1" x14ac:dyDescent="0.35"/>
    <row r="926" s="117" customFormat="1" ht="14.25" customHeight="1" x14ac:dyDescent="0.35"/>
    <row r="927" s="117" customFormat="1" ht="14.25" customHeight="1" x14ac:dyDescent="0.35"/>
    <row r="928" s="117" customFormat="1" ht="14.25" customHeight="1" x14ac:dyDescent="0.35"/>
    <row r="929" s="117" customFormat="1" ht="14.25" customHeight="1" x14ac:dyDescent="0.35"/>
    <row r="930" s="117" customFormat="1" ht="14.25" customHeight="1" x14ac:dyDescent="0.35"/>
    <row r="931" s="117" customFormat="1" ht="14.25" customHeight="1" x14ac:dyDescent="0.35"/>
    <row r="932" s="117" customFormat="1" ht="14.25" customHeight="1" x14ac:dyDescent="0.35"/>
    <row r="933" s="117" customFormat="1" ht="14.25" customHeight="1" x14ac:dyDescent="0.35"/>
    <row r="934" s="117" customFormat="1" ht="14.25" customHeight="1" x14ac:dyDescent="0.35"/>
    <row r="935" s="117" customFormat="1" ht="14.25" customHeight="1" x14ac:dyDescent="0.35"/>
    <row r="936" s="117" customFormat="1" ht="14.25" customHeight="1" x14ac:dyDescent="0.35"/>
    <row r="937" s="117" customFormat="1" ht="14.25" customHeight="1" x14ac:dyDescent="0.35"/>
    <row r="938" s="117" customFormat="1" ht="14.25" customHeight="1" x14ac:dyDescent="0.35"/>
    <row r="939" s="117" customFormat="1" ht="14.25" customHeight="1" x14ac:dyDescent="0.35"/>
    <row r="940" s="117" customFormat="1" ht="14.25" customHeight="1" x14ac:dyDescent="0.35"/>
    <row r="941" s="117" customFormat="1" ht="14.25" customHeight="1" x14ac:dyDescent="0.35"/>
    <row r="942" s="117" customFormat="1" ht="14.25" customHeight="1" x14ac:dyDescent="0.35"/>
    <row r="943" s="117" customFormat="1" ht="14.25" customHeight="1" x14ac:dyDescent="0.35"/>
    <row r="944" s="117" customFormat="1" ht="14.25" customHeight="1" x14ac:dyDescent="0.35"/>
    <row r="945" s="117" customFormat="1" ht="14.25" customHeight="1" x14ac:dyDescent="0.35"/>
    <row r="946" s="117" customFormat="1" ht="14.25" customHeight="1" x14ac:dyDescent="0.35"/>
    <row r="947" s="117" customFormat="1" ht="14.25" customHeight="1" x14ac:dyDescent="0.35"/>
    <row r="948" s="117" customFormat="1" ht="14.25" customHeight="1" x14ac:dyDescent="0.35"/>
    <row r="949" s="117" customFormat="1" ht="14.25" customHeight="1" x14ac:dyDescent="0.35"/>
    <row r="950" s="117" customFormat="1" ht="14.25" customHeight="1" x14ac:dyDescent="0.35"/>
    <row r="951" s="117" customFormat="1" ht="14.25" customHeight="1" x14ac:dyDescent="0.35"/>
    <row r="952" s="117" customFormat="1" ht="14.25" customHeight="1" x14ac:dyDescent="0.35"/>
    <row r="953" s="117" customFormat="1" ht="14.25" customHeight="1" x14ac:dyDescent="0.35"/>
    <row r="954" s="117" customFormat="1" ht="14.25" customHeight="1" x14ac:dyDescent="0.35"/>
    <row r="955" s="117" customFormat="1" ht="14.25" customHeight="1" x14ac:dyDescent="0.35"/>
    <row r="956" s="117" customFormat="1" ht="14.25" customHeight="1" x14ac:dyDescent="0.35"/>
    <row r="957" s="117" customFormat="1" ht="14.25" customHeight="1" x14ac:dyDescent="0.35"/>
    <row r="958" s="117" customFormat="1" ht="14.25" customHeight="1" x14ac:dyDescent="0.35"/>
    <row r="959" s="117" customFormat="1" ht="14.25" customHeight="1" x14ac:dyDescent="0.35"/>
    <row r="960" s="117" customFormat="1" ht="14.25" customHeight="1" x14ac:dyDescent="0.35"/>
    <row r="961" s="117" customFormat="1" ht="14.25" customHeight="1" x14ac:dyDescent="0.35"/>
    <row r="962" s="117" customFormat="1" ht="14.25" customHeight="1" x14ac:dyDescent="0.35"/>
    <row r="963" s="117" customFormat="1" ht="14.25" customHeight="1" x14ac:dyDescent="0.35"/>
    <row r="964" s="117" customFormat="1" ht="14.25" customHeight="1" x14ac:dyDescent="0.35"/>
    <row r="965" s="117" customFormat="1" ht="14.25" customHeight="1" x14ac:dyDescent="0.35"/>
    <row r="966" s="117" customFormat="1" ht="14.25" customHeight="1" x14ac:dyDescent="0.35"/>
    <row r="967" s="117" customFormat="1" ht="14.25" customHeight="1" x14ac:dyDescent="0.35"/>
    <row r="968" s="117" customFormat="1" ht="14.25" customHeight="1" x14ac:dyDescent="0.35"/>
    <row r="969" s="117" customFormat="1" ht="14.25" customHeight="1" x14ac:dyDescent="0.35"/>
    <row r="970" s="117" customFormat="1" ht="14.25" customHeight="1" x14ac:dyDescent="0.35"/>
    <row r="971" s="117" customFormat="1" ht="14.25" customHeight="1" x14ac:dyDescent="0.35"/>
    <row r="972" s="117" customFormat="1" ht="14.25" customHeight="1" x14ac:dyDescent="0.35"/>
    <row r="973" s="117" customFormat="1" ht="14.25" customHeight="1" x14ac:dyDescent="0.35"/>
    <row r="974" s="117" customFormat="1" ht="14.25" customHeight="1" x14ac:dyDescent="0.35"/>
    <row r="975" s="117" customFormat="1" ht="14.25" customHeight="1" x14ac:dyDescent="0.35"/>
    <row r="976" s="117" customFormat="1" ht="14.25" customHeight="1" x14ac:dyDescent="0.35"/>
    <row r="977" s="117" customFormat="1" ht="14.25" customHeight="1" x14ac:dyDescent="0.35"/>
    <row r="978" s="117" customFormat="1" ht="14.25" customHeight="1" x14ac:dyDescent="0.35"/>
    <row r="979" s="117" customFormat="1" ht="14.25" customHeight="1" x14ac:dyDescent="0.35"/>
    <row r="980" s="117" customFormat="1" ht="14.25" customHeight="1" x14ac:dyDescent="0.35"/>
    <row r="981" s="117" customFormat="1" ht="14.25" customHeight="1" x14ac:dyDescent="0.35"/>
    <row r="982" s="117" customFormat="1" ht="14.25" customHeight="1" x14ac:dyDescent="0.35"/>
    <row r="983" s="117" customFormat="1" ht="14.25" customHeight="1" x14ac:dyDescent="0.35"/>
    <row r="984" s="117" customFormat="1" ht="14.25" customHeight="1" x14ac:dyDescent="0.35"/>
    <row r="985" s="117" customFormat="1" ht="14.25" customHeight="1" x14ac:dyDescent="0.35"/>
    <row r="986" s="117" customFormat="1" ht="14.25" customHeight="1" x14ac:dyDescent="0.35"/>
    <row r="987" s="117" customFormat="1" ht="14.25" customHeight="1" x14ac:dyDescent="0.35"/>
    <row r="988" s="117" customFormat="1" ht="14.25" customHeight="1" x14ac:dyDescent="0.35"/>
    <row r="989" s="117" customFormat="1" ht="14.25" customHeight="1" x14ac:dyDescent="0.35"/>
    <row r="990" s="117" customFormat="1" ht="14.25" customHeight="1" x14ac:dyDescent="0.35"/>
    <row r="991" s="117" customFormat="1" ht="14.25" customHeight="1" x14ac:dyDescent="0.35"/>
    <row r="992" s="117" customFormat="1" ht="14.25" customHeight="1" x14ac:dyDescent="0.35"/>
    <row r="993" s="117" customFormat="1" ht="14.25" customHeight="1" x14ac:dyDescent="0.35"/>
    <row r="994" s="117" customFormat="1" ht="14.25" customHeight="1" x14ac:dyDescent="0.35"/>
    <row r="995" s="117" customFormat="1" ht="14.25" customHeight="1" x14ac:dyDescent="0.35"/>
    <row r="996" s="117" customFormat="1" ht="14.25" customHeight="1" x14ac:dyDescent="0.35"/>
    <row r="997" s="117" customFormat="1" ht="14.25" customHeight="1" x14ac:dyDescent="0.35"/>
    <row r="998" s="117" customFormat="1" ht="14.25" customHeight="1" x14ac:dyDescent="0.35"/>
    <row r="999" s="117" customFormat="1" ht="14.25" customHeight="1" x14ac:dyDescent="0.35"/>
    <row r="1000" s="117" customFormat="1" ht="14.25" customHeight="1" x14ac:dyDescent="0.35"/>
  </sheetData>
  <mergeCells count="2">
    <mergeCell ref="A31:K33"/>
    <mergeCell ref="A47:J48"/>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000"/>
  <sheetViews>
    <sheetView workbookViewId="0"/>
  </sheetViews>
  <sheetFormatPr defaultColWidth="14.453125" defaultRowHeight="15" customHeight="1" x14ac:dyDescent="0.35"/>
  <cols>
    <col min="1" max="1" width="11.36328125" customWidth="1"/>
    <col min="2" max="2" width="13.90625" customWidth="1"/>
    <col min="3" max="3" width="14" customWidth="1"/>
    <col min="4" max="4" width="9.6328125" customWidth="1"/>
    <col min="5" max="5" width="8.6328125" customWidth="1"/>
    <col min="6" max="6" width="9.6328125" customWidth="1"/>
    <col min="7" max="7" width="11.453125" customWidth="1"/>
    <col min="8" max="8" width="9" customWidth="1"/>
    <col min="9" max="9" width="8" customWidth="1"/>
    <col min="10" max="10" width="12.36328125" customWidth="1"/>
    <col min="11" max="11" width="12.453125" customWidth="1"/>
    <col min="12" max="13" width="14.36328125" customWidth="1"/>
    <col min="14" max="14" width="10" customWidth="1"/>
    <col min="15" max="16" width="13" customWidth="1"/>
    <col min="17" max="17" width="8.6328125" customWidth="1"/>
    <col min="18" max="18" width="12.6328125" customWidth="1"/>
    <col min="19" max="19" width="6.453125" customWidth="1"/>
    <col min="20" max="20" width="12.36328125" customWidth="1"/>
    <col min="21" max="21" width="12.453125" customWidth="1"/>
    <col min="22" max="23" width="19.36328125" customWidth="1"/>
    <col min="24" max="25" width="9.36328125" customWidth="1"/>
    <col min="26" max="26" width="9.6328125" customWidth="1"/>
    <col min="27" max="28" width="8.6328125" customWidth="1"/>
  </cols>
  <sheetData>
    <row r="1" spans="1:28" ht="14.25" customHeight="1" x14ac:dyDescent="0.35">
      <c r="A1" s="15" t="s">
        <v>167</v>
      </c>
      <c r="B1" s="15" t="s">
        <v>29</v>
      </c>
      <c r="C1" s="92" t="s">
        <v>168</v>
      </c>
      <c r="D1" s="92" t="s">
        <v>169</v>
      </c>
      <c r="E1" s="92" t="s">
        <v>170</v>
      </c>
      <c r="F1" s="92" t="s">
        <v>171</v>
      </c>
      <c r="H1" s="199" t="s">
        <v>4</v>
      </c>
      <c r="I1" s="200"/>
      <c r="J1" s="200"/>
      <c r="K1" s="200"/>
      <c r="L1" s="200"/>
      <c r="M1" s="200"/>
      <c r="N1" s="200"/>
      <c r="O1" s="200"/>
      <c r="P1" s="200"/>
      <c r="Q1" s="196"/>
      <c r="R1" s="201" t="s">
        <v>6</v>
      </c>
      <c r="S1" s="200"/>
      <c r="T1" s="200"/>
      <c r="U1" s="196"/>
      <c r="V1" s="202" t="s">
        <v>7</v>
      </c>
      <c r="W1" s="200"/>
      <c r="X1" s="200"/>
      <c r="Y1" s="196"/>
      <c r="Z1" s="203" t="s">
        <v>8</v>
      </c>
      <c r="AA1" s="200"/>
      <c r="AB1" s="196"/>
    </row>
    <row r="2" spans="1:28" ht="14.25" customHeight="1" x14ac:dyDescent="0.35">
      <c r="A2" s="15" t="e">
        <f>uvod!#REF!</f>
        <v>#REF!</v>
      </c>
      <c r="B2" s="15" t="e">
        <f>uvod!#REF!</f>
        <v>#REF!</v>
      </c>
      <c r="C2" s="92">
        <f>F19</f>
        <v>21</v>
      </c>
      <c r="D2" s="92">
        <f>P25+Z12+F34+P37</f>
        <v>21</v>
      </c>
      <c r="E2" s="92">
        <f>Z37+F60+P58+Z61</f>
        <v>16</v>
      </c>
      <c r="F2" s="92">
        <f>F82+P87+Z84</f>
        <v>14</v>
      </c>
      <c r="H2" s="93" t="s">
        <v>172</v>
      </c>
      <c r="I2" s="93" t="s">
        <v>173</v>
      </c>
      <c r="J2" s="93" t="s">
        <v>174</v>
      </c>
      <c r="K2" s="93" t="s">
        <v>175</v>
      </c>
      <c r="L2" s="93" t="s">
        <v>176</v>
      </c>
      <c r="M2" s="93" t="s">
        <v>177</v>
      </c>
      <c r="N2" s="93" t="s">
        <v>178</v>
      </c>
      <c r="O2" s="93" t="s">
        <v>179</v>
      </c>
      <c r="P2" s="93" t="s">
        <v>180</v>
      </c>
      <c r="Q2" s="93" t="s">
        <v>181</v>
      </c>
      <c r="R2" s="94" t="s">
        <v>182</v>
      </c>
      <c r="S2" s="94" t="s">
        <v>183</v>
      </c>
      <c r="T2" s="94" t="s">
        <v>184</v>
      </c>
      <c r="U2" s="94" t="s">
        <v>185</v>
      </c>
      <c r="V2" s="95" t="s">
        <v>186</v>
      </c>
      <c r="W2" s="95" t="s">
        <v>187</v>
      </c>
      <c r="X2" s="95" t="s">
        <v>188</v>
      </c>
      <c r="Y2" s="95" t="s">
        <v>189</v>
      </c>
      <c r="Z2" s="96" t="s">
        <v>190</v>
      </c>
      <c r="AA2" s="96" t="s">
        <v>191</v>
      </c>
      <c r="AB2" s="96" t="s">
        <v>192</v>
      </c>
    </row>
    <row r="3" spans="1:28" ht="14.25" customHeight="1" x14ac:dyDescent="0.35">
      <c r="A3" s="15"/>
      <c r="B3" s="15"/>
      <c r="C3" s="92" t="s">
        <v>270</v>
      </c>
      <c r="D3" s="92" t="s">
        <v>270</v>
      </c>
      <c r="E3" s="92" t="s">
        <v>270</v>
      </c>
      <c r="F3" s="92" t="s">
        <v>270</v>
      </c>
      <c r="H3" s="93">
        <f>F9</f>
        <v>2</v>
      </c>
      <c r="I3" s="93">
        <f>F10</f>
        <v>2</v>
      </c>
      <c r="J3" s="93">
        <f>F11</f>
        <v>2</v>
      </c>
      <c r="K3" s="93">
        <f>F12</f>
        <v>2</v>
      </c>
      <c r="L3" s="93">
        <f>F13</f>
        <v>2</v>
      </c>
      <c r="M3" s="93">
        <f>F14</f>
        <v>3</v>
      </c>
      <c r="N3" s="93">
        <f>F15</f>
        <v>2</v>
      </c>
      <c r="O3" s="93">
        <f>F16</f>
        <v>2</v>
      </c>
      <c r="P3" s="93">
        <f>F17</f>
        <v>2</v>
      </c>
      <c r="Q3" s="93">
        <f>F18</f>
        <v>2</v>
      </c>
      <c r="R3" s="94">
        <f>ROUND(P25,1)</f>
        <v>6</v>
      </c>
      <c r="S3" s="94">
        <f>Z12</f>
        <v>5</v>
      </c>
      <c r="T3" s="94">
        <f>F34</f>
        <v>4</v>
      </c>
      <c r="U3" s="94">
        <f>P37</f>
        <v>6</v>
      </c>
      <c r="V3" s="95">
        <f>Z37</f>
        <v>6</v>
      </c>
      <c r="W3" s="95">
        <f>F60</f>
        <v>5</v>
      </c>
      <c r="X3" s="95">
        <f>P58</f>
        <v>0</v>
      </c>
      <c r="Y3" s="95">
        <f>Z61</f>
        <v>5</v>
      </c>
      <c r="Z3" s="96">
        <f>F82</f>
        <v>5</v>
      </c>
      <c r="AA3" s="96">
        <f>P87</f>
        <v>6</v>
      </c>
      <c r="AB3" s="96">
        <f>Z84</f>
        <v>3</v>
      </c>
    </row>
    <row r="4" spans="1:28" ht="14.25" customHeight="1" x14ac:dyDescent="0.35">
      <c r="A4" s="15"/>
      <c r="B4" s="15" t="s">
        <v>193</v>
      </c>
      <c r="C4" s="12" t="str">
        <f>uvod!B7</f>
        <v>ne</v>
      </c>
      <c r="D4" s="12" t="str">
        <f>uvod!B8</f>
        <v>ne</v>
      </c>
      <c r="E4" s="12" t="str">
        <f>uvod!B9</f>
        <v>ne</v>
      </c>
      <c r="F4" s="12" t="str">
        <f>uvod!B10</f>
        <v>ne</v>
      </c>
    </row>
    <row r="5" spans="1:28" ht="14.25" customHeight="1" x14ac:dyDescent="0.35">
      <c r="A5" s="15"/>
      <c r="B5" s="15"/>
    </row>
    <row r="6" spans="1:28" ht="14.25" customHeight="1" x14ac:dyDescent="0.35">
      <c r="L6" s="97" t="s">
        <v>194</v>
      </c>
      <c r="M6" s="98">
        <v>0.18</v>
      </c>
      <c r="N6" s="97" t="s">
        <v>195</v>
      </c>
      <c r="O6" s="15">
        <v>21000</v>
      </c>
    </row>
    <row r="7" spans="1:28" ht="14.25" customHeight="1" x14ac:dyDescent="0.35">
      <c r="A7" s="3" t="s">
        <v>196</v>
      </c>
    </row>
    <row r="8" spans="1:28" ht="14.25" customHeight="1" x14ac:dyDescent="0.35">
      <c r="A8" s="27" t="s">
        <v>197</v>
      </c>
      <c r="B8" s="27" t="s">
        <v>198</v>
      </c>
      <c r="C8" s="27" t="s">
        <v>199</v>
      </c>
      <c r="D8" s="27" t="s">
        <v>200</v>
      </c>
      <c r="E8" s="27" t="s">
        <v>201</v>
      </c>
      <c r="F8" s="27" t="s">
        <v>202</v>
      </c>
      <c r="G8" s="27" t="s">
        <v>203</v>
      </c>
      <c r="H8" s="76"/>
      <c r="I8" s="99"/>
      <c r="J8" s="76"/>
      <c r="K8" s="27" t="s">
        <v>197</v>
      </c>
      <c r="L8" s="27" t="s">
        <v>198</v>
      </c>
      <c r="M8" s="27" t="s">
        <v>199</v>
      </c>
      <c r="N8" s="27" t="s">
        <v>200</v>
      </c>
      <c r="O8" s="27" t="s">
        <v>201</v>
      </c>
      <c r="P8" s="27" t="s">
        <v>202</v>
      </c>
      <c r="Q8" s="27" t="s">
        <v>203</v>
      </c>
      <c r="S8" s="100"/>
      <c r="U8" s="27" t="s">
        <v>197</v>
      </c>
      <c r="V8" s="27" t="s">
        <v>198</v>
      </c>
      <c r="W8" s="27" t="s">
        <v>199</v>
      </c>
      <c r="X8" s="27" t="s">
        <v>200</v>
      </c>
      <c r="Y8" s="27" t="s">
        <v>201</v>
      </c>
      <c r="Z8" s="27" t="s">
        <v>202</v>
      </c>
      <c r="AA8" s="27" t="s">
        <v>203</v>
      </c>
    </row>
    <row r="9" spans="1:28" ht="14.25" customHeight="1" x14ac:dyDescent="0.35">
      <c r="A9" s="27">
        <v>1</v>
      </c>
      <c r="B9" s="101">
        <v>1.0680000000000001</v>
      </c>
      <c r="C9" s="101">
        <f>'1. ish zad 1-10'!C3</f>
        <v>1.0680000000000001</v>
      </c>
      <c r="D9" s="28">
        <f>IF(ROUND(B9,2)=ROUND(C9,2),2,0)</f>
        <v>2</v>
      </c>
      <c r="E9" s="102"/>
      <c r="F9" s="28">
        <f t="shared" ref="F9:F18" si="0">IF(ISBLANK(E9),D9,E9)</f>
        <v>2</v>
      </c>
      <c r="G9" s="28" t="s">
        <v>204</v>
      </c>
      <c r="H9" s="15"/>
      <c r="I9" s="103"/>
      <c r="J9" s="15"/>
      <c r="K9" s="104">
        <v>11</v>
      </c>
      <c r="L9" s="192">
        <v>240</v>
      </c>
      <c r="M9" s="192">
        <f>'2. ish zad 11'!C10</f>
        <v>240</v>
      </c>
      <c r="N9" s="28">
        <f>IF(ROUND(L9,2)=ROUND(M9,2),0.375,0)</f>
        <v>0.375</v>
      </c>
      <c r="O9" s="102"/>
      <c r="P9" s="28">
        <f t="shared" ref="P9:P24" si="1">IF(ISBLANK(O9),N9,O9)</f>
        <v>0.375</v>
      </c>
      <c r="Q9" s="28" t="s">
        <v>272</v>
      </c>
      <c r="S9" s="100"/>
      <c r="U9" s="42">
        <v>12</v>
      </c>
      <c r="V9" s="105">
        <v>30376.794122970634</v>
      </c>
      <c r="W9" s="105">
        <f>'2. ish zad 12'!C14</f>
        <v>30376.79412297063</v>
      </c>
      <c r="X9" s="28">
        <f t="shared" ref="X9:X10" si="2">IF(ROUND(V9,2)=ROUND(W9,2),1,0)</f>
        <v>1</v>
      </c>
      <c r="Y9" s="106"/>
      <c r="Z9" s="28">
        <f t="shared" ref="Z9:Z11" si="3">IF(ISBLANK(Y9),X9,Y9)</f>
        <v>1</v>
      </c>
      <c r="AA9" s="28" t="s">
        <v>205</v>
      </c>
    </row>
    <row r="10" spans="1:28" ht="14.25" customHeight="1" x14ac:dyDescent="0.35">
      <c r="A10" s="27">
        <v>2</v>
      </c>
      <c r="B10" s="107">
        <v>0.27681533357906374</v>
      </c>
      <c r="C10" s="107">
        <f>'1. ish zad 1-10'!C8</f>
        <v>0.27681533357906374</v>
      </c>
      <c r="D10" s="28">
        <f>IF(ROUND(B10,4)=ROUND(C10,4),2,IF(ROUND(B10,4)+1=ROUND(C10,4),"provjeri odgovor",0))</f>
        <v>2</v>
      </c>
      <c r="E10" s="102"/>
      <c r="F10" s="28">
        <f t="shared" si="0"/>
        <v>2</v>
      </c>
      <c r="G10" s="28" t="s">
        <v>204</v>
      </c>
      <c r="H10" s="15"/>
      <c r="I10" s="103"/>
      <c r="J10" s="15"/>
      <c r="K10" s="15"/>
      <c r="L10" s="192">
        <v>80</v>
      </c>
      <c r="M10" s="192">
        <f>'2. ish zad 11'!C11</f>
        <v>80</v>
      </c>
      <c r="N10" s="28">
        <f t="shared" ref="N10:N24" si="4">IF(ROUND(L10,2)=ROUND(M10,2),0.375,0)</f>
        <v>0.375</v>
      </c>
      <c r="O10" s="102"/>
      <c r="P10" s="28">
        <f t="shared" si="1"/>
        <v>0.375</v>
      </c>
      <c r="Q10" s="28" t="s">
        <v>272</v>
      </c>
      <c r="S10" s="100"/>
      <c r="V10" s="105">
        <v>27708.322105577237</v>
      </c>
      <c r="W10" s="105">
        <f>'2. ish zad 12'!C16</f>
        <v>27708.32210557723</v>
      </c>
      <c r="X10" s="28">
        <f t="shared" si="2"/>
        <v>1</v>
      </c>
      <c r="Y10" s="106"/>
      <c r="Z10" s="28">
        <f t="shared" si="3"/>
        <v>1</v>
      </c>
      <c r="AA10" s="28" t="s">
        <v>205</v>
      </c>
    </row>
    <row r="11" spans="1:28" ht="14.25" customHeight="1" x14ac:dyDescent="0.35">
      <c r="A11" s="27">
        <v>3</v>
      </c>
      <c r="B11" s="107">
        <v>0.86998892580287934</v>
      </c>
      <c r="C11" s="107">
        <f>'1. ish zad 1-10'!C13</f>
        <v>0.86998892580287934</v>
      </c>
      <c r="D11" s="28">
        <f>IF(ROUND(B11,4)=ROUND(C11,4),2,0)</f>
        <v>2</v>
      </c>
      <c r="E11" s="102"/>
      <c r="F11" s="28">
        <f t="shared" si="0"/>
        <v>2</v>
      </c>
      <c r="G11" s="28" t="s">
        <v>204</v>
      </c>
      <c r="H11" s="15"/>
      <c r="I11" s="103"/>
      <c r="J11" s="15"/>
      <c r="K11" s="15"/>
      <c r="L11" s="192">
        <v>320</v>
      </c>
      <c r="M11" s="192">
        <f>'2. ish zad 11'!C12</f>
        <v>320</v>
      </c>
      <c r="N11" s="28">
        <f t="shared" si="4"/>
        <v>0.375</v>
      </c>
      <c r="O11" s="102"/>
      <c r="P11" s="28">
        <f t="shared" si="1"/>
        <v>0.375</v>
      </c>
      <c r="Q11" s="28" t="s">
        <v>272</v>
      </c>
      <c r="S11" s="100"/>
      <c r="V11" s="105">
        <v>31882.182153851383</v>
      </c>
      <c r="W11" s="105">
        <f>'2. ish zad 12'!C18</f>
        <v>31882.182153851369</v>
      </c>
      <c r="X11" s="28">
        <f>IF(ROUND(V11,2)=ROUND(W11,2),3,0)</f>
        <v>3</v>
      </c>
      <c r="Y11" s="106"/>
      <c r="Z11" s="28">
        <f t="shared" si="3"/>
        <v>3</v>
      </c>
      <c r="AA11" s="28" t="s">
        <v>206</v>
      </c>
    </row>
    <row r="12" spans="1:28" ht="14.25" customHeight="1" x14ac:dyDescent="0.35">
      <c r="A12" s="27">
        <v>4</v>
      </c>
      <c r="B12" s="107">
        <v>0.24242424242424243</v>
      </c>
      <c r="C12" s="107">
        <f>'1. ish zad 1-10'!C18</f>
        <v>0.24242424242424243</v>
      </c>
      <c r="D12" s="28">
        <f>IF(ROUND(B12,4)=ROUND(C12,4),2,IF(ROUND(B12,4)+1=ROUND(C12,4),"provjeri odgovor",0))</f>
        <v>2</v>
      </c>
      <c r="E12" s="102"/>
      <c r="F12" s="28">
        <f t="shared" si="0"/>
        <v>2</v>
      </c>
      <c r="G12" s="28" t="s">
        <v>204</v>
      </c>
      <c r="H12" s="15"/>
      <c r="I12" s="103"/>
      <c r="J12" s="15"/>
      <c r="K12" s="15"/>
      <c r="L12" s="192">
        <v>1280</v>
      </c>
      <c r="M12" s="192">
        <f>'2. ish zad 11'!C13</f>
        <v>1280</v>
      </c>
      <c r="N12" s="28">
        <f t="shared" si="4"/>
        <v>0.375</v>
      </c>
      <c r="O12" s="102"/>
      <c r="P12" s="28">
        <f t="shared" si="1"/>
        <v>0.375</v>
      </c>
      <c r="Q12" s="28" t="s">
        <v>272</v>
      </c>
      <c r="S12" s="100"/>
      <c r="U12" s="27" t="s">
        <v>207</v>
      </c>
      <c r="V12" s="28"/>
      <c r="W12" s="28"/>
      <c r="X12" s="27"/>
      <c r="Y12" s="108"/>
      <c r="Z12" s="27">
        <f>SUM(Z9:Z11)</f>
        <v>5</v>
      </c>
      <c r="AA12" s="27" t="s">
        <v>208</v>
      </c>
    </row>
    <row r="13" spans="1:28" ht="14.25" customHeight="1" x14ac:dyDescent="0.35">
      <c r="A13" s="27">
        <v>5</v>
      </c>
      <c r="B13" s="101">
        <v>1.5750000000000002</v>
      </c>
      <c r="C13" s="101">
        <f>'1. ish zad 1-10'!C23</f>
        <v>1.5750000000000002</v>
      </c>
      <c r="D13" s="28">
        <f t="shared" ref="D13" si="5">IF(ROUND(B13,2)=ROUND(C13,2),2,0)</f>
        <v>2</v>
      </c>
      <c r="E13" s="102"/>
      <c r="F13" s="28">
        <f t="shared" si="0"/>
        <v>2</v>
      </c>
      <c r="G13" s="28" t="s">
        <v>204</v>
      </c>
      <c r="H13" s="15"/>
      <c r="I13" s="103"/>
      <c r="J13" s="15"/>
      <c r="K13" s="15"/>
      <c r="L13" s="192">
        <v>995.43</v>
      </c>
      <c r="M13" s="192">
        <f>'2. ish zad 11'!C14</f>
        <v>995.43</v>
      </c>
      <c r="N13" s="28">
        <f t="shared" si="4"/>
        <v>0.375</v>
      </c>
      <c r="O13" s="102"/>
      <c r="P13" s="28">
        <f t="shared" si="1"/>
        <v>0.375</v>
      </c>
      <c r="Q13" s="28" t="s">
        <v>272</v>
      </c>
      <c r="S13" s="100"/>
    </row>
    <row r="14" spans="1:28" ht="14.25" customHeight="1" x14ac:dyDescent="0.35">
      <c r="A14" s="27">
        <v>6</v>
      </c>
      <c r="B14" s="101">
        <v>17.600000000000001</v>
      </c>
      <c r="C14" s="101">
        <f>'1. ish zad 1-10'!C28</f>
        <v>17.600000000000001</v>
      </c>
      <c r="D14" s="28">
        <f>IF(ROUND(B14,2)=ROUND(C14,2),3,0)</f>
        <v>3</v>
      </c>
      <c r="E14" s="102"/>
      <c r="F14" s="28">
        <f t="shared" si="0"/>
        <v>3</v>
      </c>
      <c r="G14" s="28" t="s">
        <v>271</v>
      </c>
      <c r="H14" s="15"/>
      <c r="I14" s="103"/>
      <c r="J14" s="15"/>
      <c r="K14" s="15"/>
      <c r="L14" s="192">
        <v>995.43</v>
      </c>
      <c r="M14" s="192">
        <f>'2. ish zad 11'!C15</f>
        <v>995.43</v>
      </c>
      <c r="N14" s="28">
        <f t="shared" si="4"/>
        <v>0.375</v>
      </c>
      <c r="O14" s="102"/>
      <c r="P14" s="28">
        <f t="shared" si="1"/>
        <v>0.375</v>
      </c>
      <c r="Q14" s="28" t="s">
        <v>272</v>
      </c>
      <c r="S14" s="100"/>
    </row>
    <row r="15" spans="1:28" ht="14.25" customHeight="1" x14ac:dyDescent="0.35">
      <c r="A15" s="27">
        <v>7</v>
      </c>
      <c r="B15" s="109">
        <v>5142</v>
      </c>
      <c r="C15" s="28">
        <f>'1. ish zad 1-10'!C34</f>
        <v>5142</v>
      </c>
      <c r="D15" s="28">
        <f>IF(B15=C15,2,0)</f>
        <v>2</v>
      </c>
      <c r="E15" s="102"/>
      <c r="F15" s="28">
        <f t="shared" si="0"/>
        <v>2</v>
      </c>
      <c r="G15" s="28" t="s">
        <v>204</v>
      </c>
      <c r="H15" s="15"/>
      <c r="I15" s="103"/>
      <c r="J15" s="15"/>
      <c r="K15" s="15"/>
      <c r="L15" s="192">
        <v>0</v>
      </c>
      <c r="M15" s="192">
        <f>'2. ish zad 11'!C16</f>
        <v>0</v>
      </c>
      <c r="N15" s="28">
        <f t="shared" si="4"/>
        <v>0.375</v>
      </c>
      <c r="O15" s="102"/>
      <c r="P15" s="28">
        <f t="shared" si="1"/>
        <v>0.375</v>
      </c>
      <c r="Q15" s="28" t="s">
        <v>272</v>
      </c>
      <c r="S15" s="100"/>
    </row>
    <row r="16" spans="1:28" ht="14.25" customHeight="1" x14ac:dyDescent="0.35">
      <c r="A16" s="27">
        <v>8</v>
      </c>
      <c r="B16" s="107">
        <v>3.3644496304939715E-2</v>
      </c>
      <c r="C16" s="107">
        <f>'1. ish zad 1-10'!C39</f>
        <v>3.3644496304939715E-2</v>
      </c>
      <c r="D16" s="28">
        <f t="shared" ref="D16:D18" si="6">IF(ROUND(B16,3)=ROUND(C16,3),2,0)</f>
        <v>2</v>
      </c>
      <c r="E16" s="102"/>
      <c r="F16" s="28">
        <f t="shared" si="0"/>
        <v>2</v>
      </c>
      <c r="G16" s="28" t="s">
        <v>204</v>
      </c>
      <c r="H16" s="15"/>
      <c r="I16" s="103"/>
      <c r="J16" s="15"/>
      <c r="K16" s="15"/>
      <c r="L16" s="192">
        <v>284.57000000000005</v>
      </c>
      <c r="M16" s="192">
        <f>'2. ish zad 11'!C17</f>
        <v>284.57000000000005</v>
      </c>
      <c r="N16" s="28">
        <f t="shared" si="4"/>
        <v>0.375</v>
      </c>
      <c r="O16" s="102"/>
      <c r="P16" s="28">
        <f t="shared" si="1"/>
        <v>0.375</v>
      </c>
      <c r="Q16" s="28" t="s">
        <v>272</v>
      </c>
      <c r="S16" s="100"/>
    </row>
    <row r="17" spans="1:27" ht="14.25" customHeight="1" x14ac:dyDescent="0.35">
      <c r="A17" s="27">
        <v>9</v>
      </c>
      <c r="B17" s="107">
        <v>4.9674440172343841E-2</v>
      </c>
      <c r="C17" s="107">
        <f>'1. ish zad 1-10'!C44</f>
        <v>4.9674440172343841E-2</v>
      </c>
      <c r="D17" s="28">
        <f t="shared" si="6"/>
        <v>2</v>
      </c>
      <c r="E17" s="102"/>
      <c r="F17" s="28">
        <f t="shared" si="0"/>
        <v>2</v>
      </c>
      <c r="G17" s="28" t="s">
        <v>204</v>
      </c>
      <c r="H17" s="15"/>
      <c r="I17" s="103"/>
      <c r="J17" s="15"/>
      <c r="K17" s="15"/>
      <c r="L17" s="192">
        <v>56.914000000000016</v>
      </c>
      <c r="M17" s="192">
        <f>'2. ish zad 11'!C18</f>
        <v>56.914000000000016</v>
      </c>
      <c r="N17" s="28">
        <f t="shared" si="4"/>
        <v>0.375</v>
      </c>
      <c r="O17" s="102"/>
      <c r="P17" s="28">
        <f t="shared" si="1"/>
        <v>0.375</v>
      </c>
      <c r="Q17" s="28" t="s">
        <v>272</v>
      </c>
      <c r="S17" s="100"/>
    </row>
    <row r="18" spans="1:27" ht="14.25" customHeight="1" x14ac:dyDescent="0.35">
      <c r="A18" s="27">
        <v>10</v>
      </c>
      <c r="B18" s="107">
        <v>0.3490229237128899</v>
      </c>
      <c r="C18" s="107">
        <f>'1. ish zad 1-10'!C50</f>
        <v>0.3490229237128899</v>
      </c>
      <c r="D18" s="28">
        <f t="shared" si="6"/>
        <v>2</v>
      </c>
      <c r="E18" s="102"/>
      <c r="F18" s="28">
        <f t="shared" si="0"/>
        <v>2</v>
      </c>
      <c r="G18" s="28" t="s">
        <v>204</v>
      </c>
      <c r="H18" s="15"/>
      <c r="I18" s="103"/>
      <c r="J18" s="15"/>
      <c r="K18" s="15"/>
      <c r="L18" s="192">
        <v>0</v>
      </c>
      <c r="M18" s="192">
        <f>'2. ish zad 11'!C19</f>
        <v>0</v>
      </c>
      <c r="N18" s="28">
        <f t="shared" si="4"/>
        <v>0.375</v>
      </c>
      <c r="O18" s="102"/>
      <c r="P18" s="28">
        <f t="shared" si="1"/>
        <v>0.375</v>
      </c>
      <c r="Q18" s="28" t="s">
        <v>272</v>
      </c>
      <c r="S18" s="100"/>
    </row>
    <row r="19" spans="1:27" ht="14.25" customHeight="1" x14ac:dyDescent="0.35">
      <c r="A19" s="27" t="s">
        <v>207</v>
      </c>
      <c r="B19" s="85"/>
      <c r="C19" s="85"/>
      <c r="D19" s="27"/>
      <c r="E19" s="108"/>
      <c r="F19" s="27">
        <f>SUM(F9:F18)</f>
        <v>21</v>
      </c>
      <c r="G19" s="27" t="s">
        <v>270</v>
      </c>
      <c r="H19" s="76"/>
      <c r="I19" s="99"/>
      <c r="J19" s="15"/>
      <c r="K19" s="15"/>
      <c r="L19" s="192">
        <v>56.914000000000016</v>
      </c>
      <c r="M19" s="192">
        <f>'2. ish zad 11'!C20</f>
        <v>56.914000000000016</v>
      </c>
      <c r="N19" s="28">
        <f t="shared" si="4"/>
        <v>0.375</v>
      </c>
      <c r="O19" s="102"/>
      <c r="P19" s="28">
        <f t="shared" si="1"/>
        <v>0.375</v>
      </c>
      <c r="Q19" s="28" t="s">
        <v>272</v>
      </c>
      <c r="S19" s="100"/>
    </row>
    <row r="20" spans="1:27" ht="14.25" customHeight="1" x14ac:dyDescent="0.35">
      <c r="I20" s="100"/>
      <c r="J20" s="15"/>
      <c r="K20" s="15"/>
      <c r="L20" s="192">
        <v>10.244520000000003</v>
      </c>
      <c r="M20" s="192">
        <f>'2. ish zad 11'!C21</f>
        <v>10.244520000000003</v>
      </c>
      <c r="N20" s="28">
        <f t="shared" si="4"/>
        <v>0.375</v>
      </c>
      <c r="O20" s="102"/>
      <c r="P20" s="28">
        <f t="shared" si="1"/>
        <v>0.375</v>
      </c>
      <c r="Q20" s="28" t="s">
        <v>272</v>
      </c>
      <c r="S20" s="100"/>
    </row>
    <row r="21" spans="1:27" ht="14.25" customHeight="1" x14ac:dyDescent="0.35">
      <c r="I21" s="100"/>
      <c r="J21" s="76"/>
      <c r="K21" s="15"/>
      <c r="L21" s="192">
        <v>1212.84148</v>
      </c>
      <c r="M21" s="192">
        <f>'2. ish zad 11'!C22</f>
        <v>1212.84148</v>
      </c>
      <c r="N21" s="28">
        <f t="shared" si="4"/>
        <v>0.375</v>
      </c>
      <c r="O21" s="102"/>
      <c r="P21" s="28">
        <f t="shared" si="1"/>
        <v>0.375</v>
      </c>
      <c r="Q21" s="28" t="s">
        <v>272</v>
      </c>
      <c r="S21" s="100"/>
    </row>
    <row r="22" spans="1:27" ht="14.25" customHeight="1" x14ac:dyDescent="0.35">
      <c r="I22" s="100"/>
      <c r="K22" s="15"/>
      <c r="L22" s="192">
        <v>264</v>
      </c>
      <c r="M22" s="192">
        <f>'2. ish zad 11'!C23</f>
        <v>264</v>
      </c>
      <c r="N22" s="28">
        <f t="shared" si="4"/>
        <v>0.375</v>
      </c>
      <c r="O22" s="102"/>
      <c r="P22" s="28">
        <f t="shared" si="1"/>
        <v>0.375</v>
      </c>
      <c r="Q22" s="28" t="s">
        <v>272</v>
      </c>
      <c r="S22" s="100"/>
    </row>
    <row r="23" spans="1:27" ht="14.25" customHeight="1" x14ac:dyDescent="0.35">
      <c r="I23" s="100"/>
      <c r="K23" s="15"/>
      <c r="L23" s="192">
        <v>1864</v>
      </c>
      <c r="M23" s="192">
        <f>'2. ish zad 11'!C24</f>
        <v>1864</v>
      </c>
      <c r="N23" s="28">
        <f t="shared" si="4"/>
        <v>0.375</v>
      </c>
      <c r="O23" s="102"/>
      <c r="P23" s="28">
        <f t="shared" si="1"/>
        <v>0.375</v>
      </c>
      <c r="Q23" s="28" t="s">
        <v>272</v>
      </c>
      <c r="S23" s="100"/>
    </row>
    <row r="24" spans="1:27" ht="14.25" customHeight="1" x14ac:dyDescent="0.35">
      <c r="I24" s="100"/>
      <c r="K24" s="15"/>
      <c r="L24" s="193">
        <v>0.65066603004291845</v>
      </c>
      <c r="M24" s="193">
        <f>'2. ish zad 11'!C25</f>
        <v>0.65066603004291845</v>
      </c>
      <c r="N24" s="28">
        <f t="shared" si="4"/>
        <v>0.375</v>
      </c>
      <c r="O24" s="102"/>
      <c r="P24" s="28">
        <f t="shared" si="1"/>
        <v>0.375</v>
      </c>
      <c r="Q24" s="28" t="s">
        <v>272</v>
      </c>
      <c r="S24" s="100"/>
    </row>
    <row r="25" spans="1:27" ht="14.25" customHeight="1" x14ac:dyDescent="0.35">
      <c r="I25" s="100"/>
      <c r="K25" s="27" t="s">
        <v>207</v>
      </c>
      <c r="L25" s="28"/>
      <c r="M25" s="28"/>
      <c r="N25" s="27"/>
      <c r="O25" s="108"/>
      <c r="P25" s="27">
        <f>SUM(P9:P24)</f>
        <v>6</v>
      </c>
      <c r="Q25" s="27" t="s">
        <v>214</v>
      </c>
      <c r="S25" s="100"/>
    </row>
    <row r="26" spans="1:27" ht="14.25" customHeight="1" x14ac:dyDescent="0.35">
      <c r="I26" s="100"/>
      <c r="K26" s="76"/>
      <c r="L26" s="15"/>
      <c r="M26" s="15"/>
      <c r="N26" s="76"/>
      <c r="O26" s="76"/>
      <c r="P26" s="76"/>
      <c r="Q26" s="76"/>
      <c r="S26" s="100"/>
    </row>
    <row r="27" spans="1:27" ht="14.25" customHeight="1" x14ac:dyDescent="0.35">
      <c r="A27" s="100"/>
      <c r="B27" s="100"/>
      <c r="C27" s="100"/>
      <c r="D27" s="100"/>
      <c r="E27" s="100"/>
      <c r="F27" s="100"/>
      <c r="G27" s="100"/>
      <c r="H27" s="100"/>
      <c r="I27" s="99"/>
      <c r="J27" s="103"/>
      <c r="K27" s="103"/>
      <c r="L27" s="99"/>
      <c r="M27" s="99"/>
      <c r="N27" s="99"/>
      <c r="O27" s="99"/>
      <c r="P27" s="100"/>
      <c r="Q27" s="100"/>
      <c r="R27" s="100"/>
      <c r="S27" s="100"/>
      <c r="T27" s="100"/>
      <c r="U27" s="100"/>
      <c r="V27" s="100"/>
      <c r="W27" s="100"/>
      <c r="X27" s="100"/>
      <c r="Y27" s="100"/>
      <c r="Z27" s="100"/>
      <c r="AA27" s="100"/>
    </row>
    <row r="28" spans="1:27" ht="14.25" customHeight="1" x14ac:dyDescent="0.35">
      <c r="I28" s="100"/>
      <c r="S28" s="100"/>
    </row>
    <row r="29" spans="1:27" ht="14.25" customHeight="1" x14ac:dyDescent="0.35">
      <c r="I29" s="100"/>
      <c r="S29" s="100"/>
    </row>
    <row r="30" spans="1:27" ht="14.25" customHeight="1" x14ac:dyDescent="0.35">
      <c r="A30" s="27" t="s">
        <v>197</v>
      </c>
      <c r="B30" s="27" t="s">
        <v>198</v>
      </c>
      <c r="C30" s="27" t="s">
        <v>199</v>
      </c>
      <c r="D30" s="27" t="s">
        <v>200</v>
      </c>
      <c r="E30" s="27" t="s">
        <v>201</v>
      </c>
      <c r="F30" s="27" t="s">
        <v>202</v>
      </c>
      <c r="G30" s="27" t="s">
        <v>203</v>
      </c>
      <c r="I30" s="100"/>
      <c r="K30" s="27" t="s">
        <v>197</v>
      </c>
      <c r="L30" s="27" t="s">
        <v>198</v>
      </c>
      <c r="M30" s="27" t="s">
        <v>199</v>
      </c>
      <c r="N30" s="27" t="s">
        <v>200</v>
      </c>
      <c r="O30" s="27" t="s">
        <v>201</v>
      </c>
      <c r="P30" s="27" t="s">
        <v>202</v>
      </c>
      <c r="Q30" s="27" t="s">
        <v>203</v>
      </c>
      <c r="S30" s="100"/>
      <c r="U30" s="27" t="s">
        <v>197</v>
      </c>
      <c r="V30" s="27" t="s">
        <v>198</v>
      </c>
      <c r="W30" s="27" t="s">
        <v>199</v>
      </c>
      <c r="X30" s="27" t="s">
        <v>200</v>
      </c>
      <c r="Y30" s="27" t="s">
        <v>201</v>
      </c>
      <c r="Z30" s="27" t="s">
        <v>202</v>
      </c>
      <c r="AA30" s="27" t="s">
        <v>203</v>
      </c>
    </row>
    <row r="31" spans="1:27" ht="14.25" customHeight="1" x14ac:dyDescent="0.35">
      <c r="A31" s="42">
        <v>13</v>
      </c>
      <c r="B31" s="101">
        <v>77816</v>
      </c>
      <c r="C31" s="101">
        <f>'2. ish zad 13'!C20</f>
        <v>77816</v>
      </c>
      <c r="D31" s="28">
        <f t="shared" ref="D31:D32" si="7">IF(ROUND(B31,1)=ROUND(C31,1),1.5,0)</f>
        <v>1.5</v>
      </c>
      <c r="E31" s="102"/>
      <c r="F31" s="28">
        <f t="shared" ref="F31:F33" si="8">IF(ISBLANK(E31),D31,E31)</f>
        <v>1.5</v>
      </c>
      <c r="G31" s="28" t="s">
        <v>209</v>
      </c>
      <c r="H31" s="76"/>
      <c r="I31" s="99"/>
      <c r="J31" s="76"/>
      <c r="K31" s="104">
        <v>14</v>
      </c>
      <c r="L31" s="110">
        <v>1.0023039138595753</v>
      </c>
      <c r="M31" s="110">
        <f>'2. ish zad 14'!D17</f>
        <v>1.0023039138595753</v>
      </c>
      <c r="N31" s="28">
        <f t="shared" ref="N31:N33" si="9">IF(ROUND(L31,2)=ROUND(M31,2),0.5,0)</f>
        <v>0.5</v>
      </c>
      <c r="O31" s="102"/>
      <c r="P31" s="28">
        <f t="shared" ref="P31:P36" si="10">IF(ISBLANK(O31),N31,O31)</f>
        <v>0.5</v>
      </c>
      <c r="Q31" s="28" t="s">
        <v>210</v>
      </c>
      <c r="S31" s="100"/>
      <c r="U31" s="104">
        <v>15</v>
      </c>
      <c r="V31" s="111">
        <v>24</v>
      </c>
      <c r="W31" s="111">
        <f>'3. ish zad 15'!F8</f>
        <v>24</v>
      </c>
      <c r="X31" s="28">
        <f>IF(ROUND(V31,2)=ROUND(W31,2),0.5,0)</f>
        <v>0.5</v>
      </c>
      <c r="Y31" s="102"/>
      <c r="Z31" s="28">
        <f t="shared" ref="Z31:Z36" si="11">IF(ISBLANK(Y31),X31,Y31)</f>
        <v>0.5</v>
      </c>
      <c r="AA31" s="28" t="s">
        <v>210</v>
      </c>
    </row>
    <row r="32" spans="1:27" ht="14.25" customHeight="1" x14ac:dyDescent="0.35">
      <c r="B32" s="101">
        <v>78109.240000000005</v>
      </c>
      <c r="C32" s="101">
        <f>'2. ish zad 13'!H20</f>
        <v>78109.240000000005</v>
      </c>
      <c r="D32" s="28">
        <f t="shared" si="7"/>
        <v>1.5</v>
      </c>
      <c r="E32" s="102"/>
      <c r="F32" s="28">
        <f t="shared" si="8"/>
        <v>1.5</v>
      </c>
      <c r="G32" s="28" t="s">
        <v>209</v>
      </c>
      <c r="H32" s="15"/>
      <c r="I32" s="103"/>
      <c r="J32" s="15"/>
      <c r="K32" s="15"/>
      <c r="L32" s="112">
        <v>2.3039138595752906E-3</v>
      </c>
      <c r="M32" s="112">
        <f>'2. ish zad 14'!D18</f>
        <v>2.3039138595752906E-3</v>
      </c>
      <c r="N32" s="28">
        <f t="shared" si="9"/>
        <v>0.5</v>
      </c>
      <c r="O32" s="102"/>
      <c r="P32" s="28">
        <f t="shared" si="10"/>
        <v>0.5</v>
      </c>
      <c r="Q32" s="28" t="s">
        <v>210</v>
      </c>
      <c r="S32" s="100"/>
      <c r="U32" s="15"/>
      <c r="V32" s="107">
        <v>2.2499999999999999E-2</v>
      </c>
      <c r="W32" s="107">
        <f>'3. ish zad 15'!F9</f>
        <v>2.2499999999999999E-2</v>
      </c>
      <c r="X32" s="28">
        <f>IF(ROUND(V32,4)=ROUND(W32,4),0.5,0)</f>
        <v>0.5</v>
      </c>
      <c r="Y32" s="102"/>
      <c r="Z32" s="28">
        <f t="shared" si="11"/>
        <v>0.5</v>
      </c>
      <c r="AA32" s="28" t="s">
        <v>210</v>
      </c>
    </row>
    <row r="33" spans="1:27" ht="14.25" customHeight="1" x14ac:dyDescent="0.35">
      <c r="B33" s="107">
        <v>-3.8E-3</v>
      </c>
      <c r="C33" s="107">
        <f>'2. ish zad 13'!C22</f>
        <v>-3.8E-3</v>
      </c>
      <c r="D33" s="28">
        <f>IF(ROUND(B33,3)=ROUND(C33,3),1,0)</f>
        <v>1</v>
      </c>
      <c r="E33" s="102"/>
      <c r="F33" s="28">
        <f t="shared" si="8"/>
        <v>1</v>
      </c>
      <c r="G33" s="28" t="s">
        <v>211</v>
      </c>
      <c r="H33" s="15"/>
      <c r="I33" s="103"/>
      <c r="J33" s="15"/>
      <c r="K33" s="15"/>
      <c r="L33" s="53">
        <v>372</v>
      </c>
      <c r="M33" s="53">
        <f>'2. ish zad 14'!D19</f>
        <v>372</v>
      </c>
      <c r="N33" s="28">
        <f t="shared" si="9"/>
        <v>0.5</v>
      </c>
      <c r="O33" s="102"/>
      <c r="P33" s="28">
        <f t="shared" si="10"/>
        <v>0.5</v>
      </c>
      <c r="Q33" s="28" t="s">
        <v>210</v>
      </c>
      <c r="S33" s="100"/>
      <c r="U33" s="15"/>
      <c r="V33" s="113">
        <v>1.0225</v>
      </c>
      <c r="W33" s="113">
        <f>'3. ish zad 15'!F10</f>
        <v>1.0225</v>
      </c>
      <c r="X33" s="28">
        <f>IF(ROUND(V33,2)=ROUND(W33,2),0.5,0)</f>
        <v>0.5</v>
      </c>
      <c r="Y33" s="102"/>
      <c r="Z33" s="28">
        <f t="shared" si="11"/>
        <v>0.5</v>
      </c>
      <c r="AA33" s="28" t="s">
        <v>210</v>
      </c>
    </row>
    <row r="34" spans="1:27" ht="14.25" customHeight="1" x14ac:dyDescent="0.35">
      <c r="A34" s="104" t="s">
        <v>207</v>
      </c>
      <c r="B34" s="28"/>
      <c r="C34" s="28"/>
      <c r="D34" s="27"/>
      <c r="E34" s="108"/>
      <c r="F34" s="27">
        <f>SUM(F31:F33)</f>
        <v>4</v>
      </c>
      <c r="G34" s="27" t="s">
        <v>212</v>
      </c>
      <c r="H34" s="15"/>
      <c r="I34" s="103"/>
      <c r="J34" s="15"/>
      <c r="K34" s="15"/>
      <c r="L34" s="101">
        <v>41135.413017865802</v>
      </c>
      <c r="M34" s="101">
        <f>'2. ish zad 14'!D21</f>
        <v>41135.413017865118</v>
      </c>
      <c r="N34" s="28">
        <f>IF(ABS(ROUND(L34,2))=ABS(ROUND(M34,2)),2,0)</f>
        <v>2</v>
      </c>
      <c r="O34" s="102"/>
      <c r="P34" s="28">
        <f t="shared" si="10"/>
        <v>2</v>
      </c>
      <c r="Q34" s="28" t="s">
        <v>213</v>
      </c>
      <c r="S34" s="100"/>
      <c r="U34" s="15"/>
      <c r="V34" s="101">
        <v>-815.7</v>
      </c>
      <c r="W34" s="101">
        <f>'3. ish zad 15'!F12</f>
        <v>-815.7</v>
      </c>
      <c r="X34" s="28">
        <f>IF(ABS(ROUND(V34,2))=ABS(ROUND(W34,2)),1,0)</f>
        <v>1</v>
      </c>
      <c r="Y34" s="102"/>
      <c r="Z34" s="28">
        <f t="shared" si="11"/>
        <v>1</v>
      </c>
      <c r="AA34" s="28" t="s">
        <v>205</v>
      </c>
    </row>
    <row r="35" spans="1:27" ht="14.25" customHeight="1" x14ac:dyDescent="0.35">
      <c r="I35" s="100"/>
      <c r="K35" s="15"/>
      <c r="L35" s="101">
        <v>-41135.413017865802</v>
      </c>
      <c r="M35" s="101">
        <f>'2. ish zad 14'!H10</f>
        <v>-41135.413017865118</v>
      </c>
      <c r="N35" s="28">
        <f>IF(ABS(ROUND(L35,2))=ABS(ROUND(M35,2)),0.5,0)</f>
        <v>0.5</v>
      </c>
      <c r="O35" s="102"/>
      <c r="P35" s="28">
        <f t="shared" si="10"/>
        <v>0.5</v>
      </c>
      <c r="Q35" s="28" t="s">
        <v>210</v>
      </c>
      <c r="S35" s="100"/>
      <c r="U35" s="15"/>
      <c r="V35" s="101">
        <v>797.85000000000309</v>
      </c>
      <c r="W35" s="101">
        <f>'3. ish zad 15'!F39</f>
        <v>797.85000000000309</v>
      </c>
      <c r="X35" s="28">
        <f>IF(ROUND(V35,2)=ROUND(W35,2),3,IF(ABS(V35-W35)&lt;2,2,0))</f>
        <v>3</v>
      </c>
      <c r="Y35" s="102"/>
      <c r="Z35" s="28">
        <f t="shared" si="11"/>
        <v>3</v>
      </c>
      <c r="AA35" s="28" t="s">
        <v>206</v>
      </c>
    </row>
    <row r="36" spans="1:27" ht="14.25" customHeight="1" x14ac:dyDescent="0.35">
      <c r="I36" s="99"/>
      <c r="J36" s="76"/>
      <c r="K36" s="15"/>
      <c r="L36" s="101">
        <v>201.76891305746113</v>
      </c>
      <c r="M36" s="101">
        <f>'2. ish zad 14'!H21</f>
        <v>201.76891305745781</v>
      </c>
      <c r="N36" s="28">
        <f>IF(ABS(ROUND(L36,2))=ABS(ROUND(M36,2)),2,0)</f>
        <v>2</v>
      </c>
      <c r="O36" s="102"/>
      <c r="P36" s="28">
        <f t="shared" si="10"/>
        <v>2</v>
      </c>
      <c r="Q36" s="28" t="s">
        <v>213</v>
      </c>
      <c r="S36" s="100"/>
      <c r="U36" s="15"/>
      <c r="V36" s="101">
        <v>815.80000000000314</v>
      </c>
      <c r="W36" s="101">
        <f>'3. ish zad 15'!C40</f>
        <v>815.80000000000314</v>
      </c>
      <c r="X36" s="28">
        <f>IF(ROUND(V36,2)=ROUND(W36,2),0.5,0)</f>
        <v>0.5</v>
      </c>
      <c r="Y36" s="102"/>
      <c r="Z36" s="28">
        <f t="shared" si="11"/>
        <v>0.5</v>
      </c>
      <c r="AA36" s="28" t="s">
        <v>210</v>
      </c>
    </row>
    <row r="37" spans="1:27" ht="14.25" customHeight="1" x14ac:dyDescent="0.35">
      <c r="I37" s="100"/>
      <c r="K37" s="27" t="s">
        <v>207</v>
      </c>
      <c r="L37" s="28"/>
      <c r="M37" s="28"/>
      <c r="N37" s="27"/>
      <c r="O37" s="108"/>
      <c r="P37" s="27">
        <f>SUM(P31:P36)</f>
        <v>6</v>
      </c>
      <c r="Q37" s="27" t="s">
        <v>214</v>
      </c>
      <c r="S37" s="100"/>
      <c r="U37" s="27" t="s">
        <v>207</v>
      </c>
      <c r="V37" s="28"/>
      <c r="W37" s="28"/>
      <c r="X37" s="27"/>
      <c r="Y37" s="108"/>
      <c r="Z37" s="27">
        <f>SUM(Z31:Z36)</f>
        <v>6</v>
      </c>
      <c r="AA37" s="27" t="s">
        <v>214</v>
      </c>
    </row>
    <row r="38" spans="1:27" ht="14.25" customHeight="1" x14ac:dyDescent="0.35">
      <c r="I38" s="100"/>
      <c r="K38" s="15"/>
      <c r="S38" s="100"/>
    </row>
    <row r="39" spans="1:27" ht="14.25" customHeight="1" x14ac:dyDescent="0.35">
      <c r="I39" s="100"/>
      <c r="K39" s="15"/>
      <c r="S39" s="100"/>
    </row>
    <row r="40" spans="1:27" ht="14.25" customHeight="1" x14ac:dyDescent="0.35">
      <c r="I40" s="100"/>
      <c r="K40" s="15"/>
      <c r="S40" s="100"/>
    </row>
    <row r="41" spans="1:27" ht="14.25" customHeight="1" x14ac:dyDescent="0.35">
      <c r="I41" s="100"/>
      <c r="K41" s="15"/>
      <c r="S41" s="100"/>
    </row>
    <row r="42" spans="1:27" ht="14.25" customHeight="1" x14ac:dyDescent="0.35">
      <c r="I42" s="100"/>
      <c r="K42" s="15"/>
      <c r="S42" s="100"/>
    </row>
    <row r="43" spans="1:27" ht="14.25" customHeight="1" x14ac:dyDescent="0.35">
      <c r="I43" s="100"/>
      <c r="K43" s="15"/>
      <c r="S43" s="100"/>
    </row>
    <row r="44" spans="1:27" ht="14.25" customHeight="1" x14ac:dyDescent="0.35">
      <c r="I44" s="100"/>
      <c r="K44" s="15"/>
      <c r="S44" s="100"/>
    </row>
    <row r="45" spans="1:27" ht="14.25" customHeight="1" x14ac:dyDescent="0.35">
      <c r="I45" s="100"/>
      <c r="K45" s="15"/>
      <c r="S45" s="100"/>
    </row>
    <row r="46" spans="1:27" ht="14.25" customHeight="1" x14ac:dyDescent="0.35">
      <c r="I46" s="100"/>
      <c r="K46" s="15"/>
      <c r="S46" s="100"/>
    </row>
    <row r="47" spans="1:27" ht="14.25" customHeight="1" x14ac:dyDescent="0.35">
      <c r="I47" s="100"/>
      <c r="S47" s="100"/>
    </row>
    <row r="48" spans="1:27" ht="14.25" customHeight="1" x14ac:dyDescent="0.35">
      <c r="I48" s="100"/>
      <c r="S48" s="100"/>
    </row>
    <row r="49" spans="1:27" ht="14.25" customHeight="1" x14ac:dyDescent="0.35">
      <c r="I49" s="100"/>
      <c r="S49" s="100"/>
    </row>
    <row r="50" spans="1:27" ht="14.25" customHeight="1" x14ac:dyDescent="0.35">
      <c r="I50" s="100"/>
      <c r="S50" s="100"/>
    </row>
    <row r="51" spans="1:27" ht="14.25" customHeight="1" x14ac:dyDescent="0.3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row>
    <row r="52" spans="1:27" ht="14.25" customHeight="1" x14ac:dyDescent="0.35">
      <c r="I52" s="100"/>
      <c r="S52" s="100"/>
    </row>
    <row r="53" spans="1:27" ht="14.25" customHeight="1" x14ac:dyDescent="0.35">
      <c r="I53" s="100"/>
      <c r="S53" s="100"/>
    </row>
    <row r="54" spans="1:27" ht="14.25" customHeight="1" x14ac:dyDescent="0.35">
      <c r="A54" s="27" t="s">
        <v>197</v>
      </c>
      <c r="B54" s="27" t="s">
        <v>198</v>
      </c>
      <c r="C54" s="27" t="s">
        <v>199</v>
      </c>
      <c r="D54" s="27" t="s">
        <v>200</v>
      </c>
      <c r="E54" s="27" t="s">
        <v>201</v>
      </c>
      <c r="F54" s="27" t="s">
        <v>202</v>
      </c>
      <c r="G54" s="27" t="s">
        <v>203</v>
      </c>
      <c r="H54" s="76"/>
      <c r="I54" s="99"/>
      <c r="J54" s="76"/>
      <c r="K54" s="27" t="s">
        <v>197</v>
      </c>
      <c r="L54" s="27" t="s">
        <v>198</v>
      </c>
      <c r="M54" s="27" t="s">
        <v>199</v>
      </c>
      <c r="N54" s="27" t="s">
        <v>200</v>
      </c>
      <c r="O54" s="27" t="s">
        <v>201</v>
      </c>
      <c r="P54" s="27" t="s">
        <v>202</v>
      </c>
      <c r="Q54" s="27" t="s">
        <v>203</v>
      </c>
      <c r="S54" s="100"/>
      <c r="U54" s="27" t="s">
        <v>197</v>
      </c>
      <c r="V54" s="27" t="s">
        <v>198</v>
      </c>
      <c r="W54" s="27" t="s">
        <v>199</v>
      </c>
      <c r="X54" s="27" t="s">
        <v>200</v>
      </c>
      <c r="Y54" s="27" t="s">
        <v>201</v>
      </c>
      <c r="Z54" s="27" t="s">
        <v>202</v>
      </c>
      <c r="AA54" s="27" t="s">
        <v>203</v>
      </c>
    </row>
    <row r="55" spans="1:27" ht="14.25" customHeight="1" x14ac:dyDescent="0.35">
      <c r="A55" s="104">
        <v>16</v>
      </c>
      <c r="B55" s="112">
        <v>9.6249999999999999E-3</v>
      </c>
      <c r="C55" s="112">
        <f>'3. ish zad 16'!C15</f>
        <v>9.6249999999999999E-3</v>
      </c>
      <c r="D55" s="28">
        <f>IF(ROUND(B55,4)=ROUND(C55,4),0.5,0)</f>
        <v>0.5</v>
      </c>
      <c r="E55" s="106"/>
      <c r="F55" s="28">
        <f t="shared" ref="F55:F59" si="12">IF(ISBLANK(E55),D55,E55)</f>
        <v>0.5</v>
      </c>
      <c r="G55" s="85">
        <v>0.5</v>
      </c>
      <c r="H55" s="15"/>
      <c r="I55" s="103"/>
      <c r="J55" s="15"/>
      <c r="K55" s="104">
        <v>17</v>
      </c>
      <c r="L55" s="105">
        <v>347.34</v>
      </c>
      <c r="M55" s="105">
        <f>'3. ish zad 17'!B87</f>
        <v>328.55</v>
      </c>
      <c r="N55" s="28">
        <f>IF(ROUND(L55,2)=ROUND(M55,2),2,IF(ABS(L55-M55)&lt;2,1,0))</f>
        <v>0</v>
      </c>
      <c r="O55" s="106"/>
      <c r="P55" s="28">
        <f t="shared" ref="P55:P57" si="13">IF(ISBLANK(O55),N55,O55)</f>
        <v>0</v>
      </c>
      <c r="Q55" s="28" t="s">
        <v>213</v>
      </c>
      <c r="S55" s="100"/>
      <c r="U55" s="27">
        <v>18</v>
      </c>
      <c r="V55" s="101">
        <v>10921.800000000007</v>
      </c>
      <c r="W55" s="101">
        <f>'3. ish zad 18'!C30</f>
        <v>10921.800000000007</v>
      </c>
      <c r="X55" s="28">
        <f>IF(ROUND(V55,2)=ROUND(W55,2),1,IF(ABS(V55-W55)&lt;2,0.5,0))</f>
        <v>1</v>
      </c>
      <c r="Y55" s="102"/>
      <c r="Z55" s="28">
        <f t="shared" ref="Z55:Z60" si="14">IF(ISBLANK(Y55),X55,Y55)</f>
        <v>1</v>
      </c>
      <c r="AA55" s="28" t="s">
        <v>205</v>
      </c>
    </row>
    <row r="56" spans="1:27" ht="14.25" customHeight="1" x14ac:dyDescent="0.35">
      <c r="B56" s="28">
        <v>132</v>
      </c>
      <c r="C56" s="28">
        <f>'3. ish zad 16'!C16</f>
        <v>132</v>
      </c>
      <c r="D56" s="28">
        <f>IF(ROUND(B56,2)=ROUND(C56,2),0.5,0)</f>
        <v>0.5</v>
      </c>
      <c r="E56" s="106"/>
      <c r="F56" s="28">
        <f t="shared" si="12"/>
        <v>0.5</v>
      </c>
      <c r="G56" s="85">
        <v>0.5</v>
      </c>
      <c r="H56" s="15"/>
      <c r="I56" s="103"/>
      <c r="J56" s="15"/>
      <c r="L56" s="105">
        <v>331.23</v>
      </c>
      <c r="M56" s="105">
        <f>'3. ish zad 17'!B123</f>
        <v>328.55</v>
      </c>
      <c r="N56" s="28">
        <f>IF(ROUND(L56,2)=ROUND(M56,2),2,IF(ABS(L56-M56)&lt;2,1,0))</f>
        <v>0</v>
      </c>
      <c r="O56" s="106"/>
      <c r="P56" s="28">
        <f t="shared" si="13"/>
        <v>0</v>
      </c>
      <c r="Q56" s="28" t="s">
        <v>213</v>
      </c>
      <c r="S56" s="100"/>
      <c r="U56" s="15"/>
      <c r="V56" s="101">
        <v>13290.79</v>
      </c>
      <c r="W56" s="101">
        <f>'3. ish zad 18'!C31</f>
        <v>13290.79</v>
      </c>
      <c r="X56" s="28">
        <f t="shared" ref="X56:X59" si="15">IF(ROUND(V56,2)=ROUND(W56,2),1,IF(ABS(V56-W56)&lt;2,0.5,0))</f>
        <v>1</v>
      </c>
      <c r="Y56" s="102"/>
      <c r="Z56" s="28">
        <f t="shared" si="14"/>
        <v>1</v>
      </c>
      <c r="AA56" s="28" t="s">
        <v>205</v>
      </c>
    </row>
    <row r="57" spans="1:27" ht="14.25" customHeight="1" x14ac:dyDescent="0.35">
      <c r="B57" s="101">
        <v>1439.39</v>
      </c>
      <c r="C57" s="101">
        <f>'3. ish zad 16'!C19</f>
        <v>1439.39</v>
      </c>
      <c r="D57" s="28">
        <f>IF(ROUND(B57,2)=ROUND(C57,2),1.5,0)</f>
        <v>1.5</v>
      </c>
      <c r="E57" s="106"/>
      <c r="F57" s="28">
        <f t="shared" si="12"/>
        <v>1.5</v>
      </c>
      <c r="G57" s="85">
        <v>1.5</v>
      </c>
      <c r="H57" s="15"/>
      <c r="I57" s="103"/>
      <c r="J57" s="15"/>
      <c r="L57" s="105">
        <v>330.41</v>
      </c>
      <c r="M57" s="105">
        <f>'3. ish zad 17'!B410</f>
        <v>0</v>
      </c>
      <c r="N57" s="28">
        <f>IF(ROUND(L57,2)=ROUND(M57,2),1,IF(ABS(L57-M57)&lt;2,0.5,0))</f>
        <v>0</v>
      </c>
      <c r="O57" s="106"/>
      <c r="P57" s="28">
        <f t="shared" si="13"/>
        <v>0</v>
      </c>
      <c r="Q57" s="28" t="s">
        <v>205</v>
      </c>
      <c r="S57" s="100"/>
      <c r="U57" s="15"/>
      <c r="V57" s="101">
        <v>174.89000000000001</v>
      </c>
      <c r="W57" s="101">
        <f>'3. ish zad 18'!G37</f>
        <v>174.89000000000001</v>
      </c>
      <c r="X57" s="28">
        <f t="shared" si="15"/>
        <v>1</v>
      </c>
      <c r="Y57" s="102"/>
      <c r="Z57" s="28">
        <f t="shared" si="14"/>
        <v>1</v>
      </c>
      <c r="AA57" s="28" t="s">
        <v>205</v>
      </c>
    </row>
    <row r="58" spans="1:27" ht="14.25" customHeight="1" x14ac:dyDescent="0.35">
      <c r="B58" s="101">
        <v>1439.9099999994899</v>
      </c>
      <c r="C58" s="101">
        <f>'3. ish zad 16'!J140</f>
        <v>1439.9099999994899</v>
      </c>
      <c r="D58" s="28">
        <f>IF(ROUND(B58,2)=ROUND(C58,2),2,IF(ABS(B58-C58)&lt;2,1,0))</f>
        <v>2</v>
      </c>
      <c r="E58" s="106"/>
      <c r="F58" s="28">
        <f t="shared" si="12"/>
        <v>2</v>
      </c>
      <c r="G58" s="85">
        <v>2</v>
      </c>
      <c r="H58" s="15"/>
      <c r="I58" s="103"/>
      <c r="J58" s="15"/>
      <c r="K58" s="104" t="s">
        <v>207</v>
      </c>
      <c r="L58" s="28"/>
      <c r="M58" s="28"/>
      <c r="N58" s="27"/>
      <c r="O58" s="108"/>
      <c r="P58" s="27">
        <f>SUM(P55:P57)</f>
        <v>0</v>
      </c>
      <c r="Q58" s="27" t="s">
        <v>208</v>
      </c>
      <c r="S58" s="100"/>
      <c r="U58" s="15"/>
      <c r="V58" s="101">
        <v>356.92</v>
      </c>
      <c r="W58" s="101">
        <f>'3. ish zad 18'!G97</f>
        <v>356.92</v>
      </c>
      <c r="X58" s="28">
        <f>IF(ROUND(V58,2)=ROUND(W58,2),0.5,IF(ABS(V58-W58)&lt;2,0.2,0))</f>
        <v>0.5</v>
      </c>
      <c r="Y58" s="102"/>
      <c r="Z58" s="28">
        <f t="shared" si="14"/>
        <v>0.5</v>
      </c>
      <c r="AA58" s="28" t="s">
        <v>210</v>
      </c>
    </row>
    <row r="59" spans="1:27" ht="14.25" customHeight="1" x14ac:dyDescent="0.35">
      <c r="B59" s="101">
        <v>1453.7699999994898</v>
      </c>
      <c r="C59" s="101">
        <f>'3. ish zad 16'!G141</f>
        <v>1453.7699999994898</v>
      </c>
      <c r="D59" s="28">
        <f>IF(ROUND(B59,2)=ROUND(C59,2),0.5,0)</f>
        <v>0.5</v>
      </c>
      <c r="E59" s="106"/>
      <c r="F59" s="28">
        <f t="shared" si="12"/>
        <v>0.5</v>
      </c>
      <c r="G59" s="85">
        <v>0.5</v>
      </c>
      <c r="H59" s="15"/>
      <c r="I59" s="103"/>
      <c r="J59" s="15"/>
      <c r="S59" s="100"/>
      <c r="U59" s="15"/>
      <c r="V59" s="101">
        <v>221.85</v>
      </c>
      <c r="W59" s="101">
        <f>'3. ish zad 18'!O37</f>
        <v>221.85</v>
      </c>
      <c r="X59" s="28">
        <f t="shared" si="15"/>
        <v>1</v>
      </c>
      <c r="Y59" s="102"/>
      <c r="Z59" s="28">
        <f t="shared" si="14"/>
        <v>1</v>
      </c>
      <c r="AA59" s="28" t="s">
        <v>205</v>
      </c>
    </row>
    <row r="60" spans="1:27" ht="14.25" customHeight="1" x14ac:dyDescent="0.35">
      <c r="A60" s="104" t="s">
        <v>207</v>
      </c>
      <c r="B60" s="28"/>
      <c r="C60" s="28"/>
      <c r="D60" s="27"/>
      <c r="E60" s="108"/>
      <c r="F60" s="27">
        <f>SUM(F55:F59)</f>
        <v>5</v>
      </c>
      <c r="G60" s="27" t="s">
        <v>208</v>
      </c>
      <c r="H60" s="15"/>
      <c r="I60" s="103"/>
      <c r="J60" s="15"/>
      <c r="S60" s="100"/>
      <c r="U60" s="15"/>
      <c r="V60" s="101">
        <v>415.29</v>
      </c>
      <c r="W60" s="101">
        <f>'3. ish zad 18'!O97</f>
        <v>415.29</v>
      </c>
      <c r="X60" s="28">
        <f>IF(ROUND(V60,2)=ROUND(W60,2),0.5,IF(ABS(V60-W60)&lt;2,0.2,0))</f>
        <v>0.5</v>
      </c>
      <c r="Y60" s="102"/>
      <c r="Z60" s="28">
        <f t="shared" si="14"/>
        <v>0.5</v>
      </c>
      <c r="AA60" s="28" t="s">
        <v>210</v>
      </c>
    </row>
    <row r="61" spans="1:27" ht="14.25" customHeight="1" x14ac:dyDescent="0.35">
      <c r="H61" s="15"/>
      <c r="I61" s="103"/>
      <c r="J61" s="15"/>
      <c r="S61" s="100"/>
      <c r="U61" s="27" t="s">
        <v>207</v>
      </c>
      <c r="V61" s="28"/>
      <c r="W61" s="28"/>
      <c r="X61" s="27"/>
      <c r="Y61" s="108"/>
      <c r="Z61" s="27">
        <f>SUM(Z55:Z60)</f>
        <v>5</v>
      </c>
      <c r="AA61" s="27" t="s">
        <v>208</v>
      </c>
    </row>
    <row r="62" spans="1:27" ht="14.25" customHeight="1" x14ac:dyDescent="0.35">
      <c r="H62" s="15"/>
      <c r="I62" s="103"/>
      <c r="J62" s="15"/>
      <c r="S62" s="100"/>
      <c r="U62" s="15"/>
      <c r="V62" s="15"/>
      <c r="W62" s="15"/>
      <c r="X62" s="15"/>
      <c r="Y62" s="15"/>
      <c r="Z62" s="15"/>
      <c r="AA62" s="15"/>
    </row>
    <row r="63" spans="1:27" ht="14.25" customHeight="1" x14ac:dyDescent="0.35">
      <c r="H63" s="15"/>
      <c r="I63" s="103"/>
      <c r="J63" s="15"/>
      <c r="S63" s="100"/>
      <c r="U63" s="15"/>
      <c r="V63" s="15"/>
      <c r="W63" s="15"/>
      <c r="X63" s="15"/>
      <c r="Y63" s="15"/>
      <c r="Z63" s="15"/>
      <c r="AA63" s="15"/>
    </row>
    <row r="64" spans="1:27" ht="14.25" customHeight="1" x14ac:dyDescent="0.35">
      <c r="H64" s="15"/>
      <c r="I64" s="103"/>
      <c r="J64" s="15"/>
      <c r="S64" s="100"/>
      <c r="U64" s="15"/>
      <c r="V64" s="15"/>
      <c r="W64" s="15"/>
      <c r="X64" s="15"/>
      <c r="Y64" s="15"/>
      <c r="Z64" s="15"/>
      <c r="AA64" s="15"/>
    </row>
    <row r="65" spans="1:27" ht="14.25" customHeight="1" x14ac:dyDescent="0.35">
      <c r="H65" s="76"/>
      <c r="I65" s="99"/>
      <c r="J65" s="15"/>
      <c r="S65" s="100"/>
      <c r="U65" s="15"/>
      <c r="V65" s="15"/>
      <c r="W65" s="15"/>
      <c r="X65" s="15"/>
      <c r="Y65" s="15"/>
      <c r="Z65" s="15"/>
      <c r="AA65" s="15"/>
    </row>
    <row r="66" spans="1:27" ht="14.25" customHeight="1" x14ac:dyDescent="0.35">
      <c r="I66" s="100"/>
      <c r="J66" s="15"/>
      <c r="S66" s="100"/>
      <c r="U66" s="15"/>
      <c r="V66" s="15"/>
      <c r="W66" s="15"/>
      <c r="X66" s="15"/>
      <c r="Y66" s="15"/>
      <c r="Z66" s="15"/>
      <c r="AA66" s="15"/>
    </row>
    <row r="67" spans="1:27" ht="14.25" customHeight="1" x14ac:dyDescent="0.35">
      <c r="I67" s="100"/>
      <c r="J67" s="76"/>
      <c r="S67" s="100"/>
      <c r="U67" s="15"/>
      <c r="V67" s="15"/>
      <c r="W67" s="15"/>
      <c r="X67" s="15"/>
      <c r="Y67" s="15"/>
      <c r="Z67" s="15"/>
      <c r="AA67" s="15"/>
    </row>
    <row r="68" spans="1:27" ht="14.25" customHeight="1" x14ac:dyDescent="0.35">
      <c r="I68" s="100"/>
      <c r="S68" s="100"/>
      <c r="U68" s="15"/>
      <c r="V68" s="15"/>
      <c r="W68" s="15"/>
      <c r="X68" s="15"/>
      <c r="Y68" s="15"/>
      <c r="Z68" s="15"/>
      <c r="AA68" s="15"/>
    </row>
    <row r="69" spans="1:27" ht="14.25" customHeight="1" x14ac:dyDescent="0.35">
      <c r="I69" s="100"/>
      <c r="S69" s="100"/>
      <c r="U69" s="15"/>
      <c r="V69" s="15"/>
      <c r="W69" s="15"/>
      <c r="X69" s="15"/>
      <c r="Y69" s="15"/>
      <c r="Z69" s="15"/>
      <c r="AA69" s="15"/>
    </row>
    <row r="70" spans="1:27" ht="14.25" customHeight="1" x14ac:dyDescent="0.35">
      <c r="I70" s="100"/>
      <c r="S70" s="100"/>
      <c r="U70" s="15"/>
      <c r="V70" s="15"/>
      <c r="W70" s="15"/>
      <c r="X70" s="15"/>
      <c r="Y70" s="15"/>
      <c r="Z70" s="15"/>
      <c r="AA70" s="15"/>
    </row>
    <row r="71" spans="1:27" ht="14.25" customHeight="1" x14ac:dyDescent="0.35">
      <c r="I71" s="100"/>
      <c r="S71" s="100"/>
      <c r="U71" s="15"/>
      <c r="V71" s="15"/>
      <c r="W71" s="15"/>
      <c r="X71" s="15"/>
      <c r="Y71" s="15"/>
      <c r="Z71" s="15"/>
      <c r="AA71" s="15"/>
    </row>
    <row r="72" spans="1:27" ht="14.25" customHeight="1" x14ac:dyDescent="0.35">
      <c r="I72" s="100"/>
      <c r="K72" s="76"/>
      <c r="L72" s="15"/>
      <c r="M72" s="15"/>
      <c r="N72" s="76"/>
      <c r="O72" s="76"/>
      <c r="P72" s="76"/>
      <c r="Q72" s="76"/>
      <c r="S72" s="100"/>
      <c r="U72" s="15"/>
      <c r="V72" s="15"/>
      <c r="W72" s="15"/>
      <c r="X72" s="15"/>
      <c r="Y72" s="15"/>
      <c r="Z72" s="15"/>
      <c r="AA72" s="15"/>
    </row>
    <row r="73" spans="1:27" ht="14.25" customHeight="1" x14ac:dyDescent="0.35">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row>
    <row r="74" spans="1:27" ht="14.25" customHeight="1" x14ac:dyDescent="0.35">
      <c r="I74" s="100"/>
      <c r="S74" s="100"/>
    </row>
    <row r="75" spans="1:27" ht="14.25" customHeight="1" x14ac:dyDescent="0.35">
      <c r="I75" s="100"/>
      <c r="S75" s="100"/>
    </row>
    <row r="76" spans="1:27" ht="14.25" customHeight="1" x14ac:dyDescent="0.35">
      <c r="A76" s="27" t="s">
        <v>197</v>
      </c>
      <c r="B76" s="27" t="s">
        <v>198</v>
      </c>
      <c r="C76" s="27" t="s">
        <v>199</v>
      </c>
      <c r="D76" s="27" t="s">
        <v>200</v>
      </c>
      <c r="E76" s="27" t="s">
        <v>201</v>
      </c>
      <c r="F76" s="27" t="s">
        <v>202</v>
      </c>
      <c r="G76" s="27" t="s">
        <v>203</v>
      </c>
      <c r="H76" s="76"/>
      <c r="I76" s="99"/>
      <c r="J76" s="76"/>
      <c r="K76" s="27" t="s">
        <v>197</v>
      </c>
      <c r="L76" s="27" t="s">
        <v>198</v>
      </c>
      <c r="M76" s="27" t="s">
        <v>199</v>
      </c>
      <c r="N76" s="27" t="s">
        <v>200</v>
      </c>
      <c r="O76" s="27" t="s">
        <v>201</v>
      </c>
      <c r="P76" s="27" t="s">
        <v>202</v>
      </c>
      <c r="Q76" s="27" t="s">
        <v>203</v>
      </c>
      <c r="S76" s="100"/>
      <c r="U76" s="27" t="s">
        <v>197</v>
      </c>
      <c r="V76" s="27" t="s">
        <v>198</v>
      </c>
      <c r="W76" s="27" t="s">
        <v>199</v>
      </c>
      <c r="X76" s="27" t="s">
        <v>200</v>
      </c>
      <c r="Y76" s="27" t="s">
        <v>201</v>
      </c>
      <c r="Z76" s="27" t="s">
        <v>202</v>
      </c>
      <c r="AA76" s="27" t="s">
        <v>203</v>
      </c>
    </row>
    <row r="77" spans="1:27" ht="14.25" customHeight="1" x14ac:dyDescent="0.35">
      <c r="A77" s="104">
        <v>19</v>
      </c>
      <c r="B77" s="53">
        <v>41159</v>
      </c>
      <c r="C77" s="53">
        <f>'4. ish zad 19'!B28</f>
        <v>41159</v>
      </c>
      <c r="D77" s="28">
        <f>IF(ROUND(B77,4)=ROUND(C77,4),1,0)</f>
        <v>1</v>
      </c>
      <c r="E77" s="102"/>
      <c r="F77" s="28">
        <f t="shared" ref="F77:F81" si="16">IF(ISBLANK(E77),D77,E77)</f>
        <v>1</v>
      </c>
      <c r="G77" s="28" t="s">
        <v>205</v>
      </c>
      <c r="H77" s="15"/>
      <c r="I77" s="103"/>
      <c r="J77" s="15"/>
      <c r="K77" s="104">
        <v>20</v>
      </c>
      <c r="L77" s="101">
        <v>506</v>
      </c>
      <c r="M77" s="101">
        <f>'4. ish zad 20'!B15</f>
        <v>506</v>
      </c>
      <c r="N77" s="28">
        <f>IF(ROUND(L77,2)=ROUND(M77,2),1,0)</f>
        <v>1</v>
      </c>
      <c r="O77" s="102"/>
      <c r="P77" s="28">
        <f t="shared" ref="P77:P86" si="17">IF(ISBLANK(O77),N77,O77)</f>
        <v>1</v>
      </c>
      <c r="Q77" s="28" t="s">
        <v>205</v>
      </c>
      <c r="S77" s="100"/>
      <c r="U77" s="27">
        <v>21</v>
      </c>
      <c r="V77" s="29" t="s">
        <v>215</v>
      </c>
      <c r="W77" s="29" t="s">
        <v>215</v>
      </c>
      <c r="X77" s="114"/>
      <c r="Y77" s="115"/>
      <c r="Z77" s="28">
        <f t="shared" ref="Z77:Z83" si="18">IF(ISBLANK(Y77),X77,Y77)</f>
        <v>0</v>
      </c>
      <c r="AA77" s="28" t="s">
        <v>205</v>
      </c>
    </row>
    <row r="78" spans="1:27" ht="14.25" customHeight="1" x14ac:dyDescent="0.35">
      <c r="B78" s="28">
        <v>2015</v>
      </c>
      <c r="C78" s="28">
        <f>'4. ish zad 19'!E13</f>
        <v>2015</v>
      </c>
      <c r="D78" s="28">
        <f>IF(ROUND(B78,2)=ROUND(C78,2),1,0)</f>
        <v>1</v>
      </c>
      <c r="E78" s="102"/>
      <c r="F78" s="28">
        <f t="shared" si="16"/>
        <v>1</v>
      </c>
      <c r="G78" s="28" t="s">
        <v>205</v>
      </c>
      <c r="H78" s="15"/>
      <c r="I78" s="103"/>
      <c r="J78" s="15"/>
      <c r="L78" s="29" t="s">
        <v>215</v>
      </c>
      <c r="M78" s="29" t="s">
        <v>215</v>
      </c>
      <c r="N78" s="114"/>
      <c r="O78" s="115"/>
      <c r="P78" s="28">
        <f t="shared" si="17"/>
        <v>0</v>
      </c>
      <c r="Q78" s="28" t="s">
        <v>205</v>
      </c>
      <c r="S78" s="100"/>
      <c r="U78" s="15"/>
      <c r="V78" s="28" t="s">
        <v>230</v>
      </c>
      <c r="W78" s="29" t="str">
        <f>'4. ish zad 21'!C26</f>
        <v>y = 513,95x - 36999</v>
      </c>
      <c r="X78" s="114">
        <f t="shared" ref="X78:X79" si="19">IF(V78=W78,0.5,0)</f>
        <v>0.5</v>
      </c>
      <c r="Y78" s="115"/>
      <c r="Z78" s="28">
        <f t="shared" si="18"/>
        <v>0.5</v>
      </c>
      <c r="AA78" s="28" t="s">
        <v>210</v>
      </c>
    </row>
    <row r="79" spans="1:27" ht="14.25" customHeight="1" x14ac:dyDescent="0.35">
      <c r="B79" s="29" t="s">
        <v>215</v>
      </c>
      <c r="C79" s="29" t="s">
        <v>215</v>
      </c>
      <c r="D79" s="114"/>
      <c r="E79" s="115"/>
      <c r="F79" s="28">
        <f t="shared" si="16"/>
        <v>0</v>
      </c>
      <c r="G79" s="28" t="s">
        <v>205</v>
      </c>
      <c r="H79" s="15"/>
      <c r="I79" s="103"/>
      <c r="J79" s="15"/>
      <c r="L79" s="28" t="s">
        <v>153</v>
      </c>
      <c r="M79" s="28" t="str">
        <f>'4. ish zad 20'!B21</f>
        <v>dan 4</v>
      </c>
      <c r="N79" s="114">
        <f>IF(L79=M79,1,0)</f>
        <v>1</v>
      </c>
      <c r="O79" s="115"/>
      <c r="P79" s="28">
        <f t="shared" si="17"/>
        <v>1</v>
      </c>
      <c r="Q79" s="28" t="s">
        <v>205</v>
      </c>
      <c r="S79" s="100"/>
      <c r="U79" s="15"/>
      <c r="V79" s="28" t="s">
        <v>231</v>
      </c>
      <c r="W79" s="29" t="str">
        <f>'4. ish zad 21'!C27</f>
        <v>y = 60945e^0,0024x</v>
      </c>
      <c r="X79" s="114">
        <f t="shared" si="19"/>
        <v>0.5</v>
      </c>
      <c r="Y79" s="115"/>
      <c r="Z79" s="28">
        <f t="shared" si="18"/>
        <v>0.5</v>
      </c>
      <c r="AA79" s="28" t="s">
        <v>210</v>
      </c>
    </row>
    <row r="80" spans="1:27" ht="14.25" customHeight="1" x14ac:dyDescent="0.35">
      <c r="B80" s="53">
        <v>44059</v>
      </c>
      <c r="C80" s="53">
        <f>'4. ish zad 19'!B38</f>
        <v>44059</v>
      </c>
      <c r="D80" s="28">
        <f>IF(ROUND(B80,2)=ROUND(C80,2),1,0)</f>
        <v>1</v>
      </c>
      <c r="E80" s="102"/>
      <c r="F80" s="28">
        <f t="shared" si="16"/>
        <v>1</v>
      </c>
      <c r="G80" s="28" t="s">
        <v>205</v>
      </c>
      <c r="H80" s="15"/>
      <c r="I80" s="103"/>
      <c r="J80" s="15"/>
      <c r="L80" s="101">
        <v>545</v>
      </c>
      <c r="M80" s="101">
        <f>'4. ish zad 20'!B25</f>
        <v>545</v>
      </c>
      <c r="N80" s="28">
        <f>IF(ROUND(L80,2)=ROUND(M80,2),1,0)</f>
        <v>1</v>
      </c>
      <c r="O80" s="102"/>
      <c r="P80" s="28">
        <f t="shared" si="17"/>
        <v>1</v>
      </c>
      <c r="Q80" s="28" t="s">
        <v>205</v>
      </c>
      <c r="S80" s="100"/>
      <c r="U80" s="15"/>
      <c r="V80" s="29" t="s">
        <v>216</v>
      </c>
      <c r="W80" s="29" t="str">
        <f>'4. ish zad 21'!B29</f>
        <v>eksponencijalni model</v>
      </c>
      <c r="X80" s="114">
        <f>IF(V80=W80,1,0)</f>
        <v>1</v>
      </c>
      <c r="Y80" s="115"/>
      <c r="Z80" s="28">
        <f t="shared" si="18"/>
        <v>1</v>
      </c>
      <c r="AA80" s="28" t="s">
        <v>205</v>
      </c>
    </row>
    <row r="81" spans="1:27" ht="14.25" customHeight="1" x14ac:dyDescent="0.35">
      <c r="B81" s="109">
        <v>46071.147829638998</v>
      </c>
      <c r="C81" s="109">
        <f>'4. ish zad 19'!B45</f>
        <v>46071.147829638998</v>
      </c>
      <c r="D81" s="28">
        <f>IF(ROUND(B81,0)=ROUND(C81,0),2,0)</f>
        <v>2</v>
      </c>
      <c r="E81" s="102"/>
      <c r="F81" s="28">
        <f t="shared" si="16"/>
        <v>2</v>
      </c>
      <c r="G81" s="28" t="s">
        <v>213</v>
      </c>
      <c r="H81" s="15"/>
      <c r="I81" s="103"/>
      <c r="J81" s="15"/>
      <c r="L81" s="107">
        <v>0.11752577319587632</v>
      </c>
      <c r="M81" s="107">
        <f>'4. ish zad 20'!B29</f>
        <v>0.11752577319587632</v>
      </c>
      <c r="N81" s="28">
        <f>IF(ROUND(L81,4)=ROUND(M81,4),1,0)</f>
        <v>1</v>
      </c>
      <c r="O81" s="102"/>
      <c r="P81" s="28">
        <f t="shared" si="17"/>
        <v>1</v>
      </c>
      <c r="Q81" s="28" t="s">
        <v>205</v>
      </c>
      <c r="S81" s="100"/>
      <c r="U81" s="15"/>
      <c r="V81" s="29" t="s">
        <v>217</v>
      </c>
      <c r="W81" s="29" t="s">
        <v>217</v>
      </c>
      <c r="X81" s="114"/>
      <c r="Y81" s="115"/>
      <c r="Z81" s="28">
        <f t="shared" si="18"/>
        <v>0</v>
      </c>
      <c r="AA81" s="28" t="s">
        <v>205</v>
      </c>
    </row>
    <row r="82" spans="1:27" ht="14.25" customHeight="1" x14ac:dyDescent="0.35">
      <c r="A82" s="104" t="s">
        <v>207</v>
      </c>
      <c r="B82" s="28"/>
      <c r="C82" s="28"/>
      <c r="D82" s="27"/>
      <c r="E82" s="108"/>
      <c r="F82" s="27">
        <f>SUM(F77:F81)</f>
        <v>5</v>
      </c>
      <c r="G82" s="27" t="s">
        <v>214</v>
      </c>
      <c r="H82" s="15"/>
      <c r="I82" s="103"/>
      <c r="J82" s="15"/>
      <c r="L82" s="109">
        <v>8721</v>
      </c>
      <c r="M82" s="109">
        <f>'4. ish zad 20'!B35</f>
        <v>8721</v>
      </c>
      <c r="N82" s="28">
        <f>IF(ROUND(L82,2)=ROUND(M82,2),1,0)</f>
        <v>1</v>
      </c>
      <c r="O82" s="102"/>
      <c r="P82" s="28">
        <f t="shared" si="17"/>
        <v>1</v>
      </c>
      <c r="Q82" s="28" t="s">
        <v>205</v>
      </c>
      <c r="S82" s="100"/>
      <c r="U82" s="15"/>
      <c r="V82" s="29" t="s">
        <v>217</v>
      </c>
      <c r="W82" s="29" t="s">
        <v>217</v>
      </c>
      <c r="X82" s="114"/>
      <c r="Y82" s="115"/>
      <c r="Z82" s="28">
        <f t="shared" si="18"/>
        <v>0</v>
      </c>
      <c r="AA82" s="28" t="s">
        <v>205</v>
      </c>
    </row>
    <row r="83" spans="1:27" ht="14.25" customHeight="1" x14ac:dyDescent="0.35">
      <c r="H83" s="15"/>
      <c r="I83" s="103"/>
      <c r="J83" s="15"/>
      <c r="L83" s="109">
        <v>15.548286812205035</v>
      </c>
      <c r="M83" s="109">
        <f>'4. ish zad 20'!B39</f>
        <v>15.548286812205035</v>
      </c>
      <c r="N83" s="28">
        <f>IF(OR(ROUND(L83,2)=ROUND(M83,2),ROUND(L84,2)=ROUND(M83,2)),0.5,0)</f>
        <v>0.5</v>
      </c>
      <c r="O83" s="102"/>
      <c r="P83" s="28">
        <f t="shared" si="17"/>
        <v>0.5</v>
      </c>
      <c r="Q83" s="28" t="s">
        <v>210</v>
      </c>
      <c r="S83" s="100"/>
      <c r="V83" s="101">
        <v>263478.51248446584</v>
      </c>
      <c r="W83" s="101">
        <f>'4. ish zad 21'!B35</f>
        <v>263478.51248446584</v>
      </c>
      <c r="X83" s="28">
        <f>IF(ROUND(V83,2)=ROUND(W83,2),1,0)</f>
        <v>1</v>
      </c>
      <c r="Y83" s="102"/>
      <c r="Z83" s="28">
        <f t="shared" si="18"/>
        <v>1</v>
      </c>
      <c r="AA83" s="28" t="s">
        <v>205</v>
      </c>
    </row>
    <row r="84" spans="1:27" ht="14.25" customHeight="1" x14ac:dyDescent="0.35">
      <c r="H84" s="15"/>
      <c r="I84" s="103"/>
      <c r="J84" s="15"/>
      <c r="L84" s="109">
        <v>-7.7982868122050348</v>
      </c>
      <c r="M84" s="109">
        <f>'4. ish zad 20'!B40</f>
        <v>-7.7982868122050348</v>
      </c>
      <c r="N84" s="28">
        <f>IF(OR(ROUND(L84,2)=ROUND(M84,2),ROUND(L83,2)=ROUND(M84,2)),0.5,0)</f>
        <v>0.5</v>
      </c>
      <c r="O84" s="102"/>
      <c r="P84" s="28">
        <f t="shared" si="17"/>
        <v>0.5</v>
      </c>
      <c r="Q84" s="28" t="s">
        <v>210</v>
      </c>
      <c r="S84" s="100"/>
      <c r="U84" s="27" t="s">
        <v>207</v>
      </c>
      <c r="V84" s="28"/>
      <c r="W84" s="28"/>
      <c r="X84" s="27"/>
      <c r="Y84" s="108"/>
      <c r="Z84" s="27">
        <f>SUM(Z77:Z83)</f>
        <v>3</v>
      </c>
      <c r="AA84" s="27" t="s">
        <v>214</v>
      </c>
    </row>
    <row r="85" spans="1:27" ht="14.25" customHeight="1" x14ac:dyDescent="0.35">
      <c r="H85" s="15"/>
      <c r="I85" s="103"/>
      <c r="J85" s="15"/>
      <c r="L85" s="29" t="s">
        <v>217</v>
      </c>
      <c r="M85" s="29" t="s">
        <v>217</v>
      </c>
      <c r="N85" s="114"/>
      <c r="O85" s="115"/>
      <c r="P85" s="28">
        <f t="shared" si="17"/>
        <v>0</v>
      </c>
      <c r="Q85" s="28" t="s">
        <v>205</v>
      </c>
      <c r="S85" s="100"/>
    </row>
    <row r="86" spans="1:27" ht="14.25" customHeight="1" x14ac:dyDescent="0.35">
      <c r="H86" s="15"/>
      <c r="I86" s="103"/>
      <c r="J86" s="15"/>
      <c r="L86" s="29" t="s">
        <v>217</v>
      </c>
      <c r="M86" s="29" t="s">
        <v>217</v>
      </c>
      <c r="N86" s="114"/>
      <c r="O86" s="115"/>
      <c r="P86" s="28">
        <f t="shared" si="17"/>
        <v>0</v>
      </c>
      <c r="Q86" s="28" t="s">
        <v>205</v>
      </c>
      <c r="S86" s="100"/>
      <c r="U86" s="15"/>
      <c r="V86" s="15"/>
      <c r="W86" s="15"/>
      <c r="X86" s="15"/>
      <c r="Y86" s="15"/>
      <c r="Z86" s="15"/>
      <c r="AA86" s="15"/>
    </row>
    <row r="87" spans="1:27" ht="14.25" customHeight="1" x14ac:dyDescent="0.35">
      <c r="H87" s="76"/>
      <c r="I87" s="99"/>
      <c r="J87" s="15"/>
      <c r="K87" s="104" t="s">
        <v>207</v>
      </c>
      <c r="L87" s="28"/>
      <c r="M87" s="28"/>
      <c r="N87" s="27"/>
      <c r="O87" s="108"/>
      <c r="P87" s="27">
        <f>SUM(P77:P86)</f>
        <v>6</v>
      </c>
      <c r="Q87" s="27" t="s">
        <v>218</v>
      </c>
      <c r="S87" s="100"/>
      <c r="U87" s="15"/>
      <c r="V87" s="15"/>
      <c r="W87" s="15"/>
      <c r="X87" s="15"/>
      <c r="Y87" s="15"/>
      <c r="Z87" s="15"/>
      <c r="AA87" s="15"/>
    </row>
    <row r="88" spans="1:27" ht="14.25" customHeight="1" x14ac:dyDescent="0.35">
      <c r="I88" s="100"/>
      <c r="J88" s="15"/>
      <c r="S88" s="100"/>
      <c r="U88" s="15"/>
      <c r="V88" s="15"/>
      <c r="W88" s="15"/>
      <c r="X88" s="15"/>
      <c r="Y88" s="15"/>
      <c r="Z88" s="15"/>
      <c r="AA88" s="15"/>
    </row>
    <row r="89" spans="1:27" ht="14.25" customHeight="1" x14ac:dyDescent="0.35">
      <c r="I89" s="100"/>
      <c r="J89" s="76"/>
      <c r="S89" s="100"/>
      <c r="U89" s="15"/>
      <c r="V89" s="15"/>
      <c r="W89" s="15"/>
      <c r="X89" s="15"/>
      <c r="Y89" s="15"/>
      <c r="Z89" s="15"/>
      <c r="AA89" s="15"/>
    </row>
    <row r="90" spans="1:27" ht="14.25" customHeight="1" x14ac:dyDescent="0.35">
      <c r="I90" s="100"/>
      <c r="S90" s="100"/>
      <c r="U90" s="15"/>
      <c r="V90" s="15"/>
      <c r="W90" s="15"/>
      <c r="X90" s="15"/>
      <c r="Y90" s="15"/>
      <c r="Z90" s="15"/>
      <c r="AA90" s="15"/>
    </row>
    <row r="91" spans="1:27" ht="14.25" customHeight="1" x14ac:dyDescent="0.35">
      <c r="I91" s="100"/>
      <c r="S91" s="100"/>
      <c r="U91" s="15"/>
      <c r="V91" s="15"/>
      <c r="W91" s="15"/>
      <c r="X91" s="15"/>
      <c r="Y91" s="15"/>
      <c r="Z91" s="15"/>
      <c r="AA91" s="15"/>
    </row>
    <row r="92" spans="1:27" ht="14.25" customHeight="1" x14ac:dyDescent="0.35">
      <c r="I92" s="100"/>
      <c r="S92" s="100"/>
      <c r="U92" s="15"/>
      <c r="V92" s="15"/>
      <c r="W92" s="15"/>
      <c r="X92" s="15"/>
      <c r="Y92" s="15"/>
      <c r="Z92" s="15"/>
      <c r="AA92" s="15"/>
    </row>
    <row r="93" spans="1:27" ht="14.25" customHeight="1" x14ac:dyDescent="0.35">
      <c r="I93" s="100"/>
      <c r="S93" s="100"/>
      <c r="U93" s="15"/>
      <c r="V93" s="15"/>
      <c r="W93" s="15"/>
      <c r="X93" s="15"/>
      <c r="Y93" s="15"/>
      <c r="Z93" s="15"/>
      <c r="AA93" s="15"/>
    </row>
    <row r="94" spans="1:27" ht="14.25" customHeight="1" x14ac:dyDescent="0.35">
      <c r="I94" s="100"/>
      <c r="K94" s="76"/>
      <c r="L94" s="15"/>
      <c r="M94" s="15"/>
      <c r="N94" s="76"/>
      <c r="O94" s="76"/>
      <c r="P94" s="76"/>
      <c r="Q94" s="76"/>
      <c r="S94" s="100"/>
      <c r="U94" s="15"/>
      <c r="V94" s="15"/>
      <c r="W94" s="15"/>
      <c r="X94" s="15"/>
      <c r="Y94" s="15"/>
      <c r="Z94" s="15"/>
      <c r="AA94" s="15"/>
    </row>
    <row r="95" spans="1:27" ht="14.25" customHeight="1" x14ac:dyDescent="0.35">
      <c r="A95" s="100"/>
      <c r="B95" s="100"/>
      <c r="C95" s="100"/>
      <c r="D95" s="100"/>
      <c r="E95" s="100"/>
      <c r="F95" s="100"/>
      <c r="G95" s="100"/>
      <c r="H95" s="100"/>
      <c r="I95" s="99"/>
      <c r="J95" s="103"/>
      <c r="K95" s="103"/>
      <c r="L95" s="99"/>
      <c r="M95" s="99"/>
      <c r="N95" s="99"/>
      <c r="O95" s="99"/>
      <c r="P95" s="100"/>
      <c r="Q95" s="100"/>
      <c r="R95" s="100"/>
      <c r="S95" s="100"/>
      <c r="T95" s="100"/>
      <c r="U95" s="100"/>
      <c r="V95" s="100"/>
      <c r="W95" s="100"/>
      <c r="X95" s="100"/>
      <c r="Y95" s="100"/>
      <c r="Z95" s="100"/>
      <c r="AA95" s="100"/>
    </row>
    <row r="96" spans="1:27"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H1:Q1"/>
    <mergeCell ref="R1:U1"/>
    <mergeCell ref="V1:Y1"/>
    <mergeCell ref="Z1:AB1"/>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D455-A15B-4884-876D-64642FFB5133}">
  <dimension ref="A1:Z1000"/>
  <sheetViews>
    <sheetView workbookViewId="0">
      <selection sqref="A1:G4"/>
    </sheetView>
  </sheetViews>
  <sheetFormatPr defaultColWidth="14.453125" defaultRowHeight="15" customHeight="1" x14ac:dyDescent="0.35"/>
  <cols>
    <col min="1" max="1" width="19.6328125" style="135" customWidth="1"/>
    <col min="2" max="2" width="24.36328125" style="135" customWidth="1"/>
    <col min="3" max="4" width="15.6328125" style="135" customWidth="1"/>
    <col min="5" max="5" width="18.36328125" style="135" customWidth="1"/>
    <col min="6" max="6" width="13.36328125" style="135" customWidth="1"/>
    <col min="7" max="7" width="8.6328125" style="135" customWidth="1"/>
    <col min="8" max="8" width="26.6328125" style="135" customWidth="1"/>
    <col min="9" max="9" width="10.36328125" style="135" customWidth="1"/>
    <col min="10" max="10" width="15.36328125" style="135" customWidth="1"/>
    <col min="11" max="11" width="15" style="135" customWidth="1"/>
    <col min="12" max="26" width="8.6328125" style="135" customWidth="1"/>
    <col min="27" max="16384" width="14.453125" style="135"/>
  </cols>
  <sheetData>
    <row r="1" spans="1:26" ht="14.25" customHeight="1" x14ac:dyDescent="0.35">
      <c r="A1" s="204" t="s">
        <v>266</v>
      </c>
      <c r="B1" s="205"/>
      <c r="C1" s="205"/>
      <c r="D1" s="205"/>
      <c r="E1" s="205"/>
      <c r="F1" s="205"/>
      <c r="G1" s="206"/>
      <c r="H1" s="133"/>
      <c r="I1" s="133"/>
      <c r="J1" s="133"/>
      <c r="K1" s="133"/>
      <c r="L1" s="134"/>
      <c r="M1" s="134"/>
      <c r="N1" s="134"/>
      <c r="O1" s="134"/>
      <c r="P1" s="134"/>
      <c r="Q1" s="134"/>
      <c r="R1" s="134"/>
      <c r="S1" s="134"/>
      <c r="T1" s="134"/>
      <c r="U1" s="134"/>
      <c r="V1" s="134"/>
      <c r="W1" s="134"/>
      <c r="X1" s="134"/>
      <c r="Y1" s="134"/>
      <c r="Z1" s="134"/>
    </row>
    <row r="2" spans="1:26" ht="14.25" customHeight="1" x14ac:dyDescent="0.35">
      <c r="A2" s="207"/>
      <c r="B2" s="208"/>
      <c r="C2" s="208"/>
      <c r="D2" s="208"/>
      <c r="E2" s="208"/>
      <c r="F2" s="208"/>
      <c r="G2" s="209"/>
      <c r="H2" s="136"/>
      <c r="I2" s="133"/>
      <c r="J2" s="133"/>
      <c r="K2" s="133"/>
      <c r="L2" s="134"/>
      <c r="M2" s="134"/>
      <c r="N2" s="134"/>
      <c r="O2" s="134"/>
      <c r="P2" s="134"/>
      <c r="Q2" s="134"/>
      <c r="R2" s="134"/>
      <c r="S2" s="134"/>
      <c r="T2" s="134"/>
      <c r="U2" s="134"/>
      <c r="V2" s="134"/>
      <c r="W2" s="134"/>
      <c r="X2" s="134"/>
      <c r="Y2" s="134"/>
      <c r="Z2" s="134"/>
    </row>
    <row r="3" spans="1:26" ht="14.25" customHeight="1" x14ac:dyDescent="0.35">
      <c r="A3" s="210"/>
      <c r="B3" s="211"/>
      <c r="C3" s="211"/>
      <c r="D3" s="211"/>
      <c r="E3" s="211"/>
      <c r="F3" s="211"/>
      <c r="G3" s="212"/>
      <c r="H3" s="137"/>
      <c r="I3" s="133"/>
      <c r="J3" s="133"/>
      <c r="K3" s="133"/>
      <c r="L3" s="134"/>
      <c r="M3" s="134"/>
      <c r="N3" s="134"/>
      <c r="O3" s="134"/>
      <c r="P3" s="134"/>
      <c r="Q3" s="134"/>
      <c r="R3" s="134"/>
      <c r="S3" s="134"/>
      <c r="T3" s="134"/>
      <c r="U3" s="134"/>
      <c r="V3" s="134"/>
      <c r="W3" s="134"/>
      <c r="X3" s="134"/>
      <c r="Y3" s="134"/>
      <c r="Z3" s="134"/>
    </row>
    <row r="4" spans="1:26" ht="14.25" customHeight="1" x14ac:dyDescent="0.35">
      <c r="A4" s="138" t="s">
        <v>265</v>
      </c>
      <c r="B4" s="139"/>
      <c r="C4" s="134"/>
      <c r="D4" s="134"/>
      <c r="E4" s="134"/>
      <c r="F4" s="134"/>
      <c r="G4" s="134"/>
      <c r="H4" s="140" t="s">
        <v>31</v>
      </c>
      <c r="I4" s="141"/>
      <c r="J4" s="141"/>
      <c r="K4" s="141"/>
      <c r="L4" s="141"/>
      <c r="M4" s="142"/>
      <c r="N4" s="134"/>
      <c r="O4" s="134"/>
      <c r="P4" s="134"/>
      <c r="Q4" s="134"/>
      <c r="R4" s="134"/>
      <c r="S4" s="134"/>
      <c r="T4" s="134"/>
      <c r="U4" s="134"/>
      <c r="V4" s="134"/>
      <c r="W4" s="134"/>
      <c r="X4" s="134"/>
      <c r="Y4" s="134"/>
      <c r="Z4" s="134"/>
    </row>
    <row r="5" spans="1:26" ht="14.25" customHeight="1" x14ac:dyDescent="0.35">
      <c r="A5" s="139"/>
      <c r="B5" s="139"/>
      <c r="C5" s="134"/>
      <c r="D5" s="134"/>
      <c r="E5" s="134"/>
      <c r="F5" s="134"/>
      <c r="G5" s="134"/>
      <c r="H5" s="143" t="s">
        <v>32</v>
      </c>
      <c r="J5" s="144">
        <v>530.9</v>
      </c>
      <c r="K5" s="145"/>
      <c r="L5" s="134"/>
      <c r="M5" s="146"/>
      <c r="N5" s="134"/>
      <c r="O5" s="134"/>
      <c r="P5" s="134"/>
      <c r="Q5" s="134"/>
      <c r="R5" s="134"/>
      <c r="S5" s="134"/>
      <c r="T5" s="134"/>
      <c r="U5" s="134"/>
      <c r="V5" s="134"/>
      <c r="W5" s="134"/>
      <c r="X5" s="134"/>
      <c r="Y5" s="134"/>
      <c r="Z5" s="134"/>
    </row>
    <row r="6" spans="1:26" ht="14.25" customHeight="1" x14ac:dyDescent="0.35">
      <c r="A6" s="134"/>
      <c r="B6" s="139"/>
      <c r="C6" s="134"/>
      <c r="D6" s="134"/>
      <c r="E6" s="134"/>
      <c r="F6" s="134"/>
      <c r="G6" s="134"/>
      <c r="H6" s="147"/>
      <c r="K6" s="134"/>
      <c r="L6" s="134"/>
      <c r="M6" s="146"/>
      <c r="N6" s="134"/>
      <c r="O6" s="134"/>
      <c r="P6" s="134"/>
      <c r="Q6" s="134"/>
      <c r="R6" s="134"/>
      <c r="S6" s="134"/>
      <c r="T6" s="134"/>
      <c r="U6" s="134"/>
      <c r="V6" s="134"/>
      <c r="W6" s="134"/>
      <c r="X6" s="134"/>
      <c r="Y6" s="134"/>
      <c r="Z6" s="134"/>
    </row>
    <row r="7" spans="1:26" ht="14.25" customHeight="1" x14ac:dyDescent="0.35">
      <c r="A7" s="148"/>
      <c r="B7" s="139"/>
      <c r="C7" s="134"/>
      <c r="D7" s="134"/>
      <c r="E7" s="134"/>
      <c r="F7" s="149"/>
      <c r="G7" s="134"/>
      <c r="H7" s="147" t="s">
        <v>256</v>
      </c>
      <c r="J7" s="150">
        <v>331.81</v>
      </c>
      <c r="K7" s="151"/>
      <c r="L7" s="134"/>
      <c r="M7" s="146"/>
      <c r="N7" s="134"/>
      <c r="O7" s="134"/>
      <c r="P7" s="134"/>
      <c r="Q7" s="134"/>
      <c r="R7" s="134"/>
      <c r="S7" s="134"/>
      <c r="T7" s="134"/>
      <c r="U7" s="134"/>
      <c r="V7" s="134"/>
      <c r="W7" s="134"/>
      <c r="X7" s="134"/>
      <c r="Y7" s="134"/>
      <c r="Z7" s="134"/>
    </row>
    <row r="8" spans="1:26" ht="14.25" customHeight="1" x14ac:dyDescent="0.35">
      <c r="A8" s="152"/>
      <c r="B8" s="153"/>
      <c r="C8" s="154"/>
      <c r="D8" s="134"/>
      <c r="E8" s="134"/>
      <c r="F8" s="155"/>
      <c r="G8" s="134"/>
      <c r="H8" s="156" t="s">
        <v>33</v>
      </c>
      <c r="I8" s="157" t="s">
        <v>34</v>
      </c>
      <c r="J8" s="157" t="s">
        <v>257</v>
      </c>
      <c r="K8" s="134"/>
      <c r="L8" s="134"/>
      <c r="M8" s="146"/>
      <c r="N8" s="134"/>
      <c r="O8" s="134"/>
      <c r="P8" s="134"/>
      <c r="Q8" s="134"/>
      <c r="R8" s="134"/>
      <c r="S8" s="134"/>
      <c r="T8" s="134"/>
      <c r="U8" s="134"/>
      <c r="V8" s="134"/>
      <c r="W8" s="134"/>
      <c r="X8" s="134"/>
      <c r="Y8" s="134"/>
      <c r="Z8" s="134"/>
    </row>
    <row r="9" spans="1:26" ht="14.25" customHeight="1" x14ac:dyDescent="0.35">
      <c r="A9" s="158" t="s">
        <v>35</v>
      </c>
      <c r="B9" s="159"/>
      <c r="C9" s="160">
        <v>1600</v>
      </c>
      <c r="D9" s="134"/>
      <c r="E9" s="134"/>
      <c r="F9" s="155"/>
      <c r="G9" s="134"/>
      <c r="H9" s="156" t="s">
        <v>36</v>
      </c>
      <c r="I9" s="157">
        <v>0.7</v>
      </c>
      <c r="J9" s="161">
        <f>ROUND(I9*$J$7,2)</f>
        <v>232.27</v>
      </c>
      <c r="K9" s="134"/>
      <c r="L9" s="134"/>
      <c r="M9" s="146"/>
      <c r="N9" s="134"/>
      <c r="O9" s="134"/>
      <c r="P9" s="134"/>
      <c r="Q9" s="134"/>
      <c r="R9" s="134"/>
      <c r="S9" s="134"/>
      <c r="T9" s="134"/>
      <c r="U9" s="134"/>
      <c r="V9" s="134"/>
      <c r="W9" s="134"/>
      <c r="X9" s="134"/>
      <c r="Y9" s="134"/>
      <c r="Z9" s="134"/>
    </row>
    <row r="10" spans="1:26" ht="14.5" x14ac:dyDescent="0.35">
      <c r="A10" s="162" t="s">
        <v>37</v>
      </c>
      <c r="B10" s="163" t="s">
        <v>38</v>
      </c>
      <c r="C10" s="164">
        <f>15%*C9</f>
        <v>240</v>
      </c>
      <c r="D10" s="134"/>
      <c r="E10" s="134"/>
      <c r="F10" s="134"/>
      <c r="G10" s="134"/>
      <c r="H10" s="156" t="s">
        <v>39</v>
      </c>
      <c r="I10" s="157">
        <v>1</v>
      </c>
      <c r="J10" s="161">
        <f t="shared" ref="J10:J18" si="0">ROUND(I10*$J$7,2)</f>
        <v>331.81</v>
      </c>
      <c r="K10" s="134"/>
      <c r="L10" s="134"/>
      <c r="M10" s="146"/>
      <c r="N10" s="134"/>
      <c r="O10" s="134"/>
      <c r="P10" s="134"/>
      <c r="Q10" s="134"/>
      <c r="R10" s="134"/>
      <c r="S10" s="134"/>
      <c r="T10" s="134"/>
      <c r="U10" s="134"/>
      <c r="V10" s="134"/>
      <c r="W10" s="134"/>
      <c r="X10" s="134"/>
      <c r="Y10" s="134"/>
      <c r="Z10" s="134"/>
    </row>
    <row r="11" spans="1:26" ht="14.5" x14ac:dyDescent="0.35">
      <c r="A11" s="162" t="s">
        <v>40</v>
      </c>
      <c r="B11" s="163" t="s">
        <v>41</v>
      </c>
      <c r="C11" s="164">
        <f>5%*C9</f>
        <v>80</v>
      </c>
      <c r="D11" s="134"/>
      <c r="E11" s="134"/>
      <c r="F11" s="145"/>
      <c r="G11" s="134"/>
      <c r="H11" s="156" t="s">
        <v>42</v>
      </c>
      <c r="I11" s="157">
        <v>1.4</v>
      </c>
      <c r="J11" s="161">
        <f t="shared" si="0"/>
        <v>464.53</v>
      </c>
      <c r="K11" s="134"/>
      <c r="L11" s="134"/>
      <c r="M11" s="146"/>
      <c r="N11" s="134"/>
      <c r="O11" s="134"/>
      <c r="P11" s="134"/>
      <c r="Q11" s="134"/>
      <c r="R11" s="134"/>
      <c r="S11" s="134"/>
      <c r="T11" s="134"/>
      <c r="U11" s="134"/>
      <c r="V11" s="134"/>
      <c r="W11" s="134"/>
      <c r="X11" s="134"/>
      <c r="Y11" s="134"/>
      <c r="Z11" s="134"/>
    </row>
    <row r="12" spans="1:26" ht="29" x14ac:dyDescent="0.35">
      <c r="A12" s="162" t="s">
        <v>43</v>
      </c>
      <c r="B12" s="165" t="s">
        <v>44</v>
      </c>
      <c r="C12" s="164">
        <f>C10+C11</f>
        <v>320</v>
      </c>
      <c r="D12" s="145"/>
      <c r="E12" s="134"/>
      <c r="F12" s="145"/>
      <c r="G12" s="134"/>
      <c r="H12" s="156" t="s">
        <v>45</v>
      </c>
      <c r="I12" s="157">
        <v>1.9</v>
      </c>
      <c r="J12" s="161">
        <f t="shared" si="0"/>
        <v>630.44000000000005</v>
      </c>
      <c r="K12" s="134"/>
      <c r="L12" s="134"/>
      <c r="M12" s="146"/>
      <c r="N12" s="134"/>
      <c r="O12" s="134"/>
      <c r="P12" s="134"/>
      <c r="Q12" s="134"/>
      <c r="R12" s="134"/>
      <c r="S12" s="134"/>
      <c r="T12" s="134"/>
      <c r="U12" s="134"/>
      <c r="V12" s="134"/>
      <c r="W12" s="134"/>
      <c r="X12" s="134"/>
      <c r="Y12" s="134"/>
      <c r="Z12" s="134"/>
    </row>
    <row r="13" spans="1:26" ht="29" x14ac:dyDescent="0.35">
      <c r="A13" s="166" t="s">
        <v>46</v>
      </c>
      <c r="B13" s="167" t="s">
        <v>47</v>
      </c>
      <c r="C13" s="168">
        <f>C9-C12</f>
        <v>1280</v>
      </c>
      <c r="D13" s="134"/>
      <c r="E13" s="134"/>
      <c r="F13" s="145"/>
      <c r="G13" s="134"/>
      <c r="H13" s="156" t="s">
        <v>48</v>
      </c>
      <c r="I13" s="157">
        <v>2.5</v>
      </c>
      <c r="J13" s="161">
        <f t="shared" si="0"/>
        <v>829.53</v>
      </c>
      <c r="K13" s="134"/>
      <c r="L13" s="134"/>
      <c r="M13" s="146"/>
      <c r="N13" s="134"/>
      <c r="O13" s="134"/>
      <c r="P13" s="134"/>
      <c r="Q13" s="134"/>
      <c r="R13" s="134"/>
      <c r="S13" s="134"/>
      <c r="T13" s="134"/>
      <c r="U13" s="134"/>
      <c r="V13" s="134"/>
      <c r="W13" s="134"/>
      <c r="X13" s="134"/>
      <c r="Y13" s="134"/>
      <c r="Z13" s="134"/>
    </row>
    <row r="14" spans="1:26" ht="29" x14ac:dyDescent="0.35">
      <c r="A14" s="169" t="s">
        <v>258</v>
      </c>
      <c r="B14" s="170"/>
      <c r="C14" s="171">
        <f>J5+J11</f>
        <v>995.43</v>
      </c>
      <c r="D14" s="134"/>
      <c r="E14" s="134"/>
      <c r="F14" s="145"/>
      <c r="G14" s="134"/>
      <c r="H14" s="156" t="s">
        <v>49</v>
      </c>
      <c r="I14" s="157">
        <v>3.2</v>
      </c>
      <c r="J14" s="161">
        <f t="shared" si="0"/>
        <v>1061.79</v>
      </c>
      <c r="K14" s="134"/>
      <c r="L14" s="134"/>
      <c r="M14" s="146"/>
      <c r="N14" s="134"/>
      <c r="O14" s="134"/>
      <c r="P14" s="134"/>
      <c r="Q14" s="134"/>
      <c r="R14" s="134"/>
      <c r="S14" s="134"/>
      <c r="T14" s="134"/>
      <c r="U14" s="134"/>
      <c r="V14" s="134"/>
      <c r="W14" s="134"/>
      <c r="X14" s="134"/>
      <c r="Y14" s="134"/>
      <c r="Z14" s="134"/>
    </row>
    <row r="15" spans="1:26" ht="29" x14ac:dyDescent="0.35">
      <c r="A15" s="169" t="s">
        <v>50</v>
      </c>
      <c r="B15" s="172" t="s">
        <v>51</v>
      </c>
      <c r="C15" s="173">
        <f>MIN(C13:C14)</f>
        <v>995.43</v>
      </c>
      <c r="D15" s="134"/>
      <c r="E15" s="134"/>
      <c r="F15" s="145"/>
      <c r="G15" s="134"/>
      <c r="H15" s="156" t="s">
        <v>52</v>
      </c>
      <c r="I15" s="157">
        <v>4</v>
      </c>
      <c r="J15" s="161">
        <f t="shared" si="0"/>
        <v>1327.24</v>
      </c>
      <c r="K15" s="134"/>
      <c r="L15" s="134"/>
      <c r="M15" s="146"/>
      <c r="N15" s="134"/>
      <c r="O15" s="134"/>
      <c r="P15" s="134"/>
      <c r="Q15" s="134"/>
      <c r="R15" s="134"/>
      <c r="S15" s="134"/>
      <c r="T15" s="134"/>
      <c r="U15" s="134"/>
      <c r="V15" s="134"/>
      <c r="W15" s="134"/>
      <c r="X15" s="134"/>
      <c r="Y15" s="134"/>
      <c r="Z15" s="134"/>
    </row>
    <row r="16" spans="1:26" ht="29" x14ac:dyDescent="0.35">
      <c r="A16" s="169" t="s">
        <v>53</v>
      </c>
      <c r="B16" s="172" t="s">
        <v>54</v>
      </c>
      <c r="C16" s="173">
        <f>C14-C15</f>
        <v>0</v>
      </c>
      <c r="D16" s="134"/>
      <c r="E16" s="134"/>
      <c r="F16" s="145"/>
      <c r="G16" s="134"/>
      <c r="H16" s="156" t="s">
        <v>55</v>
      </c>
      <c r="I16" s="157">
        <v>4.9000000000000004</v>
      </c>
      <c r="J16" s="161">
        <f t="shared" si="0"/>
        <v>1625.87</v>
      </c>
      <c r="K16" s="134"/>
      <c r="L16" s="134"/>
      <c r="M16" s="146"/>
      <c r="N16" s="134"/>
      <c r="O16" s="134"/>
      <c r="P16" s="134"/>
      <c r="Q16" s="134"/>
      <c r="R16" s="134"/>
      <c r="S16" s="134"/>
      <c r="T16" s="134"/>
      <c r="U16" s="134"/>
      <c r="V16" s="134"/>
      <c r="W16" s="134"/>
      <c r="X16" s="134"/>
      <c r="Y16" s="134"/>
      <c r="Z16" s="134"/>
    </row>
    <row r="17" spans="1:26" ht="29" x14ac:dyDescent="0.35">
      <c r="A17" s="166" t="s">
        <v>56</v>
      </c>
      <c r="B17" s="167" t="s">
        <v>57</v>
      </c>
      <c r="C17" s="168">
        <f>C13-C15</f>
        <v>284.57000000000005</v>
      </c>
      <c r="D17" s="134"/>
      <c r="E17" s="134"/>
      <c r="F17" s="145"/>
      <c r="G17" s="134"/>
      <c r="H17" s="156" t="s">
        <v>58</v>
      </c>
      <c r="I17" s="157">
        <v>5.9</v>
      </c>
      <c r="J17" s="161">
        <f t="shared" si="0"/>
        <v>1957.68</v>
      </c>
      <c r="K17" s="134"/>
      <c r="L17" s="134"/>
      <c r="M17" s="146"/>
      <c r="N17" s="134"/>
      <c r="O17" s="134"/>
      <c r="P17" s="134"/>
      <c r="Q17" s="134"/>
      <c r="R17" s="134"/>
      <c r="S17" s="134"/>
      <c r="T17" s="134"/>
      <c r="U17" s="134"/>
      <c r="V17" s="134"/>
      <c r="W17" s="134"/>
      <c r="X17" s="134"/>
      <c r="Y17" s="134"/>
      <c r="Z17" s="134"/>
    </row>
    <row r="18" spans="1:26" ht="29" x14ac:dyDescent="0.35">
      <c r="A18" s="174" t="s">
        <v>59</v>
      </c>
      <c r="B18" s="175" t="s">
        <v>259</v>
      </c>
      <c r="C18" s="176">
        <f>20%*C17</f>
        <v>56.914000000000016</v>
      </c>
      <c r="D18" s="134"/>
      <c r="E18" s="134"/>
      <c r="F18" s="145"/>
      <c r="G18" s="134"/>
      <c r="H18" s="177" t="s">
        <v>60</v>
      </c>
      <c r="I18" s="157">
        <v>0.7</v>
      </c>
      <c r="J18" s="161">
        <f t="shared" si="0"/>
        <v>232.27</v>
      </c>
      <c r="K18" s="134"/>
      <c r="L18" s="134"/>
      <c r="M18" s="146"/>
      <c r="N18" s="134"/>
      <c r="O18" s="134"/>
      <c r="P18" s="134"/>
      <c r="Q18" s="134"/>
      <c r="R18" s="134"/>
      <c r="S18" s="134"/>
      <c r="T18" s="134"/>
      <c r="U18" s="134"/>
      <c r="V18" s="134"/>
      <c r="W18" s="134"/>
      <c r="X18" s="134"/>
      <c r="Y18" s="134"/>
      <c r="Z18" s="134"/>
    </row>
    <row r="19" spans="1:26" ht="43.5" x14ac:dyDescent="0.35">
      <c r="A19" s="174" t="s">
        <v>61</v>
      </c>
      <c r="B19" s="175" t="s">
        <v>260</v>
      </c>
      <c r="C19" s="178"/>
      <c r="D19" s="134"/>
      <c r="E19" s="134"/>
      <c r="F19" s="145"/>
      <c r="G19" s="134"/>
      <c r="H19" s="179"/>
      <c r="I19" s="134"/>
      <c r="J19" s="134"/>
      <c r="K19" s="134"/>
      <c r="L19" s="134"/>
      <c r="M19" s="146"/>
      <c r="N19" s="134"/>
      <c r="O19" s="134"/>
      <c r="P19" s="134"/>
      <c r="Q19" s="134"/>
      <c r="R19" s="134"/>
      <c r="S19" s="134"/>
      <c r="T19" s="134"/>
      <c r="U19" s="134"/>
      <c r="V19" s="134"/>
      <c r="W19" s="134"/>
      <c r="X19" s="134"/>
      <c r="Y19" s="134"/>
      <c r="Z19" s="134"/>
    </row>
    <row r="20" spans="1:26" ht="14.5" x14ac:dyDescent="0.35">
      <c r="A20" s="174" t="s">
        <v>62</v>
      </c>
      <c r="B20" s="180"/>
      <c r="C20" s="176">
        <f>C18+C19</f>
        <v>56.914000000000016</v>
      </c>
      <c r="D20" s="134"/>
      <c r="E20" s="134"/>
      <c r="F20" s="145"/>
      <c r="G20" s="134"/>
      <c r="H20" s="179"/>
      <c r="I20" s="134"/>
      <c r="J20" s="134"/>
      <c r="K20" s="134"/>
      <c r="L20" s="134"/>
      <c r="M20" s="146"/>
      <c r="N20" s="134"/>
      <c r="O20" s="134"/>
      <c r="P20" s="134"/>
      <c r="Q20" s="134"/>
      <c r="R20" s="134"/>
      <c r="S20" s="134"/>
      <c r="T20" s="134"/>
      <c r="U20" s="134"/>
      <c r="V20" s="134"/>
      <c r="W20" s="134"/>
      <c r="X20" s="134"/>
      <c r="Y20" s="134"/>
      <c r="Z20" s="134"/>
    </row>
    <row r="21" spans="1:26" ht="14.5" x14ac:dyDescent="0.35">
      <c r="A21" s="174" t="s">
        <v>261</v>
      </c>
      <c r="B21" s="181" t="s">
        <v>262</v>
      </c>
      <c r="C21" s="176">
        <f>18%*C20</f>
        <v>10.244520000000003</v>
      </c>
      <c r="D21" s="134"/>
      <c r="E21" s="134"/>
      <c r="F21" s="145"/>
      <c r="G21" s="134"/>
      <c r="H21" s="147" t="s">
        <v>63</v>
      </c>
      <c r="I21" s="134"/>
      <c r="J21" s="134"/>
      <c r="K21" s="134"/>
      <c r="L21" s="134"/>
      <c r="M21" s="146"/>
      <c r="N21" s="134"/>
      <c r="O21" s="134"/>
      <c r="P21" s="134"/>
      <c r="Q21" s="134"/>
      <c r="R21" s="134"/>
      <c r="S21" s="134"/>
      <c r="T21" s="134"/>
      <c r="U21" s="134"/>
      <c r="V21" s="134"/>
      <c r="W21" s="134"/>
      <c r="X21" s="134"/>
      <c r="Y21" s="134"/>
      <c r="Z21" s="134"/>
    </row>
    <row r="22" spans="1:26" ht="29" x14ac:dyDescent="0.35">
      <c r="A22" s="182" t="s">
        <v>64</v>
      </c>
      <c r="B22" s="182" t="s">
        <v>65</v>
      </c>
      <c r="C22" s="183">
        <f>C13-C20-C21</f>
        <v>1212.84148</v>
      </c>
      <c r="D22" s="134"/>
      <c r="E22" s="134"/>
      <c r="F22" s="134"/>
      <c r="G22" s="134"/>
      <c r="H22" s="147" t="s">
        <v>263</v>
      </c>
      <c r="I22" s="134"/>
      <c r="J22" s="134"/>
      <c r="K22" s="134"/>
      <c r="L22" s="134"/>
      <c r="M22" s="146"/>
      <c r="N22" s="134"/>
      <c r="O22" s="134"/>
      <c r="P22" s="134"/>
      <c r="Q22" s="134"/>
      <c r="R22" s="134"/>
      <c r="S22" s="134"/>
      <c r="T22" s="134"/>
      <c r="U22" s="134"/>
      <c r="V22" s="134"/>
      <c r="W22" s="134"/>
      <c r="X22" s="134"/>
      <c r="Y22" s="134"/>
      <c r="Z22" s="134"/>
    </row>
    <row r="23" spans="1:26" ht="29" x14ac:dyDescent="0.35">
      <c r="A23" s="162" t="s">
        <v>66</v>
      </c>
      <c r="B23" s="163" t="s">
        <v>67</v>
      </c>
      <c r="C23" s="164">
        <f>16.5%*C9</f>
        <v>264</v>
      </c>
      <c r="D23" s="134"/>
      <c r="E23" s="134"/>
      <c r="F23" s="145"/>
      <c r="G23" s="134"/>
      <c r="H23" s="184" t="s">
        <v>264</v>
      </c>
      <c r="I23" s="185"/>
      <c r="J23" s="185"/>
      <c r="K23" s="185"/>
      <c r="L23" s="185"/>
      <c r="M23" s="186"/>
      <c r="N23" s="134"/>
      <c r="O23" s="134"/>
      <c r="P23" s="134"/>
      <c r="Q23" s="134"/>
      <c r="R23" s="134"/>
      <c r="S23" s="134"/>
      <c r="T23" s="134"/>
      <c r="U23" s="134"/>
      <c r="V23" s="134"/>
      <c r="W23" s="134"/>
      <c r="X23" s="134"/>
      <c r="Y23" s="134"/>
      <c r="Z23" s="134"/>
    </row>
    <row r="24" spans="1:26" ht="29" x14ac:dyDescent="0.35">
      <c r="A24" s="158" t="s">
        <v>68</v>
      </c>
      <c r="B24" s="187" t="s">
        <v>69</v>
      </c>
      <c r="C24" s="160">
        <f>C9+C23</f>
        <v>1864</v>
      </c>
      <c r="D24" s="134"/>
      <c r="E24" s="134"/>
      <c r="F24" s="145"/>
      <c r="G24" s="134"/>
      <c r="H24" s="134"/>
      <c r="I24" s="134"/>
      <c r="J24" s="134"/>
      <c r="K24" s="134"/>
      <c r="L24" s="134"/>
      <c r="M24" s="134"/>
      <c r="N24" s="134"/>
      <c r="O24" s="134"/>
      <c r="P24" s="134"/>
      <c r="Q24" s="134"/>
      <c r="R24" s="134"/>
      <c r="S24" s="134"/>
      <c r="T24" s="134"/>
      <c r="U24" s="134"/>
      <c r="V24" s="134"/>
      <c r="W24" s="134"/>
      <c r="X24" s="134"/>
      <c r="Y24" s="134"/>
      <c r="Z24" s="134"/>
    </row>
    <row r="25" spans="1:26" ht="14.5" x14ac:dyDescent="0.35">
      <c r="A25" s="166" t="s">
        <v>70</v>
      </c>
      <c r="B25" s="188" t="s">
        <v>71</v>
      </c>
      <c r="C25" s="189">
        <f>C22/C24</f>
        <v>0.65066603004291845</v>
      </c>
      <c r="D25" s="134"/>
      <c r="E25" s="134"/>
      <c r="F25" s="145"/>
      <c r="G25" s="134"/>
      <c r="H25" s="213" t="s">
        <v>72</v>
      </c>
      <c r="I25" s="214"/>
      <c r="J25" s="214"/>
      <c r="K25" s="214"/>
      <c r="L25" s="214"/>
      <c r="M25" s="215"/>
      <c r="N25" s="134"/>
      <c r="O25" s="134"/>
      <c r="P25" s="134"/>
      <c r="Q25" s="134"/>
      <c r="R25" s="134"/>
      <c r="S25" s="134"/>
      <c r="T25" s="134"/>
      <c r="U25" s="134"/>
      <c r="V25" s="134"/>
      <c r="W25" s="134"/>
      <c r="X25" s="134"/>
      <c r="Y25" s="134"/>
      <c r="Z25" s="134"/>
    </row>
    <row r="26" spans="1:26" ht="14.5" x14ac:dyDescent="0.35">
      <c r="A26" s="134"/>
      <c r="B26" s="134"/>
      <c r="C26" s="134"/>
      <c r="D26" s="134"/>
      <c r="E26" s="134"/>
      <c r="F26" s="134"/>
      <c r="G26" s="134"/>
      <c r="H26" s="179" t="s">
        <v>73</v>
      </c>
      <c r="I26" s="134"/>
      <c r="J26" s="134"/>
      <c r="K26" s="134"/>
      <c r="L26" s="134"/>
      <c r="M26" s="146"/>
      <c r="N26" s="134"/>
      <c r="O26" s="134"/>
      <c r="P26" s="134"/>
      <c r="Q26" s="134"/>
      <c r="R26" s="134"/>
      <c r="S26" s="134"/>
      <c r="T26" s="134"/>
      <c r="U26" s="134"/>
      <c r="V26" s="134"/>
      <c r="W26" s="134"/>
      <c r="X26" s="134"/>
      <c r="Y26" s="134"/>
      <c r="Z26" s="134"/>
    </row>
    <row r="27" spans="1:26" ht="14.5" x14ac:dyDescent="0.35">
      <c r="A27" s="138"/>
      <c r="B27" s="134"/>
      <c r="C27" s="134"/>
      <c r="D27" s="134"/>
      <c r="E27" s="134"/>
      <c r="F27" s="134"/>
      <c r="G27" s="134"/>
      <c r="H27" s="179"/>
      <c r="I27" s="134"/>
      <c r="J27" s="134"/>
      <c r="K27" s="134"/>
      <c r="L27" s="134"/>
      <c r="M27" s="146"/>
      <c r="N27" s="134"/>
      <c r="O27" s="134"/>
      <c r="P27" s="134"/>
      <c r="Q27" s="134"/>
      <c r="R27" s="134"/>
      <c r="S27" s="134"/>
      <c r="T27" s="134"/>
      <c r="U27" s="134"/>
      <c r="V27" s="134"/>
      <c r="W27" s="134"/>
      <c r="X27" s="134"/>
      <c r="Y27" s="134"/>
      <c r="Z27" s="134"/>
    </row>
    <row r="28" spans="1:26" ht="14.5" x14ac:dyDescent="0.35">
      <c r="A28" s="190"/>
      <c r="B28" s="134"/>
      <c r="C28" s="134"/>
      <c r="D28" s="134"/>
      <c r="E28" s="134"/>
      <c r="F28" s="134"/>
      <c r="G28" s="134"/>
      <c r="H28" s="191"/>
      <c r="I28" s="185"/>
      <c r="J28" s="185"/>
      <c r="K28" s="185"/>
      <c r="L28" s="185"/>
      <c r="M28" s="186"/>
      <c r="N28" s="134"/>
      <c r="O28" s="134"/>
      <c r="P28" s="134"/>
      <c r="Q28" s="134"/>
      <c r="R28" s="134"/>
      <c r="S28" s="134"/>
      <c r="T28" s="134"/>
      <c r="U28" s="134"/>
      <c r="V28" s="134"/>
      <c r="W28" s="134"/>
      <c r="X28" s="134"/>
      <c r="Y28" s="134"/>
      <c r="Z28" s="134"/>
    </row>
    <row r="29" spans="1:26" ht="14.5" x14ac:dyDescent="0.3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4.25" customHeight="1" x14ac:dyDescent="0.3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4.25" customHeight="1" x14ac:dyDescent="0.3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spans="1:26" ht="14.25" customHeight="1" x14ac:dyDescent="0.35">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4.25" customHeight="1" x14ac:dyDescent="0.35">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14.25" customHeight="1" x14ac:dyDescent="0.3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14.25" customHeight="1" x14ac:dyDescent="0.35">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4.25" customHeight="1" x14ac:dyDescent="0.35">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4.25" customHeight="1" x14ac:dyDescent="0.35">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4.25" customHeight="1" x14ac:dyDescent="0.35">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14.25" customHeight="1" x14ac:dyDescent="0.35">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14.25" customHeight="1" x14ac:dyDescent="0.3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14.25" customHeight="1" x14ac:dyDescent="0.3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14.25" customHeight="1" x14ac:dyDescent="0.3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14.25" customHeight="1" x14ac:dyDescent="0.35">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14.25" customHeight="1" x14ac:dyDescent="0.35">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14.25" customHeight="1" x14ac:dyDescent="0.3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4.25" customHeight="1" x14ac:dyDescent="0.35">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14.25" customHeight="1" x14ac:dyDescent="0.35">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14.25" customHeight="1" x14ac:dyDescent="0.35">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4.25" customHeight="1" x14ac:dyDescent="0.35">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4.25" customHeight="1" x14ac:dyDescent="0.3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4.25" customHeight="1" x14ac:dyDescent="0.35">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4.25" customHeight="1" x14ac:dyDescent="0.3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4.25" customHeight="1" x14ac:dyDescent="0.3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4.25" customHeight="1" x14ac:dyDescent="0.3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4.25" customHeight="1" x14ac:dyDescent="0.3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4.25" customHeight="1" x14ac:dyDescent="0.3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4.25" customHeight="1" x14ac:dyDescent="0.3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4.25" customHeight="1" x14ac:dyDescent="0.3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4.25" customHeight="1" x14ac:dyDescent="0.3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4.25" customHeight="1" x14ac:dyDescent="0.3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4.25" customHeight="1" x14ac:dyDescent="0.3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4.25" customHeight="1" x14ac:dyDescent="0.3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4.25" customHeight="1" x14ac:dyDescent="0.3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4.25" customHeight="1" x14ac:dyDescent="0.3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4.25" customHeight="1" x14ac:dyDescent="0.3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4.25" customHeight="1" x14ac:dyDescent="0.35">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4.25" customHeight="1" x14ac:dyDescent="0.3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4.25" customHeight="1" x14ac:dyDescent="0.35">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4.25" customHeight="1" x14ac:dyDescent="0.3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4.25" customHeight="1" x14ac:dyDescent="0.35">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4.25" customHeight="1" x14ac:dyDescent="0.35">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4.25" customHeight="1" x14ac:dyDescent="0.35">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4.25" customHeight="1" x14ac:dyDescent="0.35">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4.25" customHeight="1" x14ac:dyDescent="0.35">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4.25" customHeight="1" x14ac:dyDescent="0.3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4.25" customHeight="1" x14ac:dyDescent="0.35">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4.25" customHeight="1" x14ac:dyDescent="0.35">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4.25" customHeight="1" x14ac:dyDescent="0.35">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4.25" customHeight="1" x14ac:dyDescent="0.35">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4.25" customHeight="1" x14ac:dyDescent="0.3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4.25" customHeight="1" x14ac:dyDescent="0.35">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4.25" customHeight="1" x14ac:dyDescent="0.35">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4.25" customHeight="1" x14ac:dyDescent="0.35">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4.25" customHeight="1" x14ac:dyDescent="0.35">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4.25" customHeight="1" x14ac:dyDescent="0.35">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4.25" customHeight="1" x14ac:dyDescent="0.35">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4.25" customHeight="1" x14ac:dyDescent="0.35">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4.25" customHeight="1" x14ac:dyDescent="0.3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4.25" customHeight="1" x14ac:dyDescent="0.35">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4.25" customHeight="1" x14ac:dyDescent="0.35">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4.25" customHeight="1" x14ac:dyDescent="0.35">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4.25" customHeight="1" x14ac:dyDescent="0.3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4.25" customHeight="1" x14ac:dyDescent="0.35">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4.25" customHeight="1" x14ac:dyDescent="0.35">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4.25" customHeight="1" x14ac:dyDescent="0.35">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4.25" customHeight="1" x14ac:dyDescent="0.35">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4.25" customHeight="1" x14ac:dyDescent="0.35">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4.25" customHeight="1" x14ac:dyDescent="0.35">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4.25" customHeight="1" x14ac:dyDescent="0.35">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4.25" customHeight="1" x14ac:dyDescent="0.3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4.25" customHeight="1" x14ac:dyDescent="0.3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4.25" customHeight="1" x14ac:dyDescent="0.3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4.25" customHeight="1" x14ac:dyDescent="0.3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4.25" customHeight="1" x14ac:dyDescent="0.3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4.25" customHeight="1" x14ac:dyDescent="0.3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4.25" customHeight="1" x14ac:dyDescent="0.3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4.25" customHeight="1" x14ac:dyDescent="0.3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4.25" customHeight="1" x14ac:dyDescent="0.3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4.25" customHeight="1" x14ac:dyDescent="0.3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4.25" customHeight="1" x14ac:dyDescent="0.3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4.25" customHeight="1" x14ac:dyDescent="0.3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4.25" customHeight="1" x14ac:dyDescent="0.3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4.25" customHeight="1" x14ac:dyDescent="0.3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4.25" customHeight="1" x14ac:dyDescent="0.3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4.25" customHeight="1" x14ac:dyDescent="0.3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4.25" customHeight="1" x14ac:dyDescent="0.3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4.25" customHeight="1" x14ac:dyDescent="0.3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4.25" customHeight="1" x14ac:dyDescent="0.3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4.25" customHeight="1" x14ac:dyDescent="0.3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4.25" customHeight="1" x14ac:dyDescent="0.3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4.25" customHeight="1" x14ac:dyDescent="0.3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4.25" customHeight="1" x14ac:dyDescent="0.3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4.25" customHeight="1" x14ac:dyDescent="0.3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4.25" customHeight="1" x14ac:dyDescent="0.3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4.25" customHeight="1" x14ac:dyDescent="0.3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4.25" customHeight="1" x14ac:dyDescent="0.3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4.25" customHeight="1" x14ac:dyDescent="0.3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4.25" customHeight="1" x14ac:dyDescent="0.3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4.25" customHeight="1" x14ac:dyDescent="0.3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4.25" customHeight="1" x14ac:dyDescent="0.3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4.25" customHeight="1" x14ac:dyDescent="0.3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4.25" customHeight="1" x14ac:dyDescent="0.3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4.25" customHeight="1" x14ac:dyDescent="0.3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4.25" customHeight="1" x14ac:dyDescent="0.3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4.25" customHeight="1" x14ac:dyDescent="0.3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4.25" customHeight="1" x14ac:dyDescent="0.3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4.25" customHeight="1" x14ac:dyDescent="0.3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4.25" customHeight="1" x14ac:dyDescent="0.3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4.25" customHeight="1" x14ac:dyDescent="0.3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4.25" customHeight="1" x14ac:dyDescent="0.3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4.25" customHeight="1" x14ac:dyDescent="0.3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4.25" customHeight="1" x14ac:dyDescent="0.3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4.25" customHeight="1" x14ac:dyDescent="0.3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4.25" customHeight="1" x14ac:dyDescent="0.3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4.25" customHeight="1" x14ac:dyDescent="0.3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4.25" customHeight="1" x14ac:dyDescent="0.3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4.25" customHeight="1" x14ac:dyDescent="0.3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4.25" customHeight="1" x14ac:dyDescent="0.3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4.25" customHeight="1" x14ac:dyDescent="0.3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4.25" customHeight="1" x14ac:dyDescent="0.3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4.25" customHeight="1" x14ac:dyDescent="0.3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4.25" customHeight="1" x14ac:dyDescent="0.3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4.25" customHeight="1" x14ac:dyDescent="0.3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4.25" customHeight="1" x14ac:dyDescent="0.3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4.25" customHeight="1" x14ac:dyDescent="0.3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4.25" customHeight="1" x14ac:dyDescent="0.3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4.25" customHeight="1" x14ac:dyDescent="0.3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4.25" customHeight="1" x14ac:dyDescent="0.3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4.25" customHeight="1" x14ac:dyDescent="0.3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4.25" customHeight="1" x14ac:dyDescent="0.3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4.25" customHeight="1" x14ac:dyDescent="0.3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4.25" customHeight="1" x14ac:dyDescent="0.3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4.25" customHeight="1" x14ac:dyDescent="0.3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4.25" customHeight="1" x14ac:dyDescent="0.3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4.25" customHeight="1" x14ac:dyDescent="0.3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4.25" customHeight="1" x14ac:dyDescent="0.3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4.25" customHeight="1" x14ac:dyDescent="0.3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4.25" customHeight="1" x14ac:dyDescent="0.3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4.25" customHeight="1" x14ac:dyDescent="0.3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4.25" customHeight="1" x14ac:dyDescent="0.3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4.25" customHeight="1" x14ac:dyDescent="0.3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4.25" customHeight="1" x14ac:dyDescent="0.3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4.25" customHeight="1" x14ac:dyDescent="0.3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4.25" customHeight="1" x14ac:dyDescent="0.3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4.25" customHeight="1" x14ac:dyDescent="0.3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4.25" customHeight="1" x14ac:dyDescent="0.3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4.25" customHeight="1" x14ac:dyDescent="0.3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4.25" customHeight="1" x14ac:dyDescent="0.3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4.25" customHeight="1" x14ac:dyDescent="0.3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4.25" customHeight="1" x14ac:dyDescent="0.3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4.25" customHeight="1" x14ac:dyDescent="0.3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4.25" customHeight="1" x14ac:dyDescent="0.3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4.25" customHeight="1" x14ac:dyDescent="0.3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4.25" customHeight="1" x14ac:dyDescent="0.3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4.25" customHeight="1" x14ac:dyDescent="0.3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4.25" customHeight="1" x14ac:dyDescent="0.3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4.25" customHeight="1" x14ac:dyDescent="0.3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4.25" customHeight="1" x14ac:dyDescent="0.3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4.25" customHeight="1" x14ac:dyDescent="0.3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4.25" customHeight="1" x14ac:dyDescent="0.3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4.25" customHeight="1" x14ac:dyDescent="0.3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4.25" customHeight="1" x14ac:dyDescent="0.3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4.25" customHeight="1" x14ac:dyDescent="0.3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4.25" customHeight="1" x14ac:dyDescent="0.3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4.25" customHeight="1" x14ac:dyDescent="0.3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4.25" customHeight="1" x14ac:dyDescent="0.3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4.25" customHeight="1" x14ac:dyDescent="0.3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4.25" customHeight="1" x14ac:dyDescent="0.3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4.25" customHeight="1" x14ac:dyDescent="0.3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4.25" customHeight="1" x14ac:dyDescent="0.3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4.25" customHeight="1" x14ac:dyDescent="0.3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4.25" customHeight="1" x14ac:dyDescent="0.3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4.25" customHeight="1" x14ac:dyDescent="0.3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4.25" customHeight="1" x14ac:dyDescent="0.3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4.25" customHeight="1" x14ac:dyDescent="0.3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4.25" customHeight="1" x14ac:dyDescent="0.3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4.25" customHeight="1" x14ac:dyDescent="0.3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4.25" customHeight="1" x14ac:dyDescent="0.3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4.25" customHeight="1" x14ac:dyDescent="0.3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4.25" customHeight="1" x14ac:dyDescent="0.3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4.25" customHeight="1" x14ac:dyDescent="0.3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4.25" customHeight="1" x14ac:dyDescent="0.3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4.25" customHeight="1" x14ac:dyDescent="0.3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4.25" customHeight="1" x14ac:dyDescent="0.3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4.25" customHeight="1" x14ac:dyDescent="0.3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4.25" customHeight="1" x14ac:dyDescent="0.3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4.25" customHeight="1" x14ac:dyDescent="0.3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4.25" customHeight="1" x14ac:dyDescent="0.3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4.25" customHeight="1" x14ac:dyDescent="0.3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4.25" customHeight="1" x14ac:dyDescent="0.3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4.25" customHeight="1" x14ac:dyDescent="0.3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4.25" customHeight="1" x14ac:dyDescent="0.3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4.25" customHeight="1" x14ac:dyDescent="0.3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4.25" customHeight="1" x14ac:dyDescent="0.3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4.25" customHeight="1" x14ac:dyDescent="0.3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4.25" customHeight="1" x14ac:dyDescent="0.3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4.25" customHeight="1" x14ac:dyDescent="0.3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4.25" customHeight="1" x14ac:dyDescent="0.3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4.25" customHeight="1" x14ac:dyDescent="0.3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4.25" customHeight="1" x14ac:dyDescent="0.3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4.25" customHeight="1" x14ac:dyDescent="0.3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4.25" customHeight="1" x14ac:dyDescent="0.3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4.25" customHeight="1" x14ac:dyDescent="0.3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4.25" customHeight="1" x14ac:dyDescent="0.3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4.25" customHeight="1" x14ac:dyDescent="0.3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4.25" customHeight="1" x14ac:dyDescent="0.3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4.25" customHeight="1" x14ac:dyDescent="0.3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4.25" customHeight="1" x14ac:dyDescent="0.3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4.25" customHeight="1" x14ac:dyDescent="0.3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4.25" customHeight="1" x14ac:dyDescent="0.3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4.25" customHeight="1" x14ac:dyDescent="0.3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4.25" customHeight="1" x14ac:dyDescent="0.3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4.25" customHeight="1" x14ac:dyDescent="0.3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4.25" customHeight="1" x14ac:dyDescent="0.3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4.25" customHeight="1" x14ac:dyDescent="0.3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4.25" customHeight="1" x14ac:dyDescent="0.3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4.25" customHeight="1" x14ac:dyDescent="0.3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4.25" customHeight="1" x14ac:dyDescent="0.3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4.25" customHeight="1" x14ac:dyDescent="0.3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4.25" customHeight="1" x14ac:dyDescent="0.3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4.25" customHeight="1" x14ac:dyDescent="0.3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4.25" customHeight="1" x14ac:dyDescent="0.3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4.25" customHeight="1" x14ac:dyDescent="0.3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4.25" customHeight="1" x14ac:dyDescent="0.3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4.25" customHeight="1" x14ac:dyDescent="0.3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4.25" customHeight="1" x14ac:dyDescent="0.3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4.25" customHeight="1" x14ac:dyDescent="0.3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4.25" customHeight="1" x14ac:dyDescent="0.3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4.25" customHeight="1" x14ac:dyDescent="0.3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4.25" customHeight="1" x14ac:dyDescent="0.3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4.25" customHeight="1" x14ac:dyDescent="0.3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4.25" customHeight="1" x14ac:dyDescent="0.3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4.25" customHeight="1" x14ac:dyDescent="0.3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4.25" customHeight="1" x14ac:dyDescent="0.3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4.25" customHeight="1" x14ac:dyDescent="0.3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4.25" customHeight="1" x14ac:dyDescent="0.3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4.25" customHeight="1" x14ac:dyDescent="0.3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4.25" customHeight="1" x14ac:dyDescent="0.3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4.25" customHeight="1" x14ac:dyDescent="0.3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4.25" customHeight="1" x14ac:dyDescent="0.3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4.25" customHeight="1" x14ac:dyDescent="0.3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4.25" customHeight="1" x14ac:dyDescent="0.3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4.25" customHeight="1" x14ac:dyDescent="0.3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4.25" customHeight="1" x14ac:dyDescent="0.3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4.25" customHeight="1" x14ac:dyDescent="0.3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4.25" customHeight="1" x14ac:dyDescent="0.3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4.25" customHeight="1" x14ac:dyDescent="0.3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4.25" customHeight="1" x14ac:dyDescent="0.3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4.25" customHeight="1" x14ac:dyDescent="0.3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4.25" customHeight="1" x14ac:dyDescent="0.3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4.25" customHeight="1" x14ac:dyDescent="0.3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4.25" customHeight="1" x14ac:dyDescent="0.3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4.25" customHeight="1" x14ac:dyDescent="0.3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4.25" customHeight="1" x14ac:dyDescent="0.3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4.25" customHeight="1" x14ac:dyDescent="0.3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4.25" customHeight="1" x14ac:dyDescent="0.3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4.25" customHeight="1" x14ac:dyDescent="0.3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4.25" customHeight="1" x14ac:dyDescent="0.3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4.25" customHeight="1" x14ac:dyDescent="0.3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4.25" customHeight="1" x14ac:dyDescent="0.3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4.25" customHeight="1" x14ac:dyDescent="0.3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4.25" customHeight="1" x14ac:dyDescent="0.3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4.25" customHeight="1" x14ac:dyDescent="0.3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4.25" customHeight="1" x14ac:dyDescent="0.3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4.25" customHeight="1" x14ac:dyDescent="0.3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4.25" customHeight="1" x14ac:dyDescent="0.3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4.25" customHeight="1" x14ac:dyDescent="0.3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4.25" customHeight="1" x14ac:dyDescent="0.3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4.25" customHeight="1" x14ac:dyDescent="0.3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4.25" customHeight="1" x14ac:dyDescent="0.3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4.25" customHeight="1" x14ac:dyDescent="0.3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4.25" customHeight="1" x14ac:dyDescent="0.3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4.25" customHeight="1" x14ac:dyDescent="0.3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4.25" customHeight="1" x14ac:dyDescent="0.3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4.25" customHeight="1" x14ac:dyDescent="0.3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4.25" customHeight="1" x14ac:dyDescent="0.3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4.25" customHeight="1" x14ac:dyDescent="0.3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4.25" customHeight="1" x14ac:dyDescent="0.3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4.25" customHeight="1" x14ac:dyDescent="0.3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4.25" customHeight="1" x14ac:dyDescent="0.3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4.25" customHeight="1" x14ac:dyDescent="0.3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4.25" customHeight="1" x14ac:dyDescent="0.3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4.25" customHeight="1" x14ac:dyDescent="0.3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4.25" customHeight="1" x14ac:dyDescent="0.3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4.25" customHeight="1" x14ac:dyDescent="0.3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4.25" customHeight="1" x14ac:dyDescent="0.3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4.25" customHeight="1" x14ac:dyDescent="0.3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4.25" customHeight="1" x14ac:dyDescent="0.3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4.25" customHeight="1" x14ac:dyDescent="0.3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4.25" customHeight="1" x14ac:dyDescent="0.3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4.25" customHeight="1" x14ac:dyDescent="0.3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4.25" customHeight="1" x14ac:dyDescent="0.3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4.25" customHeight="1" x14ac:dyDescent="0.3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4.25" customHeight="1" x14ac:dyDescent="0.3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4.25" customHeight="1" x14ac:dyDescent="0.3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4.25" customHeight="1" x14ac:dyDescent="0.3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4.25" customHeight="1" x14ac:dyDescent="0.3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4.25" customHeight="1" x14ac:dyDescent="0.3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4.25" customHeight="1" x14ac:dyDescent="0.3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4.25" customHeight="1" x14ac:dyDescent="0.3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4.25" customHeight="1" x14ac:dyDescent="0.3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4.25" customHeight="1" x14ac:dyDescent="0.3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4.25" customHeight="1" x14ac:dyDescent="0.35">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4.25" customHeight="1" x14ac:dyDescent="0.35">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4.25" customHeight="1" x14ac:dyDescent="0.35">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4.25" customHeight="1" x14ac:dyDescent="0.35">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4.25" customHeight="1" x14ac:dyDescent="0.35">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4.25" customHeight="1" x14ac:dyDescent="0.35">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4.25" customHeight="1" x14ac:dyDescent="0.35">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4.25" customHeight="1" x14ac:dyDescent="0.35">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4.25" customHeight="1" x14ac:dyDescent="0.35">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4.25" customHeight="1" x14ac:dyDescent="0.35">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4.25" customHeight="1" x14ac:dyDescent="0.35">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4.25" customHeight="1" x14ac:dyDescent="0.35">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4.25" customHeight="1" x14ac:dyDescent="0.35">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4.25" customHeight="1" x14ac:dyDescent="0.35">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4.25" customHeight="1" x14ac:dyDescent="0.35">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4.25" customHeight="1" x14ac:dyDescent="0.35">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4.25" customHeight="1" x14ac:dyDescent="0.35">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4.25" customHeight="1" x14ac:dyDescent="0.35">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4.25" customHeight="1" x14ac:dyDescent="0.35">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4.25" customHeight="1" x14ac:dyDescent="0.35">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4.25" customHeight="1" x14ac:dyDescent="0.35">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4.25" customHeight="1" x14ac:dyDescent="0.35">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4.25" customHeight="1" x14ac:dyDescent="0.35">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4.25" customHeight="1" x14ac:dyDescent="0.35">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4.25" customHeight="1" x14ac:dyDescent="0.35">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4.25" customHeight="1" x14ac:dyDescent="0.35">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4.25" customHeight="1" x14ac:dyDescent="0.35">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4.25" customHeight="1" x14ac:dyDescent="0.35">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4.25" customHeight="1" x14ac:dyDescent="0.35">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4.25" customHeight="1" x14ac:dyDescent="0.35">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4.25" customHeight="1" x14ac:dyDescent="0.35">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4.25" customHeight="1" x14ac:dyDescent="0.35">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4.25" customHeight="1" x14ac:dyDescent="0.35">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4.25" customHeight="1" x14ac:dyDescent="0.35">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4.25" customHeight="1" x14ac:dyDescent="0.35">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4.25" customHeight="1" x14ac:dyDescent="0.35">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4.25" customHeight="1" x14ac:dyDescent="0.35">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4.25" customHeight="1" x14ac:dyDescent="0.35">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4.25" customHeight="1" x14ac:dyDescent="0.35">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4.25" customHeight="1" x14ac:dyDescent="0.35">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4.25" customHeight="1" x14ac:dyDescent="0.35">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4.25" customHeight="1" x14ac:dyDescent="0.35">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4.25" customHeight="1" x14ac:dyDescent="0.35">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4.25" customHeight="1" x14ac:dyDescent="0.35">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4.25" customHeight="1" x14ac:dyDescent="0.35">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4.25" customHeight="1" x14ac:dyDescent="0.35">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4.25" customHeight="1" x14ac:dyDescent="0.35">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4.25" customHeight="1" x14ac:dyDescent="0.35">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4.25" customHeight="1" x14ac:dyDescent="0.35">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4.25" customHeight="1" x14ac:dyDescent="0.35">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4.25" customHeight="1" x14ac:dyDescent="0.35">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4.25" customHeight="1" x14ac:dyDescent="0.35">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4.25" customHeight="1" x14ac:dyDescent="0.35">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4.25" customHeight="1" x14ac:dyDescent="0.35">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4.25" customHeight="1" x14ac:dyDescent="0.35">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4.25" customHeight="1" x14ac:dyDescent="0.35">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4.25" customHeight="1" x14ac:dyDescent="0.35">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4.25" customHeight="1" x14ac:dyDescent="0.35">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4.25" customHeight="1" x14ac:dyDescent="0.35">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4.25" customHeight="1" x14ac:dyDescent="0.35">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4.25" customHeight="1" x14ac:dyDescent="0.35">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4.25" customHeight="1" x14ac:dyDescent="0.35">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4.25" customHeight="1" x14ac:dyDescent="0.35">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4.25" customHeight="1" x14ac:dyDescent="0.35">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4.25" customHeight="1" x14ac:dyDescent="0.35">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4.25" customHeight="1" x14ac:dyDescent="0.35">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4.25" customHeight="1" x14ac:dyDescent="0.35">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4.25" customHeight="1" x14ac:dyDescent="0.35">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4.25" customHeight="1" x14ac:dyDescent="0.35">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4.25" customHeight="1" x14ac:dyDescent="0.35">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4.25" customHeight="1" x14ac:dyDescent="0.35">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4.25" customHeight="1" x14ac:dyDescent="0.35">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4.25" customHeight="1" x14ac:dyDescent="0.35">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4.25" customHeight="1" x14ac:dyDescent="0.35">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4.25" customHeight="1" x14ac:dyDescent="0.35">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4.25" customHeight="1" x14ac:dyDescent="0.35">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4.25" customHeight="1" x14ac:dyDescent="0.35">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4.25" customHeight="1" x14ac:dyDescent="0.35">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4.25" customHeight="1" x14ac:dyDescent="0.35">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4.25" customHeight="1" x14ac:dyDescent="0.35">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4.25" customHeight="1" x14ac:dyDescent="0.35">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4.25" customHeight="1" x14ac:dyDescent="0.35">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4.25" customHeight="1" x14ac:dyDescent="0.35">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4.25" customHeight="1" x14ac:dyDescent="0.35">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4.25" customHeight="1" x14ac:dyDescent="0.35">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4.25" customHeight="1" x14ac:dyDescent="0.35">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4.25" customHeight="1" x14ac:dyDescent="0.35">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4.25" customHeight="1" x14ac:dyDescent="0.35">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4.25" customHeight="1" x14ac:dyDescent="0.35">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4.25" customHeight="1" x14ac:dyDescent="0.35">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4.25" customHeight="1" x14ac:dyDescent="0.35">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4.25" customHeight="1" x14ac:dyDescent="0.35">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4.25" customHeight="1" x14ac:dyDescent="0.35">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4.25" customHeight="1" x14ac:dyDescent="0.35">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4.25" customHeight="1" x14ac:dyDescent="0.35">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4.25" customHeight="1" x14ac:dyDescent="0.35">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4.25" customHeight="1" x14ac:dyDescent="0.35">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4.25" customHeight="1" x14ac:dyDescent="0.35">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4.25" customHeight="1" x14ac:dyDescent="0.35">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4.25" customHeight="1" x14ac:dyDescent="0.35">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4.25" customHeight="1" x14ac:dyDescent="0.35">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4.25" customHeight="1" x14ac:dyDescent="0.35">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4.25" customHeight="1" x14ac:dyDescent="0.35">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4.25" customHeight="1" x14ac:dyDescent="0.35">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4.25" customHeight="1" x14ac:dyDescent="0.35">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4.25" customHeight="1" x14ac:dyDescent="0.35">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4.25" customHeight="1" x14ac:dyDescent="0.35">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4.25" customHeight="1" x14ac:dyDescent="0.35">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4.25" customHeight="1" x14ac:dyDescent="0.35">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4.25" customHeight="1" x14ac:dyDescent="0.35">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4.25" customHeight="1" x14ac:dyDescent="0.35">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4.25" customHeight="1" x14ac:dyDescent="0.35">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4.25" customHeight="1" x14ac:dyDescent="0.35">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4.25" customHeight="1" x14ac:dyDescent="0.35">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4.25" customHeight="1" x14ac:dyDescent="0.35">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4.25" customHeight="1" x14ac:dyDescent="0.35">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4.25" customHeight="1" x14ac:dyDescent="0.35">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4.25" customHeight="1" x14ac:dyDescent="0.35">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4.25" customHeight="1" x14ac:dyDescent="0.35">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4.25" customHeight="1" x14ac:dyDescent="0.35">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4.25" customHeight="1" x14ac:dyDescent="0.35">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4.25" customHeight="1" x14ac:dyDescent="0.35">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4.25" customHeight="1" x14ac:dyDescent="0.35">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4.25" customHeight="1" x14ac:dyDescent="0.35">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4.25" customHeight="1" x14ac:dyDescent="0.35">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4.25" customHeight="1" x14ac:dyDescent="0.35">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4.25" customHeight="1" x14ac:dyDescent="0.35">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4.25" customHeight="1" x14ac:dyDescent="0.35">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4.25" customHeight="1" x14ac:dyDescent="0.35">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4.25" customHeight="1" x14ac:dyDescent="0.35">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4.25" customHeight="1" x14ac:dyDescent="0.35">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4.25" customHeight="1" x14ac:dyDescent="0.35">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4.25" customHeight="1" x14ac:dyDescent="0.35">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4.25" customHeight="1" x14ac:dyDescent="0.35">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4.25" customHeight="1" x14ac:dyDescent="0.35">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4.25" customHeight="1" x14ac:dyDescent="0.35">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4.25" customHeight="1" x14ac:dyDescent="0.35">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4.25" customHeight="1" x14ac:dyDescent="0.35">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4.25" customHeight="1" x14ac:dyDescent="0.35">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4.25" customHeight="1" x14ac:dyDescent="0.35">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4.25" customHeight="1" x14ac:dyDescent="0.35">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4.25" customHeight="1" x14ac:dyDescent="0.35">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4.25" customHeight="1" x14ac:dyDescent="0.35">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4.25" customHeight="1" x14ac:dyDescent="0.35">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4.25" customHeight="1" x14ac:dyDescent="0.35">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4.25" customHeight="1" x14ac:dyDescent="0.35">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4.25" customHeight="1" x14ac:dyDescent="0.35">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4.25" customHeight="1" x14ac:dyDescent="0.35">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4.25" customHeight="1" x14ac:dyDescent="0.35">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4.25" customHeight="1" x14ac:dyDescent="0.35">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4.25" customHeight="1" x14ac:dyDescent="0.35">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4.25" customHeight="1" x14ac:dyDescent="0.35">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4.25" customHeight="1" x14ac:dyDescent="0.35">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4.25" customHeight="1" x14ac:dyDescent="0.35">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4.25" customHeight="1" x14ac:dyDescent="0.35">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4.25" customHeight="1" x14ac:dyDescent="0.35">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4.25" customHeight="1" x14ac:dyDescent="0.35">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4.25" customHeight="1" x14ac:dyDescent="0.35">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4.25" customHeight="1" x14ac:dyDescent="0.35">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4.25" customHeight="1" x14ac:dyDescent="0.35">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4.25" customHeight="1" x14ac:dyDescent="0.35">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4.25" customHeight="1" x14ac:dyDescent="0.35">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4.25" customHeight="1" x14ac:dyDescent="0.35">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4.25" customHeight="1" x14ac:dyDescent="0.35">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4.25" customHeight="1" x14ac:dyDescent="0.35">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4.25" customHeight="1" x14ac:dyDescent="0.35">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4.25" customHeight="1" x14ac:dyDescent="0.35">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4.25" customHeight="1" x14ac:dyDescent="0.35">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4.25" customHeight="1" x14ac:dyDescent="0.35">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4.25" customHeight="1" x14ac:dyDescent="0.35">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4.25" customHeight="1" x14ac:dyDescent="0.35">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4.25" customHeight="1" x14ac:dyDescent="0.35">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4.25" customHeight="1" x14ac:dyDescent="0.35">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4.25" customHeight="1" x14ac:dyDescent="0.35">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4.25" customHeight="1" x14ac:dyDescent="0.35">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4.25" customHeight="1" x14ac:dyDescent="0.35">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4.25" customHeight="1" x14ac:dyDescent="0.35">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4.25" customHeight="1" x14ac:dyDescent="0.35">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4.25" customHeight="1" x14ac:dyDescent="0.35">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4.25" customHeight="1" x14ac:dyDescent="0.35">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4.25" customHeight="1" x14ac:dyDescent="0.35">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4.25" customHeight="1" x14ac:dyDescent="0.35">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4.25" customHeight="1" x14ac:dyDescent="0.35">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4.25" customHeight="1" x14ac:dyDescent="0.35">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4.25" customHeight="1" x14ac:dyDescent="0.35">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4.25" customHeight="1" x14ac:dyDescent="0.35">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4.25" customHeight="1" x14ac:dyDescent="0.35">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4.25" customHeight="1" x14ac:dyDescent="0.35">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4.25" customHeight="1" x14ac:dyDescent="0.35">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4.25" customHeight="1" x14ac:dyDescent="0.35">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4.25" customHeight="1" x14ac:dyDescent="0.35">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4.25" customHeight="1" x14ac:dyDescent="0.35">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4.25" customHeight="1" x14ac:dyDescent="0.35">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4.25" customHeight="1" x14ac:dyDescent="0.35">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4.25" customHeight="1" x14ac:dyDescent="0.35">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4.25" customHeight="1" x14ac:dyDescent="0.35">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4.25" customHeight="1" x14ac:dyDescent="0.35">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4.25" customHeight="1" x14ac:dyDescent="0.35">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4.25" customHeight="1" x14ac:dyDescent="0.35">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4.25" customHeight="1" x14ac:dyDescent="0.35">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4.25" customHeight="1" x14ac:dyDescent="0.35">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4.25" customHeight="1" x14ac:dyDescent="0.35">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4.25" customHeight="1" x14ac:dyDescent="0.35">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4.25" customHeight="1" x14ac:dyDescent="0.35">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4.25" customHeight="1" x14ac:dyDescent="0.35">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4.25" customHeight="1" x14ac:dyDescent="0.35">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4.25" customHeight="1" x14ac:dyDescent="0.35">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4.25" customHeight="1" x14ac:dyDescent="0.35">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4.25" customHeight="1" x14ac:dyDescent="0.35">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4.25" customHeight="1" x14ac:dyDescent="0.35">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4.25" customHeight="1" x14ac:dyDescent="0.35">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4.25" customHeight="1" x14ac:dyDescent="0.35">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4.25" customHeight="1" x14ac:dyDescent="0.35">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4.25" customHeight="1" x14ac:dyDescent="0.35">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4.25" customHeight="1" x14ac:dyDescent="0.35">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4.25" customHeight="1" x14ac:dyDescent="0.35">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4.25" customHeight="1" x14ac:dyDescent="0.35">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4.25" customHeight="1" x14ac:dyDescent="0.35">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4.25" customHeight="1" x14ac:dyDescent="0.35">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4.25" customHeight="1" x14ac:dyDescent="0.35">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4.25" customHeight="1" x14ac:dyDescent="0.35">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4.25" customHeight="1" x14ac:dyDescent="0.35">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4.25" customHeight="1" x14ac:dyDescent="0.35">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4.25" customHeight="1" x14ac:dyDescent="0.35">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4.25" customHeight="1" x14ac:dyDescent="0.35">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4.25" customHeight="1" x14ac:dyDescent="0.35">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4.25" customHeight="1" x14ac:dyDescent="0.35">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4.25" customHeight="1" x14ac:dyDescent="0.35">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4.25" customHeight="1" x14ac:dyDescent="0.35">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4.25" customHeight="1" x14ac:dyDescent="0.35">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4.25" customHeight="1" x14ac:dyDescent="0.35">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4.25" customHeight="1" x14ac:dyDescent="0.35">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4.25" customHeight="1" x14ac:dyDescent="0.35">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4.25" customHeight="1" x14ac:dyDescent="0.35">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4.25" customHeight="1" x14ac:dyDescent="0.35">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4.25" customHeight="1" x14ac:dyDescent="0.35">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4.25" customHeight="1" x14ac:dyDescent="0.35">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4.25" customHeight="1" x14ac:dyDescent="0.35">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4.25" customHeight="1" x14ac:dyDescent="0.35">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4.25" customHeight="1" x14ac:dyDescent="0.35">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4.25" customHeight="1" x14ac:dyDescent="0.35">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4.25" customHeight="1" x14ac:dyDescent="0.35">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4.25" customHeight="1" x14ac:dyDescent="0.35">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4.25" customHeight="1" x14ac:dyDescent="0.35">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4.25" customHeight="1" x14ac:dyDescent="0.35">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4.25" customHeight="1" x14ac:dyDescent="0.35">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4.25" customHeight="1" x14ac:dyDescent="0.35">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4.25" customHeight="1" x14ac:dyDescent="0.35">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4.25" customHeight="1" x14ac:dyDescent="0.35">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4.25" customHeight="1" x14ac:dyDescent="0.35">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4.25" customHeight="1" x14ac:dyDescent="0.35">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4.25" customHeight="1" x14ac:dyDescent="0.35">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4.25" customHeight="1" x14ac:dyDescent="0.35">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4.25" customHeight="1" x14ac:dyDescent="0.35">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4.25" customHeight="1" x14ac:dyDescent="0.35">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4.25" customHeight="1" x14ac:dyDescent="0.35">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4.25" customHeight="1" x14ac:dyDescent="0.35">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4.25" customHeight="1" x14ac:dyDescent="0.35">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4.25" customHeight="1" x14ac:dyDescent="0.35">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4.25" customHeight="1" x14ac:dyDescent="0.35">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4.25" customHeight="1" x14ac:dyDescent="0.35">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4.25" customHeight="1" x14ac:dyDescent="0.35">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4.25" customHeight="1" x14ac:dyDescent="0.35">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4.25" customHeight="1" x14ac:dyDescent="0.35">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4.25" customHeight="1" x14ac:dyDescent="0.35">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4.25" customHeight="1" x14ac:dyDescent="0.35">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4.25" customHeight="1" x14ac:dyDescent="0.35">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4.25" customHeight="1" x14ac:dyDescent="0.35">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4.25" customHeight="1" x14ac:dyDescent="0.35">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4.25" customHeight="1" x14ac:dyDescent="0.35">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4.25" customHeight="1" x14ac:dyDescent="0.35">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4.25" customHeight="1" x14ac:dyDescent="0.35">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4.25" customHeight="1" x14ac:dyDescent="0.35">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4.25" customHeight="1" x14ac:dyDescent="0.35">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4.25" customHeight="1" x14ac:dyDescent="0.35">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4.25" customHeight="1" x14ac:dyDescent="0.35">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4.25" customHeight="1" x14ac:dyDescent="0.35">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4.25" customHeight="1" x14ac:dyDescent="0.35">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4.25" customHeight="1" x14ac:dyDescent="0.35">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4.25" customHeight="1" x14ac:dyDescent="0.35">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4.25" customHeight="1" x14ac:dyDescent="0.35">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4.25" customHeight="1" x14ac:dyDescent="0.35">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4.25" customHeight="1" x14ac:dyDescent="0.35">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4.25" customHeight="1" x14ac:dyDescent="0.35">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4.25" customHeight="1" x14ac:dyDescent="0.35">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4.25" customHeight="1" x14ac:dyDescent="0.35">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4.25" customHeight="1" x14ac:dyDescent="0.35">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4.25" customHeight="1" x14ac:dyDescent="0.35">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4.25" customHeight="1" x14ac:dyDescent="0.35">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4.25" customHeight="1" x14ac:dyDescent="0.35">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4.25" customHeight="1" x14ac:dyDescent="0.35">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4.25" customHeight="1" x14ac:dyDescent="0.35">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4.25" customHeight="1" x14ac:dyDescent="0.35">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4.25" customHeight="1" x14ac:dyDescent="0.35">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4.25" customHeight="1" x14ac:dyDescent="0.35">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4.25" customHeight="1" x14ac:dyDescent="0.35">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4.25" customHeight="1" x14ac:dyDescent="0.35">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4.25" customHeight="1" x14ac:dyDescent="0.35">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4.25" customHeight="1" x14ac:dyDescent="0.35">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4.25" customHeight="1" x14ac:dyDescent="0.35">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4.25" customHeight="1" x14ac:dyDescent="0.35">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4.25" customHeight="1" x14ac:dyDescent="0.35">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4.25" customHeight="1" x14ac:dyDescent="0.35">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4.25" customHeight="1" x14ac:dyDescent="0.35">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4.25" customHeight="1" x14ac:dyDescent="0.35">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4.25" customHeight="1" x14ac:dyDescent="0.35">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4.25" customHeight="1" x14ac:dyDescent="0.35">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4.25" customHeight="1" x14ac:dyDescent="0.35">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4.25" customHeight="1" x14ac:dyDescent="0.35">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4.25" customHeight="1" x14ac:dyDescent="0.35">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4.25" customHeight="1" x14ac:dyDescent="0.35">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4.25" customHeight="1" x14ac:dyDescent="0.35">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4.25" customHeight="1" x14ac:dyDescent="0.35">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4.25" customHeight="1" x14ac:dyDescent="0.35">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4.25" customHeight="1" x14ac:dyDescent="0.35">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4.25" customHeight="1" x14ac:dyDescent="0.35">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4.25" customHeight="1" x14ac:dyDescent="0.35">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4.25" customHeight="1" x14ac:dyDescent="0.35">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4.25" customHeight="1" x14ac:dyDescent="0.35">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4.25" customHeight="1" x14ac:dyDescent="0.35">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4.25" customHeight="1" x14ac:dyDescent="0.35">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4.25" customHeight="1" x14ac:dyDescent="0.35">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4.25" customHeight="1" x14ac:dyDescent="0.35">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4.25" customHeight="1" x14ac:dyDescent="0.35">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4.25" customHeight="1" x14ac:dyDescent="0.35">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4.25" customHeight="1" x14ac:dyDescent="0.35">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4.25" customHeight="1" x14ac:dyDescent="0.35">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4.25" customHeight="1" x14ac:dyDescent="0.35">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4.25" customHeight="1" x14ac:dyDescent="0.35">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4.25" customHeight="1" x14ac:dyDescent="0.35">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4.25" customHeight="1" x14ac:dyDescent="0.35">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4.25" customHeight="1" x14ac:dyDescent="0.35">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4.25" customHeight="1" x14ac:dyDescent="0.35">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4.25" customHeight="1" x14ac:dyDescent="0.35">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4.25" customHeight="1" x14ac:dyDescent="0.35">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4.25" customHeight="1" x14ac:dyDescent="0.35">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4.25" customHeight="1" x14ac:dyDescent="0.35">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4.25" customHeight="1" x14ac:dyDescent="0.35">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4.25" customHeight="1" x14ac:dyDescent="0.35">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4.25" customHeight="1" x14ac:dyDescent="0.35">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4.25" customHeight="1" x14ac:dyDescent="0.35">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4.25" customHeight="1" x14ac:dyDescent="0.35">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4.25" customHeight="1" x14ac:dyDescent="0.35">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4.25" customHeight="1" x14ac:dyDescent="0.35">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4.25" customHeight="1" x14ac:dyDescent="0.35">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4.25" customHeight="1" x14ac:dyDescent="0.35">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4.25" customHeight="1" x14ac:dyDescent="0.35">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4.25" customHeight="1" x14ac:dyDescent="0.35">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4.25" customHeight="1" x14ac:dyDescent="0.35">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4.25" customHeight="1" x14ac:dyDescent="0.35">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4.25" customHeight="1" x14ac:dyDescent="0.35">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4.25" customHeight="1" x14ac:dyDescent="0.35">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4.25" customHeight="1" x14ac:dyDescent="0.35">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4.25" customHeight="1" x14ac:dyDescent="0.35">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4.25" customHeight="1" x14ac:dyDescent="0.35">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4.25" customHeight="1" x14ac:dyDescent="0.35">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4.25" customHeight="1" x14ac:dyDescent="0.35">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4.25" customHeight="1" x14ac:dyDescent="0.35">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4.25" customHeight="1" x14ac:dyDescent="0.35">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4.25" customHeight="1" x14ac:dyDescent="0.35">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4.25" customHeight="1" x14ac:dyDescent="0.35">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4.25" customHeight="1" x14ac:dyDescent="0.35">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4.25" customHeight="1" x14ac:dyDescent="0.35">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4.25" customHeight="1" x14ac:dyDescent="0.35">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4.25" customHeight="1" x14ac:dyDescent="0.35">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4.25" customHeight="1" x14ac:dyDescent="0.35">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4.25" customHeight="1" x14ac:dyDescent="0.35">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4.25" customHeight="1" x14ac:dyDescent="0.35">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4.25" customHeight="1" x14ac:dyDescent="0.35">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4.25" customHeight="1" x14ac:dyDescent="0.35">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4.25" customHeight="1" x14ac:dyDescent="0.35">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4.25" customHeight="1" x14ac:dyDescent="0.35">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4.25" customHeight="1" x14ac:dyDescent="0.35">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4.25" customHeight="1" x14ac:dyDescent="0.35">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4.25" customHeight="1" x14ac:dyDescent="0.35">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4.25" customHeight="1" x14ac:dyDescent="0.35">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4.25" customHeight="1" x14ac:dyDescent="0.35">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4.25" customHeight="1" x14ac:dyDescent="0.35">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4.25" customHeight="1" x14ac:dyDescent="0.35">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4.25" customHeight="1" x14ac:dyDescent="0.35">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4.25" customHeight="1" x14ac:dyDescent="0.35">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4.25" customHeight="1" x14ac:dyDescent="0.35">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4.25" customHeight="1" x14ac:dyDescent="0.35">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4.25" customHeight="1" x14ac:dyDescent="0.35">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4.25" customHeight="1" x14ac:dyDescent="0.35">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4.25" customHeight="1" x14ac:dyDescent="0.35">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4.25" customHeight="1" x14ac:dyDescent="0.35">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4.25" customHeight="1" x14ac:dyDescent="0.35">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4.25" customHeight="1" x14ac:dyDescent="0.35">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4.25" customHeight="1" x14ac:dyDescent="0.35">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4.25" customHeight="1" x14ac:dyDescent="0.35">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4.25" customHeight="1" x14ac:dyDescent="0.35">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4.25" customHeight="1" x14ac:dyDescent="0.35">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4.25" customHeight="1" x14ac:dyDescent="0.35">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4.25" customHeight="1" x14ac:dyDescent="0.35">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4.25" customHeight="1" x14ac:dyDescent="0.35">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4.25" customHeight="1" x14ac:dyDescent="0.35">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4.25" customHeight="1" x14ac:dyDescent="0.35">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4.25" customHeight="1" x14ac:dyDescent="0.35">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4.25" customHeight="1" x14ac:dyDescent="0.35">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4.25" customHeight="1" x14ac:dyDescent="0.35">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4.25" customHeight="1" x14ac:dyDescent="0.35">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4.25" customHeight="1" x14ac:dyDescent="0.35">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4.25" customHeight="1" x14ac:dyDescent="0.35">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4.25" customHeight="1" x14ac:dyDescent="0.35">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4.25" customHeight="1" x14ac:dyDescent="0.35">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4.25" customHeight="1" x14ac:dyDescent="0.35">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4.25" customHeight="1" x14ac:dyDescent="0.35">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4.25" customHeight="1" x14ac:dyDescent="0.35">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4.25" customHeight="1" x14ac:dyDescent="0.35">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4.25" customHeight="1" x14ac:dyDescent="0.35">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4.25" customHeight="1" x14ac:dyDescent="0.35">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4.25" customHeight="1" x14ac:dyDescent="0.35">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4.25" customHeight="1" x14ac:dyDescent="0.35">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4.25" customHeight="1" x14ac:dyDescent="0.35">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4.25" customHeight="1" x14ac:dyDescent="0.35">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4.25" customHeight="1" x14ac:dyDescent="0.35">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4.25" customHeight="1" x14ac:dyDescent="0.35">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4.25" customHeight="1" x14ac:dyDescent="0.35">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4.25" customHeight="1" x14ac:dyDescent="0.35">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4.25" customHeight="1" x14ac:dyDescent="0.35">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4.25" customHeight="1" x14ac:dyDescent="0.35">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4.25" customHeight="1" x14ac:dyDescent="0.35">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4.25" customHeight="1" x14ac:dyDescent="0.35">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4.25" customHeight="1" x14ac:dyDescent="0.35">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4.25" customHeight="1" x14ac:dyDescent="0.35">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4.25" customHeight="1" x14ac:dyDescent="0.35">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4.25" customHeight="1" x14ac:dyDescent="0.35">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4.25" customHeight="1" x14ac:dyDescent="0.35">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4.25" customHeight="1" x14ac:dyDescent="0.35">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4.25" customHeight="1" x14ac:dyDescent="0.35">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4.25" customHeight="1" x14ac:dyDescent="0.35">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4.25" customHeight="1" x14ac:dyDescent="0.35">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4.25" customHeight="1" x14ac:dyDescent="0.35">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4.25" customHeight="1" x14ac:dyDescent="0.35">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4.25" customHeight="1" x14ac:dyDescent="0.35">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4.25" customHeight="1" x14ac:dyDescent="0.35">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4.25" customHeight="1" x14ac:dyDescent="0.35">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4.25" customHeight="1" x14ac:dyDescent="0.35">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4.25" customHeight="1" x14ac:dyDescent="0.35">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4.25" customHeight="1" x14ac:dyDescent="0.35">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4.25" customHeight="1" x14ac:dyDescent="0.35">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4.25" customHeight="1" x14ac:dyDescent="0.35">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4.25" customHeight="1" x14ac:dyDescent="0.35">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4.25" customHeight="1" x14ac:dyDescent="0.35">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4.25" customHeight="1" x14ac:dyDescent="0.35">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4.25" customHeight="1" x14ac:dyDescent="0.35">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4.25" customHeight="1" x14ac:dyDescent="0.35">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4.25" customHeight="1" x14ac:dyDescent="0.35">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4.25" customHeight="1" x14ac:dyDescent="0.35">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4.25" customHeight="1" x14ac:dyDescent="0.35">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4.25" customHeight="1" x14ac:dyDescent="0.35">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4.25" customHeight="1" x14ac:dyDescent="0.35">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4.25" customHeight="1" x14ac:dyDescent="0.35">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4.25" customHeight="1" x14ac:dyDescent="0.35">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4.25" customHeight="1" x14ac:dyDescent="0.35">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4.25" customHeight="1" x14ac:dyDescent="0.35">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4.25" customHeight="1" x14ac:dyDescent="0.35">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4.25" customHeight="1" x14ac:dyDescent="0.35">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4.25" customHeight="1" x14ac:dyDescent="0.35">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4.25" customHeight="1" x14ac:dyDescent="0.35">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4.25" customHeight="1" x14ac:dyDescent="0.35">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4.25" customHeight="1" x14ac:dyDescent="0.35">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4.25" customHeight="1" x14ac:dyDescent="0.35">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4.25" customHeight="1" x14ac:dyDescent="0.35">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4.25" customHeight="1" x14ac:dyDescent="0.35">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4.25" customHeight="1" x14ac:dyDescent="0.35">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4.25" customHeight="1" x14ac:dyDescent="0.35">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4.25" customHeight="1" x14ac:dyDescent="0.35">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4.25" customHeight="1" x14ac:dyDescent="0.35">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4.25" customHeight="1" x14ac:dyDescent="0.35">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4.25" customHeight="1" x14ac:dyDescent="0.35">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4.25" customHeight="1" x14ac:dyDescent="0.35">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4.25" customHeight="1" x14ac:dyDescent="0.35">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4.25" customHeight="1" x14ac:dyDescent="0.35">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4.25" customHeight="1" x14ac:dyDescent="0.35">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4.25" customHeight="1" x14ac:dyDescent="0.35">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4.25" customHeight="1" x14ac:dyDescent="0.35">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4.25" customHeight="1" x14ac:dyDescent="0.35">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4.25" customHeight="1" x14ac:dyDescent="0.35">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4.25" customHeight="1" x14ac:dyDescent="0.35">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4.25" customHeight="1" x14ac:dyDescent="0.35">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4.25" customHeight="1" x14ac:dyDescent="0.35">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4.25" customHeight="1" x14ac:dyDescent="0.35">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4.25" customHeight="1" x14ac:dyDescent="0.35">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4.25" customHeight="1" x14ac:dyDescent="0.35">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4.25" customHeight="1" x14ac:dyDescent="0.35">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4.25" customHeight="1" x14ac:dyDescent="0.35">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4.25" customHeight="1" x14ac:dyDescent="0.35">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4.25" customHeight="1" x14ac:dyDescent="0.35">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4.25" customHeight="1" x14ac:dyDescent="0.35">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4.25" customHeight="1" x14ac:dyDescent="0.35">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4.25" customHeight="1" x14ac:dyDescent="0.35">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4.25" customHeight="1" x14ac:dyDescent="0.35">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4.25" customHeight="1" x14ac:dyDescent="0.35">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4.25" customHeight="1" x14ac:dyDescent="0.35">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4.25" customHeight="1" x14ac:dyDescent="0.35">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4.25" customHeight="1" x14ac:dyDescent="0.35">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4.25" customHeight="1" x14ac:dyDescent="0.35">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4.25" customHeight="1" x14ac:dyDescent="0.35">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4.25" customHeight="1" x14ac:dyDescent="0.35">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4.25" customHeight="1" x14ac:dyDescent="0.35">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4.25" customHeight="1" x14ac:dyDescent="0.35">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4.25" customHeight="1" x14ac:dyDescent="0.35">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4.25" customHeight="1" x14ac:dyDescent="0.35">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4.25" customHeight="1" x14ac:dyDescent="0.35">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4.25" customHeight="1" x14ac:dyDescent="0.35">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4.25" customHeight="1" x14ac:dyDescent="0.35">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4.25" customHeight="1" x14ac:dyDescent="0.35">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4.25" customHeight="1" x14ac:dyDescent="0.35">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4.25" customHeight="1" x14ac:dyDescent="0.35">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4.25" customHeight="1" x14ac:dyDescent="0.35">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4.25" customHeight="1" x14ac:dyDescent="0.35">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4.25" customHeight="1" x14ac:dyDescent="0.35">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4.25" customHeight="1" x14ac:dyDescent="0.35">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4.25" customHeight="1" x14ac:dyDescent="0.35">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4.25" customHeight="1" x14ac:dyDescent="0.35">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4.25" customHeight="1" x14ac:dyDescent="0.35">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4.25" customHeight="1" x14ac:dyDescent="0.35">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4.25" customHeight="1" x14ac:dyDescent="0.35">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4.25" customHeight="1" x14ac:dyDescent="0.35">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4.25" customHeight="1" x14ac:dyDescent="0.35">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4.25" customHeight="1" x14ac:dyDescent="0.35">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4.25" customHeight="1" x14ac:dyDescent="0.35">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4.25" customHeight="1" x14ac:dyDescent="0.35">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4.25" customHeight="1" x14ac:dyDescent="0.35">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4.25" customHeight="1" x14ac:dyDescent="0.35">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4.25" customHeight="1" x14ac:dyDescent="0.35">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4.25" customHeight="1" x14ac:dyDescent="0.35">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4.25" customHeight="1" x14ac:dyDescent="0.35">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4.25" customHeight="1" x14ac:dyDescent="0.35">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4.25" customHeight="1" x14ac:dyDescent="0.35">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4.25" customHeight="1" x14ac:dyDescent="0.35">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4.25" customHeight="1" x14ac:dyDescent="0.35">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4.25" customHeight="1" x14ac:dyDescent="0.35">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4.25" customHeight="1" x14ac:dyDescent="0.35">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4.25" customHeight="1" x14ac:dyDescent="0.35">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4.25" customHeight="1" x14ac:dyDescent="0.35">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4.25" customHeight="1" x14ac:dyDescent="0.35">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4.25" customHeight="1" x14ac:dyDescent="0.35">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4.25" customHeight="1" x14ac:dyDescent="0.35">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4.25" customHeight="1" x14ac:dyDescent="0.35">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4.25" customHeight="1" x14ac:dyDescent="0.35">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4.25" customHeight="1" x14ac:dyDescent="0.35">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4.25" customHeight="1" x14ac:dyDescent="0.35">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4.25" customHeight="1" x14ac:dyDescent="0.35">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4.25" customHeight="1" x14ac:dyDescent="0.35">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4.25" customHeight="1" x14ac:dyDescent="0.35">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4.25" customHeight="1" x14ac:dyDescent="0.35">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4.25" customHeight="1" x14ac:dyDescent="0.35">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4.25" customHeight="1" x14ac:dyDescent="0.35">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4.25" customHeight="1" x14ac:dyDescent="0.35">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4.25" customHeight="1" x14ac:dyDescent="0.35">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4.25" customHeight="1" x14ac:dyDescent="0.35">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4.25" customHeight="1" x14ac:dyDescent="0.35">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4.25" customHeight="1" x14ac:dyDescent="0.35">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4.25" customHeight="1" x14ac:dyDescent="0.35">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4.25" customHeight="1" x14ac:dyDescent="0.35">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4.25" customHeight="1" x14ac:dyDescent="0.35">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4.25" customHeight="1" x14ac:dyDescent="0.35">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4.25" customHeight="1" x14ac:dyDescent="0.35">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4.25" customHeight="1" x14ac:dyDescent="0.35">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4.25" customHeight="1" x14ac:dyDescent="0.35">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4.25" customHeight="1" x14ac:dyDescent="0.35">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4.25" customHeight="1" x14ac:dyDescent="0.35">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4.25" customHeight="1" x14ac:dyDescent="0.35">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4.25" customHeight="1" x14ac:dyDescent="0.35">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4.25" customHeight="1" x14ac:dyDescent="0.35">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4.25" customHeight="1" x14ac:dyDescent="0.35">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4.25" customHeight="1" x14ac:dyDescent="0.35">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4.25" customHeight="1" x14ac:dyDescent="0.35">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4.25" customHeight="1" x14ac:dyDescent="0.35">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4.25" customHeight="1" x14ac:dyDescent="0.35">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4.25" customHeight="1" x14ac:dyDescent="0.35">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4.25" customHeight="1" x14ac:dyDescent="0.35">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4.25" customHeight="1" x14ac:dyDescent="0.35">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4.25" customHeight="1" x14ac:dyDescent="0.35">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4.25" customHeight="1" x14ac:dyDescent="0.35">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4.25" customHeight="1" x14ac:dyDescent="0.35">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4.25" customHeight="1" x14ac:dyDescent="0.35">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4.25" customHeight="1" x14ac:dyDescent="0.35">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4.25" customHeight="1" x14ac:dyDescent="0.35">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4.25" customHeight="1" x14ac:dyDescent="0.35">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4.25" customHeight="1" x14ac:dyDescent="0.35">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4.25" customHeight="1" x14ac:dyDescent="0.35">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4.25" customHeight="1" x14ac:dyDescent="0.35">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4.25" customHeight="1" x14ac:dyDescent="0.35">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4.25" customHeight="1" x14ac:dyDescent="0.35">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4.25" customHeight="1" x14ac:dyDescent="0.35">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4.25" customHeight="1" x14ac:dyDescent="0.35">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4.25" customHeight="1" x14ac:dyDescent="0.35">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4.25" customHeight="1" x14ac:dyDescent="0.35">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4.25" customHeight="1" x14ac:dyDescent="0.35">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4.25" customHeight="1" x14ac:dyDescent="0.35">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4.25" customHeight="1" x14ac:dyDescent="0.35">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4.25" customHeight="1" x14ac:dyDescent="0.35">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4.25" customHeight="1" x14ac:dyDescent="0.35">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4.25" customHeight="1" x14ac:dyDescent="0.35">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4.25" customHeight="1" x14ac:dyDescent="0.35">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4.25" customHeight="1" x14ac:dyDescent="0.35">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4.25" customHeight="1" x14ac:dyDescent="0.35">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4.25" customHeight="1" x14ac:dyDescent="0.35">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4.25" customHeight="1" x14ac:dyDescent="0.35">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4.25" customHeight="1" x14ac:dyDescent="0.35">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4.25" customHeight="1" x14ac:dyDescent="0.35">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4.25" customHeight="1" x14ac:dyDescent="0.35">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4.25" customHeight="1" x14ac:dyDescent="0.35">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4.25" customHeight="1" x14ac:dyDescent="0.35">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4.25" customHeight="1" x14ac:dyDescent="0.35">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4.25" customHeight="1" x14ac:dyDescent="0.35">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4.25" customHeight="1" x14ac:dyDescent="0.35">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4.25" customHeight="1" x14ac:dyDescent="0.35">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4.25" customHeight="1" x14ac:dyDescent="0.35">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4.25" customHeight="1" x14ac:dyDescent="0.35">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4.25" customHeight="1" x14ac:dyDescent="0.35">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4.25" customHeight="1" x14ac:dyDescent="0.35">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4.25" customHeight="1" x14ac:dyDescent="0.35">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4.25" customHeight="1" x14ac:dyDescent="0.35">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4.25" customHeight="1" x14ac:dyDescent="0.35">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4.25" customHeight="1" x14ac:dyDescent="0.35">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4.25" customHeight="1" x14ac:dyDescent="0.35">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4.25" customHeight="1" x14ac:dyDescent="0.35">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4.25" customHeight="1" x14ac:dyDescent="0.35">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4.25" customHeight="1" x14ac:dyDescent="0.35">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4.25" customHeight="1" x14ac:dyDescent="0.35">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4.25" customHeight="1" x14ac:dyDescent="0.35">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4.25" customHeight="1" x14ac:dyDescent="0.35">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4.25" customHeight="1" x14ac:dyDescent="0.35">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4.25" customHeight="1" x14ac:dyDescent="0.35">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4.25" customHeight="1" x14ac:dyDescent="0.35">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4.25" customHeight="1" x14ac:dyDescent="0.35">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4.25" customHeight="1" x14ac:dyDescent="0.35">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4.25" customHeight="1" x14ac:dyDescent="0.35">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4.25" customHeight="1" x14ac:dyDescent="0.35">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4.25" customHeight="1" x14ac:dyDescent="0.35">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4.25" customHeight="1" x14ac:dyDescent="0.35">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4.25" customHeight="1" x14ac:dyDescent="0.35">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4.25" customHeight="1" x14ac:dyDescent="0.35">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4.25" customHeight="1" x14ac:dyDescent="0.35">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4.25" customHeight="1" x14ac:dyDescent="0.35">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4.25" customHeight="1" x14ac:dyDescent="0.35">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4.25" customHeight="1" x14ac:dyDescent="0.35">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4.25" customHeight="1" x14ac:dyDescent="0.35">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4.25" customHeight="1" x14ac:dyDescent="0.35">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4.25" customHeight="1" x14ac:dyDescent="0.35">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4.25" customHeight="1" x14ac:dyDescent="0.35">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4.25" customHeight="1" x14ac:dyDescent="0.35">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4.25" customHeight="1" x14ac:dyDescent="0.35">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4.25" customHeight="1" x14ac:dyDescent="0.35">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4.25" customHeight="1" x14ac:dyDescent="0.35">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4.25" customHeight="1" x14ac:dyDescent="0.35">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4.25" customHeight="1" x14ac:dyDescent="0.35">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4.25" customHeight="1" x14ac:dyDescent="0.35">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4.25" customHeight="1" x14ac:dyDescent="0.35">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4.25" customHeight="1" x14ac:dyDescent="0.35">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4.25" customHeight="1" x14ac:dyDescent="0.35">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4.25" customHeight="1" x14ac:dyDescent="0.35">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4.25" customHeight="1" x14ac:dyDescent="0.35">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4.25" customHeight="1" x14ac:dyDescent="0.35">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4.25" customHeight="1" x14ac:dyDescent="0.35">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4.25" customHeight="1" x14ac:dyDescent="0.35">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4.25" customHeight="1" x14ac:dyDescent="0.35">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4.25" customHeight="1" x14ac:dyDescent="0.35">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4.25" customHeight="1" x14ac:dyDescent="0.35">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4.25" customHeight="1" x14ac:dyDescent="0.35">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4.25" customHeight="1" x14ac:dyDescent="0.35">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4.25" customHeight="1" x14ac:dyDescent="0.35">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4.25" customHeight="1" x14ac:dyDescent="0.35">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mergeCells count="2">
    <mergeCell ref="A1:G3"/>
    <mergeCell ref="H25:M2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workbookViewId="0">
      <selection sqref="A1:J4"/>
    </sheetView>
  </sheetViews>
  <sheetFormatPr defaultColWidth="14.453125" defaultRowHeight="15" customHeight="1" x14ac:dyDescent="0.35"/>
  <cols>
    <col min="1" max="1" width="15.6328125" customWidth="1"/>
    <col min="2" max="2" width="31.6328125" customWidth="1"/>
    <col min="3" max="3" width="12.6328125" customWidth="1"/>
    <col min="4" max="6" width="8.6328125" customWidth="1"/>
    <col min="7" max="7" width="10" customWidth="1"/>
    <col min="8" max="8" width="12.6328125" customWidth="1"/>
    <col min="9" max="26" width="8.6328125" customWidth="1"/>
  </cols>
  <sheetData>
    <row r="1" spans="1:10" ht="15" customHeight="1" x14ac:dyDescent="0.35">
      <c r="A1" s="216" t="s">
        <v>74</v>
      </c>
      <c r="B1" s="217"/>
      <c r="C1" s="217"/>
      <c r="D1" s="217"/>
      <c r="E1" s="217"/>
      <c r="F1" s="217"/>
      <c r="G1" s="217"/>
      <c r="H1" s="217"/>
      <c r="I1" s="217"/>
      <c r="J1" s="217"/>
    </row>
    <row r="2" spans="1:10" ht="15" customHeight="1" x14ac:dyDescent="0.35">
      <c r="A2" s="217"/>
      <c r="B2" s="217"/>
      <c r="C2" s="217"/>
      <c r="D2" s="217"/>
      <c r="E2" s="217"/>
      <c r="F2" s="217"/>
      <c r="G2" s="217"/>
      <c r="H2" s="217"/>
      <c r="I2" s="217"/>
      <c r="J2" s="217"/>
    </row>
    <row r="3" spans="1:10" ht="15" customHeight="1" x14ac:dyDescent="0.35">
      <c r="A3" s="217"/>
      <c r="B3" s="217"/>
      <c r="C3" s="217"/>
      <c r="D3" s="217"/>
      <c r="E3" s="217"/>
      <c r="F3" s="217"/>
      <c r="G3" s="217"/>
      <c r="H3" s="217"/>
      <c r="I3" s="217"/>
      <c r="J3" s="217"/>
    </row>
    <row r="4" spans="1:10" ht="15" customHeight="1" x14ac:dyDescent="0.35">
      <c r="A4" s="217"/>
      <c r="B4" s="217"/>
      <c r="C4" s="217"/>
      <c r="D4" s="217"/>
      <c r="E4" s="217"/>
      <c r="F4" s="217"/>
      <c r="G4" s="217"/>
      <c r="H4" s="217"/>
      <c r="I4" s="217"/>
      <c r="J4" s="217"/>
    </row>
    <row r="5" spans="1:10" ht="15" customHeight="1" x14ac:dyDescent="0.35">
      <c r="A5" s="31"/>
      <c r="B5" s="31"/>
      <c r="C5" s="31"/>
      <c r="D5" s="31"/>
      <c r="E5" s="31"/>
      <c r="F5" s="31"/>
      <c r="G5" s="32"/>
      <c r="H5" s="32"/>
      <c r="I5" s="32"/>
      <c r="J5" s="32"/>
    </row>
    <row r="6" spans="1:10" ht="15" customHeight="1" x14ac:dyDescent="0.35">
      <c r="A6" s="33"/>
      <c r="B6" s="31">
        <v>25000</v>
      </c>
      <c r="C6" s="33"/>
      <c r="D6" s="31"/>
      <c r="E6" s="33"/>
      <c r="F6" s="31"/>
      <c r="G6" s="32"/>
      <c r="H6" s="32"/>
      <c r="I6" s="32"/>
      <c r="J6" s="32"/>
    </row>
    <row r="7" spans="1:10" ht="15" customHeight="1" x14ac:dyDescent="0.35">
      <c r="A7" s="33"/>
      <c r="B7" s="31">
        <v>5100</v>
      </c>
      <c r="C7" s="33"/>
      <c r="E7" s="33"/>
      <c r="F7" s="31"/>
      <c r="G7" s="32"/>
      <c r="H7" s="32"/>
      <c r="I7" s="32"/>
      <c r="J7" s="32"/>
    </row>
    <row r="8" spans="1:10" ht="15" customHeight="1" x14ac:dyDescent="0.35">
      <c r="A8" s="31">
        <v>6</v>
      </c>
      <c r="B8" s="31">
        <v>1.0329999999999999</v>
      </c>
      <c r="C8" s="33"/>
      <c r="D8" s="31"/>
      <c r="E8" s="33"/>
      <c r="F8" s="31"/>
      <c r="G8" s="32"/>
      <c r="H8" s="32"/>
      <c r="I8" s="32"/>
      <c r="J8" s="32"/>
    </row>
    <row r="9" spans="1:10" ht="15" customHeight="1" x14ac:dyDescent="0.35">
      <c r="A9" s="31">
        <v>7</v>
      </c>
      <c r="B9" s="15">
        <v>1.026</v>
      </c>
      <c r="C9" s="33"/>
      <c r="D9" s="34"/>
      <c r="E9" s="33"/>
      <c r="F9" s="34"/>
      <c r="G9" s="32"/>
      <c r="H9" s="32"/>
      <c r="I9" s="32"/>
      <c r="J9" s="32"/>
    </row>
    <row r="10" spans="1:10" ht="15" customHeight="1" x14ac:dyDescent="0.35">
      <c r="A10" s="31">
        <v>2</v>
      </c>
      <c r="B10" s="15">
        <v>1.0189999999999999</v>
      </c>
      <c r="C10" s="33"/>
      <c r="D10" s="34"/>
      <c r="E10" s="33"/>
      <c r="F10" s="34"/>
      <c r="G10" s="32"/>
      <c r="H10" s="32"/>
      <c r="I10" s="32"/>
      <c r="J10" s="32"/>
    </row>
    <row r="11" spans="1:10" ht="14.5" x14ac:dyDescent="0.35">
      <c r="A11" s="33"/>
      <c r="B11" s="32"/>
      <c r="C11" s="35"/>
      <c r="D11" s="32"/>
      <c r="E11" s="33"/>
      <c r="F11" s="32"/>
      <c r="G11" s="32"/>
      <c r="H11" s="32"/>
      <c r="I11" s="32"/>
      <c r="J11" s="32"/>
    </row>
    <row r="12" spans="1:10" ht="14.5" x14ac:dyDescent="0.35">
      <c r="C12" s="35"/>
    </row>
    <row r="13" spans="1:10" ht="14.5" x14ac:dyDescent="0.35"/>
    <row r="14" spans="1:10" ht="14.5" x14ac:dyDescent="0.35">
      <c r="A14" s="18" t="s">
        <v>75</v>
      </c>
      <c r="B14" s="36" t="s">
        <v>76</v>
      </c>
      <c r="C14" s="17">
        <f>B6*B8^6</f>
        <v>30376.79412297063</v>
      </c>
    </row>
    <row r="15" spans="1:10" ht="14.5" x14ac:dyDescent="0.35">
      <c r="B15" s="37"/>
    </row>
    <row r="16" spans="1:10" ht="43.5" x14ac:dyDescent="0.35">
      <c r="A16" s="18" t="s">
        <v>77</v>
      </c>
      <c r="B16" s="36" t="s">
        <v>275</v>
      </c>
      <c r="C16" s="17">
        <f>C14*B9^3-5100</f>
        <v>27708.32210557723</v>
      </c>
    </row>
    <row r="17" spans="1:3" ht="14.5" x14ac:dyDescent="0.35">
      <c r="B17" s="37"/>
    </row>
    <row r="18" spans="1:3" ht="14.5" x14ac:dyDescent="0.35">
      <c r="A18" s="18" t="s">
        <v>78</v>
      </c>
      <c r="B18" s="36" t="s">
        <v>79</v>
      </c>
      <c r="C18" s="17">
        <f>C16*B9^4*B10^2</f>
        <v>31882.182153851369</v>
      </c>
    </row>
    <row r="19" spans="1:3" ht="14.5" x14ac:dyDescent="0.35"/>
    <row r="20" spans="1:3" ht="14.5" x14ac:dyDescent="0.35">
      <c r="C20" s="24"/>
    </row>
    <row r="21" spans="1:3" ht="14.5" x14ac:dyDescent="0.35"/>
    <row r="22" spans="1:3" ht="14.5" x14ac:dyDescent="0.35"/>
    <row r="23" spans="1:3" ht="14.5" x14ac:dyDescent="0.35"/>
    <row r="24" spans="1:3" ht="14.5" x14ac:dyDescent="0.35"/>
    <row r="25" spans="1:3" ht="14.5" x14ac:dyDescent="0.35"/>
    <row r="26" spans="1:3" ht="14.5" x14ac:dyDescent="0.35"/>
    <row r="27" spans="1:3" ht="14.5" x14ac:dyDescent="0.35"/>
    <row r="28" spans="1:3" ht="14.5" x14ac:dyDescent="0.35"/>
    <row r="29" spans="1:3" ht="14.5" x14ac:dyDescent="0.35"/>
    <row r="30" spans="1:3" ht="14.5" x14ac:dyDescent="0.35"/>
    <row r="31" spans="1:3" ht="14.5" x14ac:dyDescent="0.35"/>
    <row r="32" spans="1:3" ht="14.5" x14ac:dyDescent="0.35"/>
    <row r="33" ht="14.5" x14ac:dyDescent="0.35"/>
    <row r="34" ht="14.5" x14ac:dyDescent="0.35"/>
    <row r="35" ht="14.5" x14ac:dyDescent="0.35"/>
    <row r="36" ht="14.5" x14ac:dyDescent="0.35"/>
    <row r="37" ht="14.5" x14ac:dyDescent="0.35"/>
    <row r="38" ht="14.5" x14ac:dyDescent="0.35"/>
    <row r="39" ht="14.5"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J4"/>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99"/>
  <sheetViews>
    <sheetView workbookViewId="0">
      <selection sqref="A1:J5"/>
    </sheetView>
  </sheetViews>
  <sheetFormatPr defaultColWidth="14.453125" defaultRowHeight="15" customHeight="1" x14ac:dyDescent="0.35"/>
  <cols>
    <col min="1" max="1" width="8.6328125" customWidth="1"/>
    <col min="2" max="2" width="15" customWidth="1"/>
    <col min="3" max="3" width="17" customWidth="1"/>
    <col min="4" max="4" width="10.6328125" customWidth="1"/>
    <col min="5" max="6" width="8.6328125" customWidth="1"/>
    <col min="7" max="7" width="13.6328125" customWidth="1"/>
    <col min="8" max="8" width="15.453125" customWidth="1"/>
    <col min="9" max="9" width="9.6328125" customWidth="1"/>
    <col min="10" max="26" width="8.6328125" customWidth="1"/>
  </cols>
  <sheetData>
    <row r="1" spans="1:10" ht="15" customHeight="1" x14ac:dyDescent="0.35">
      <c r="A1" s="218" t="s">
        <v>244</v>
      </c>
      <c r="B1" s="217"/>
      <c r="C1" s="217"/>
      <c r="D1" s="217"/>
      <c r="E1" s="217"/>
      <c r="F1" s="217"/>
      <c r="G1" s="217"/>
      <c r="H1" s="217"/>
      <c r="I1" s="217"/>
      <c r="J1" s="217"/>
    </row>
    <row r="2" spans="1:10" ht="15" customHeight="1" x14ac:dyDescent="0.35">
      <c r="A2" s="217"/>
      <c r="B2" s="217"/>
      <c r="C2" s="217"/>
      <c r="D2" s="217"/>
      <c r="E2" s="217"/>
      <c r="F2" s="217"/>
      <c r="G2" s="217"/>
      <c r="H2" s="217"/>
      <c r="I2" s="217"/>
      <c r="J2" s="217"/>
    </row>
    <row r="3" spans="1:10" ht="15" customHeight="1" x14ac:dyDescent="0.35">
      <c r="A3" s="217"/>
      <c r="B3" s="217"/>
      <c r="C3" s="217"/>
      <c r="D3" s="217"/>
      <c r="E3" s="217"/>
      <c r="F3" s="217"/>
      <c r="G3" s="217"/>
      <c r="H3" s="217"/>
      <c r="I3" s="217"/>
      <c r="J3" s="217"/>
    </row>
    <row r="4" spans="1:10" ht="15" customHeight="1" x14ac:dyDescent="0.35">
      <c r="A4" s="217"/>
      <c r="B4" s="217"/>
      <c r="C4" s="217"/>
      <c r="D4" s="217"/>
      <c r="E4" s="217"/>
      <c r="F4" s="217"/>
      <c r="G4" s="217"/>
      <c r="H4" s="217"/>
      <c r="I4" s="217"/>
      <c r="J4" s="217"/>
    </row>
    <row r="5" spans="1:10" ht="15" customHeight="1" x14ac:dyDescent="0.35">
      <c r="A5" s="217"/>
      <c r="B5" s="217"/>
      <c r="C5" s="217"/>
      <c r="D5" s="217"/>
      <c r="E5" s="217"/>
      <c r="F5" s="217"/>
      <c r="G5" s="217"/>
      <c r="H5" s="217"/>
      <c r="I5" s="217"/>
      <c r="J5" s="217"/>
    </row>
    <row r="6" spans="1:10" ht="15" customHeight="1" x14ac:dyDescent="0.35">
      <c r="A6" s="38"/>
      <c r="B6" s="38"/>
      <c r="C6" s="38"/>
      <c r="D6" s="38"/>
      <c r="E6" s="38"/>
      <c r="F6" s="38"/>
      <c r="G6" s="38"/>
      <c r="H6" s="38"/>
      <c r="I6" s="38"/>
      <c r="J6" s="38"/>
    </row>
    <row r="7" spans="1:10" ht="15" customHeight="1" x14ac:dyDescent="0.35">
      <c r="A7" s="38" t="s">
        <v>80</v>
      </c>
      <c r="B7" s="39">
        <v>71000</v>
      </c>
      <c r="C7" s="38"/>
      <c r="D7" s="38"/>
      <c r="E7" s="38"/>
      <c r="F7" s="38"/>
      <c r="G7" s="38"/>
      <c r="H7" s="38"/>
      <c r="I7" s="38"/>
      <c r="J7" s="38"/>
    </row>
    <row r="8" spans="1:10" ht="15" customHeight="1" x14ac:dyDescent="0.35">
      <c r="A8" s="38" t="s">
        <v>81</v>
      </c>
      <c r="B8" s="40">
        <v>1.2E-2</v>
      </c>
      <c r="C8" s="38"/>
      <c r="D8" s="38"/>
      <c r="E8" s="38"/>
      <c r="F8" s="38"/>
      <c r="G8" s="38"/>
      <c r="H8" s="38"/>
      <c r="I8" s="38"/>
      <c r="J8" s="38"/>
    </row>
    <row r="9" spans="1:10" ht="15" customHeight="1" x14ac:dyDescent="0.35">
      <c r="A9" s="3" t="s">
        <v>82</v>
      </c>
      <c r="B9" s="41">
        <f>1+B8</f>
        <v>1.012</v>
      </c>
    </row>
    <row r="10" spans="1:10" ht="15" customHeight="1" x14ac:dyDescent="0.35">
      <c r="A10" s="219" t="s">
        <v>83</v>
      </c>
      <c r="B10" s="200"/>
      <c r="C10" s="196"/>
      <c r="F10" s="219" t="s">
        <v>84</v>
      </c>
      <c r="G10" s="200"/>
      <c r="H10" s="196"/>
    </row>
    <row r="11" spans="1:10" ht="29" x14ac:dyDescent="0.35">
      <c r="A11" s="27" t="s">
        <v>85</v>
      </c>
      <c r="B11" s="43" t="s">
        <v>86</v>
      </c>
      <c r="C11" s="27" t="s">
        <v>87</v>
      </c>
      <c r="D11" s="19"/>
      <c r="E11" s="19"/>
      <c r="F11" s="27" t="s">
        <v>85</v>
      </c>
      <c r="G11" s="43" t="s">
        <v>86</v>
      </c>
      <c r="H11" s="27" t="s">
        <v>87</v>
      </c>
    </row>
    <row r="12" spans="1:10" ht="15" customHeight="1" x14ac:dyDescent="0.35">
      <c r="A12" s="7">
        <v>0</v>
      </c>
      <c r="B12" s="44"/>
      <c r="C12" s="44">
        <f>B7</f>
        <v>71000</v>
      </c>
      <c r="F12" s="7">
        <v>0</v>
      </c>
      <c r="G12" s="44"/>
      <c r="H12" s="44">
        <f>B7</f>
        <v>71000</v>
      </c>
    </row>
    <row r="13" spans="1:10" ht="15" customHeight="1" x14ac:dyDescent="0.35">
      <c r="A13" s="7">
        <v>1</v>
      </c>
      <c r="B13" s="44">
        <f t="shared" ref="B13:B20" si="0">ROUND($C$12*$B$8,2)</f>
        <v>852</v>
      </c>
      <c r="C13" s="44">
        <f t="shared" ref="C13:C20" si="1">C12+B13</f>
        <v>71852</v>
      </c>
      <c r="F13" s="7">
        <v>1</v>
      </c>
      <c r="G13" s="44">
        <f t="shared" ref="G13:G20" si="2">ROUND(H12*$B$8,2)</f>
        <v>852</v>
      </c>
      <c r="H13" s="44">
        <f t="shared" ref="H13:H20" si="3">H12+G13</f>
        <v>71852</v>
      </c>
    </row>
    <row r="14" spans="1:10" ht="15" customHeight="1" x14ac:dyDescent="0.35">
      <c r="A14" s="7">
        <v>2</v>
      </c>
      <c r="B14" s="44">
        <f t="shared" si="0"/>
        <v>852</v>
      </c>
      <c r="C14" s="44">
        <f t="shared" si="1"/>
        <v>72704</v>
      </c>
      <c r="F14" s="7">
        <v>2</v>
      </c>
      <c r="G14" s="44">
        <f t="shared" si="2"/>
        <v>862.22</v>
      </c>
      <c r="H14" s="44">
        <f t="shared" si="3"/>
        <v>72714.22</v>
      </c>
    </row>
    <row r="15" spans="1:10" ht="15" customHeight="1" x14ac:dyDescent="0.35">
      <c r="A15" s="7">
        <v>3</v>
      </c>
      <c r="B15" s="44">
        <f t="shared" si="0"/>
        <v>852</v>
      </c>
      <c r="C15" s="44">
        <f t="shared" si="1"/>
        <v>73556</v>
      </c>
      <c r="F15" s="7">
        <v>3</v>
      </c>
      <c r="G15" s="44">
        <f t="shared" si="2"/>
        <v>872.57</v>
      </c>
      <c r="H15" s="44">
        <f t="shared" si="3"/>
        <v>73586.790000000008</v>
      </c>
    </row>
    <row r="16" spans="1:10" ht="15" customHeight="1" x14ac:dyDescent="0.35">
      <c r="A16" s="7">
        <v>4</v>
      </c>
      <c r="B16" s="44">
        <f t="shared" si="0"/>
        <v>852</v>
      </c>
      <c r="C16" s="44">
        <f t="shared" si="1"/>
        <v>74408</v>
      </c>
      <c r="F16" s="7">
        <v>4</v>
      </c>
      <c r="G16" s="44">
        <f t="shared" si="2"/>
        <v>883.04</v>
      </c>
      <c r="H16" s="44">
        <f t="shared" si="3"/>
        <v>74469.83</v>
      </c>
    </row>
    <row r="17" spans="1:9" ht="15" customHeight="1" x14ac:dyDescent="0.35">
      <c r="A17" s="7">
        <v>5</v>
      </c>
      <c r="B17" s="44">
        <f t="shared" si="0"/>
        <v>852</v>
      </c>
      <c r="C17" s="44">
        <f t="shared" si="1"/>
        <v>75260</v>
      </c>
      <c r="F17" s="7">
        <v>5</v>
      </c>
      <c r="G17" s="44">
        <f t="shared" si="2"/>
        <v>893.64</v>
      </c>
      <c r="H17" s="44">
        <f t="shared" si="3"/>
        <v>75363.47</v>
      </c>
    </row>
    <row r="18" spans="1:9" ht="15" customHeight="1" x14ac:dyDescent="0.35">
      <c r="A18" s="7">
        <v>6</v>
      </c>
      <c r="B18" s="44">
        <f t="shared" si="0"/>
        <v>852</v>
      </c>
      <c r="C18" s="44">
        <f t="shared" si="1"/>
        <v>76112</v>
      </c>
      <c r="F18" s="7">
        <v>6</v>
      </c>
      <c r="G18" s="44">
        <f t="shared" si="2"/>
        <v>904.36</v>
      </c>
      <c r="H18" s="44">
        <f t="shared" si="3"/>
        <v>76267.83</v>
      </c>
    </row>
    <row r="19" spans="1:9" ht="15" customHeight="1" x14ac:dyDescent="0.35">
      <c r="A19" s="7">
        <v>7</v>
      </c>
      <c r="B19" s="44">
        <f t="shared" si="0"/>
        <v>852</v>
      </c>
      <c r="C19" s="44">
        <f t="shared" si="1"/>
        <v>76964</v>
      </c>
      <c r="D19" s="45"/>
      <c r="F19" s="7">
        <v>7</v>
      </c>
      <c r="G19" s="44">
        <f t="shared" si="2"/>
        <v>915.21</v>
      </c>
      <c r="H19" s="44">
        <f t="shared" si="3"/>
        <v>77183.040000000008</v>
      </c>
      <c r="I19" s="45"/>
    </row>
    <row r="20" spans="1:9" ht="15" customHeight="1" x14ac:dyDescent="0.35">
      <c r="A20" s="7">
        <v>8</v>
      </c>
      <c r="B20" s="44">
        <f t="shared" si="0"/>
        <v>852</v>
      </c>
      <c r="C20" s="44">
        <f t="shared" si="1"/>
        <v>77816</v>
      </c>
      <c r="D20" s="45" t="s">
        <v>88</v>
      </c>
      <c r="F20" s="7">
        <v>8</v>
      </c>
      <c r="G20" s="44">
        <f t="shared" si="2"/>
        <v>926.2</v>
      </c>
      <c r="H20" s="44">
        <f t="shared" si="3"/>
        <v>78109.240000000005</v>
      </c>
      <c r="I20" s="45" t="s">
        <v>88</v>
      </c>
    </row>
    <row r="22" spans="1:9" ht="58" x14ac:dyDescent="0.35">
      <c r="A22" s="45" t="s">
        <v>75</v>
      </c>
      <c r="B22" s="23" t="s">
        <v>89</v>
      </c>
      <c r="C22" s="46">
        <f>ROUND(C20/H20-1,4)</f>
        <v>-3.8E-3</v>
      </c>
    </row>
    <row r="23" spans="1:9" ht="15" customHeight="1" x14ac:dyDescent="0.35">
      <c r="C23" s="24"/>
    </row>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mergeCells count="3">
    <mergeCell ref="A1:J5"/>
    <mergeCell ref="A10:C10"/>
    <mergeCell ref="F10:H10"/>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selection sqref="A1:M3"/>
    </sheetView>
  </sheetViews>
  <sheetFormatPr defaultColWidth="14.453125" defaultRowHeight="15" customHeight="1" x14ac:dyDescent="0.35"/>
  <cols>
    <col min="1" max="2" width="8.6328125" customWidth="1"/>
    <col min="3" max="3" width="12.36328125" customWidth="1"/>
    <col min="4" max="4" width="17.36328125" customWidth="1"/>
    <col min="5" max="6" width="8.6328125" customWidth="1"/>
    <col min="7" max="7" width="11" customWidth="1"/>
    <col min="8" max="8" width="13.453125" customWidth="1"/>
    <col min="9" max="9" width="10.36328125" customWidth="1"/>
    <col min="10" max="10" width="14.6328125" customWidth="1"/>
    <col min="11" max="26" width="8.6328125" customWidth="1"/>
  </cols>
  <sheetData>
    <row r="1" spans="1:13" ht="15" customHeight="1" x14ac:dyDescent="0.35">
      <c r="A1" s="220" t="s">
        <v>90</v>
      </c>
      <c r="B1" s="217"/>
      <c r="C1" s="217"/>
      <c r="D1" s="217"/>
      <c r="E1" s="217"/>
      <c r="F1" s="217"/>
      <c r="G1" s="217"/>
      <c r="H1" s="217"/>
      <c r="I1" s="217"/>
      <c r="J1" s="217"/>
      <c r="K1" s="217"/>
      <c r="L1" s="217"/>
      <c r="M1" s="217"/>
    </row>
    <row r="2" spans="1:13" ht="15" customHeight="1" x14ac:dyDescent="0.35">
      <c r="A2" s="217"/>
      <c r="B2" s="217"/>
      <c r="C2" s="217"/>
      <c r="D2" s="217"/>
      <c r="E2" s="217"/>
      <c r="F2" s="217"/>
      <c r="G2" s="217"/>
      <c r="H2" s="217"/>
      <c r="I2" s="217"/>
      <c r="J2" s="217"/>
      <c r="K2" s="217"/>
      <c r="L2" s="217"/>
      <c r="M2" s="217"/>
    </row>
    <row r="3" spans="1:13" ht="15" customHeight="1" x14ac:dyDescent="0.35">
      <c r="A3" s="217"/>
      <c r="B3" s="217"/>
      <c r="C3" s="217"/>
      <c r="D3" s="217"/>
      <c r="E3" s="217"/>
      <c r="F3" s="217"/>
      <c r="G3" s="217"/>
      <c r="H3" s="217"/>
      <c r="I3" s="217"/>
      <c r="J3" s="217"/>
      <c r="K3" s="217"/>
      <c r="L3" s="217"/>
      <c r="M3" s="217"/>
    </row>
    <row r="4" spans="1:13" ht="15" customHeight="1" x14ac:dyDescent="0.35">
      <c r="A4" s="23"/>
      <c r="B4" s="23"/>
      <c r="C4" s="23"/>
      <c r="D4" s="23"/>
      <c r="E4" s="23"/>
      <c r="F4" s="23"/>
      <c r="G4" s="23"/>
      <c r="H4" s="23"/>
      <c r="I4" s="23"/>
      <c r="J4" s="23"/>
      <c r="K4" s="23"/>
      <c r="L4" s="23"/>
      <c r="M4" s="23"/>
    </row>
    <row r="5" spans="1:13" ht="15" customHeight="1" x14ac:dyDescent="0.35">
      <c r="A5" s="23"/>
      <c r="B5" s="23"/>
      <c r="C5" s="23"/>
      <c r="D5" s="23"/>
      <c r="E5" s="23"/>
      <c r="F5" s="23"/>
      <c r="G5" s="23"/>
      <c r="H5" s="23"/>
      <c r="I5" s="23"/>
      <c r="J5" s="23"/>
      <c r="K5" s="23"/>
      <c r="L5" s="23"/>
      <c r="M5" s="23"/>
    </row>
    <row r="8" spans="1:13" ht="15" customHeight="1" x14ac:dyDescent="0.35">
      <c r="C8" s="3" t="s">
        <v>91</v>
      </c>
      <c r="G8" s="3" t="s">
        <v>92</v>
      </c>
    </row>
    <row r="10" spans="1:13" ht="15" customHeight="1" x14ac:dyDescent="0.35">
      <c r="F10" s="18" t="s">
        <v>93</v>
      </c>
      <c r="G10" s="3" t="s">
        <v>94</v>
      </c>
      <c r="H10" s="47">
        <f>-D21</f>
        <v>-41135.413017865118</v>
      </c>
    </row>
    <row r="11" spans="1:13" ht="15" customHeight="1" x14ac:dyDescent="0.35">
      <c r="C11" s="3" t="s">
        <v>95</v>
      </c>
      <c r="D11" s="47">
        <v>-70</v>
      </c>
    </row>
    <row r="12" spans="1:13" ht="15" customHeight="1" x14ac:dyDescent="0.35">
      <c r="C12" s="3" t="s">
        <v>96</v>
      </c>
      <c r="D12" s="24">
        <v>31</v>
      </c>
      <c r="G12" s="3" t="s">
        <v>96</v>
      </c>
      <c r="H12" s="24">
        <v>20</v>
      </c>
    </row>
    <row r="13" spans="1:13" ht="15" customHeight="1" x14ac:dyDescent="0.35">
      <c r="C13" s="3" t="s">
        <v>97</v>
      </c>
      <c r="D13" s="24">
        <v>12</v>
      </c>
      <c r="G13" s="3" t="s">
        <v>97</v>
      </c>
      <c r="H13" s="24">
        <v>12</v>
      </c>
    </row>
    <row r="14" spans="1:13" ht="15" customHeight="1" x14ac:dyDescent="0.35">
      <c r="C14" s="3" t="s">
        <v>98</v>
      </c>
      <c r="D14" s="21">
        <v>2.8000000000000001E-2</v>
      </c>
      <c r="G14" s="3" t="s">
        <v>98</v>
      </c>
      <c r="H14" s="21">
        <v>1.7000000000000001E-2</v>
      </c>
    </row>
    <row r="15" spans="1:13" ht="15" customHeight="1" x14ac:dyDescent="0.35">
      <c r="C15" s="3" t="s">
        <v>99</v>
      </c>
      <c r="D15" s="24">
        <f>1+D14</f>
        <v>1.028</v>
      </c>
      <c r="G15" s="3" t="s">
        <v>99</v>
      </c>
      <c r="H15" s="24">
        <f>1+H14</f>
        <v>1.0169999999999999</v>
      </c>
    </row>
    <row r="17" spans="2:9" ht="15" customHeight="1" x14ac:dyDescent="0.35">
      <c r="B17" s="18" t="s">
        <v>93</v>
      </c>
      <c r="C17" s="3" t="s">
        <v>100</v>
      </c>
      <c r="D17" s="24">
        <f>D15^(1/D13)</f>
        <v>1.0023039138595753</v>
      </c>
      <c r="G17" s="3" t="s">
        <v>100</v>
      </c>
      <c r="H17" s="24">
        <f>H15^(1/H13)</f>
        <v>1.0014057468926967</v>
      </c>
      <c r="I17" s="18"/>
    </row>
    <row r="18" spans="2:9" ht="15" customHeight="1" x14ac:dyDescent="0.35">
      <c r="B18" s="18" t="s">
        <v>93</v>
      </c>
      <c r="C18" s="3" t="s">
        <v>101</v>
      </c>
      <c r="D18" s="48">
        <f>D17-1</f>
        <v>2.3039138595752906E-3</v>
      </c>
      <c r="G18" s="3" t="s">
        <v>101</v>
      </c>
      <c r="H18" s="48">
        <f>H17-1</f>
        <v>1.4057468926966799E-3</v>
      </c>
      <c r="I18" s="18"/>
    </row>
    <row r="19" spans="2:9" ht="15" customHeight="1" x14ac:dyDescent="0.35">
      <c r="B19" s="18" t="s">
        <v>93</v>
      </c>
      <c r="C19" s="3" t="s">
        <v>102</v>
      </c>
      <c r="D19" s="24">
        <f>D13*D12</f>
        <v>372</v>
      </c>
      <c r="G19" s="3" t="s">
        <v>102</v>
      </c>
      <c r="H19" s="24">
        <f>H13*H12</f>
        <v>240</v>
      </c>
      <c r="I19" s="18"/>
    </row>
    <row r="21" spans="2:9" ht="15" customHeight="1" x14ac:dyDescent="0.35">
      <c r="B21" s="18" t="s">
        <v>103</v>
      </c>
      <c r="C21" s="49" t="s">
        <v>104</v>
      </c>
      <c r="D21" s="17">
        <f>FV(D18,D19,D11,0,0)</f>
        <v>41135.413017865118</v>
      </c>
      <c r="F21" s="18" t="s">
        <v>103</v>
      </c>
      <c r="G21" s="49" t="s">
        <v>105</v>
      </c>
      <c r="H21" s="17">
        <f>PMT(H18,H19,H10,0,1)</f>
        <v>201.76891305745781</v>
      </c>
    </row>
    <row r="23" spans="2:9" ht="15" customHeight="1" x14ac:dyDescent="0.35">
      <c r="G23" s="24"/>
    </row>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M3"/>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96"/>
  <sheetViews>
    <sheetView workbookViewId="0">
      <selection activeCell="A4" sqref="A4"/>
    </sheetView>
  </sheetViews>
  <sheetFormatPr defaultColWidth="14.453125" defaultRowHeight="15" customHeight="1" x14ac:dyDescent="0.35"/>
  <cols>
    <col min="1" max="2" width="8.6328125" customWidth="1"/>
    <col min="3" max="3" width="12.54296875" customWidth="1"/>
    <col min="4" max="4" width="12.6328125" customWidth="1"/>
    <col min="5" max="5" width="11.6328125" customWidth="1"/>
    <col min="6" max="6" width="12.36328125" customWidth="1"/>
    <col min="7" max="7" width="8.6328125" customWidth="1"/>
    <col min="8" max="8" width="11.6328125" customWidth="1"/>
    <col min="9" max="26" width="8.6328125" customWidth="1"/>
  </cols>
  <sheetData>
    <row r="1" spans="1:11" ht="15" customHeight="1" x14ac:dyDescent="0.35">
      <c r="A1" s="220" t="s">
        <v>268</v>
      </c>
      <c r="B1" s="217"/>
      <c r="C1" s="217"/>
      <c r="D1" s="217"/>
      <c r="E1" s="217"/>
      <c r="F1" s="217"/>
      <c r="G1" s="217"/>
      <c r="H1" s="217"/>
      <c r="I1" s="217"/>
      <c r="J1" s="217"/>
      <c r="K1" s="217"/>
    </row>
    <row r="2" spans="1:11" ht="15" customHeight="1" x14ac:dyDescent="0.35">
      <c r="A2" s="217"/>
      <c r="B2" s="217"/>
      <c r="C2" s="217"/>
      <c r="D2" s="217"/>
      <c r="E2" s="217"/>
      <c r="F2" s="217"/>
      <c r="G2" s="217"/>
      <c r="H2" s="217"/>
      <c r="I2" s="217"/>
      <c r="J2" s="217"/>
      <c r="K2" s="217"/>
    </row>
    <row r="3" spans="1:11" ht="15" customHeight="1" x14ac:dyDescent="0.35">
      <c r="A3" s="217"/>
      <c r="B3" s="217"/>
      <c r="C3" s="217"/>
      <c r="D3" s="217"/>
      <c r="E3" s="217"/>
      <c r="F3" s="217"/>
      <c r="G3" s="217"/>
      <c r="H3" s="217"/>
      <c r="I3" s="217"/>
      <c r="J3" s="217"/>
      <c r="K3" s="217"/>
    </row>
    <row r="4" spans="1:11" ht="15" customHeight="1" x14ac:dyDescent="0.35">
      <c r="A4" s="18" t="s">
        <v>106</v>
      </c>
    </row>
    <row r="6" spans="1:11" ht="15" customHeight="1" x14ac:dyDescent="0.35">
      <c r="B6" s="3" t="s">
        <v>80</v>
      </c>
      <c r="C6" s="17">
        <v>15000</v>
      </c>
    </row>
    <row r="7" spans="1:11" ht="15" customHeight="1" x14ac:dyDescent="0.35">
      <c r="B7" s="3" t="s">
        <v>96</v>
      </c>
      <c r="C7" s="24">
        <v>12</v>
      </c>
    </row>
    <row r="8" spans="1:11" ht="15" customHeight="1" x14ac:dyDescent="0.35">
      <c r="B8" s="3" t="s">
        <v>97</v>
      </c>
      <c r="C8" s="24">
        <v>2</v>
      </c>
      <c r="E8" s="3" t="s">
        <v>107</v>
      </c>
      <c r="F8" s="24">
        <f>C7*C8</f>
        <v>24</v>
      </c>
      <c r="G8" s="18" t="s">
        <v>108</v>
      </c>
    </row>
    <row r="9" spans="1:11" ht="15" customHeight="1" x14ac:dyDescent="0.35">
      <c r="B9" s="3" t="s">
        <v>98</v>
      </c>
      <c r="C9" s="21">
        <v>4.4999999999999998E-2</v>
      </c>
      <c r="E9" s="3" t="s">
        <v>109</v>
      </c>
      <c r="F9" s="21">
        <f>C9/C8</f>
        <v>2.2499999999999999E-2</v>
      </c>
      <c r="G9" s="18" t="s">
        <v>108</v>
      </c>
    </row>
    <row r="10" spans="1:11" ht="15" customHeight="1" x14ac:dyDescent="0.35">
      <c r="B10" s="3" t="s">
        <v>99</v>
      </c>
      <c r="C10" s="50">
        <f>1+C9</f>
        <v>1.0449999999999999</v>
      </c>
      <c r="E10" s="3" t="s">
        <v>110</v>
      </c>
      <c r="F10" s="51">
        <f>1+F9</f>
        <v>1.0225</v>
      </c>
      <c r="G10" s="18" t="s">
        <v>108</v>
      </c>
    </row>
    <row r="12" spans="1:11" ht="15" customHeight="1" x14ac:dyDescent="0.35">
      <c r="E12" s="3" t="s">
        <v>111</v>
      </c>
      <c r="F12" s="47">
        <f>ROUND(PMT(F9,F8,C6,0,0),2)</f>
        <v>-815.7</v>
      </c>
      <c r="G12" s="18" t="s">
        <v>112</v>
      </c>
      <c r="H12" s="52"/>
    </row>
    <row r="13" spans="1:11" ht="15" customHeight="1" x14ac:dyDescent="0.35">
      <c r="G13" s="18"/>
      <c r="H13" s="52"/>
    </row>
    <row r="15" spans="1:11" ht="15" customHeight="1" x14ac:dyDescent="0.35">
      <c r="B15" s="30" t="s">
        <v>113</v>
      </c>
      <c r="C15" s="30" t="s">
        <v>111</v>
      </c>
      <c r="D15" s="30" t="s">
        <v>114</v>
      </c>
      <c r="E15" s="30" t="s">
        <v>115</v>
      </c>
      <c r="F15" s="30" t="s">
        <v>116</v>
      </c>
      <c r="G15" s="15"/>
    </row>
    <row r="16" spans="1:11" ht="15" customHeight="1" x14ac:dyDescent="0.35">
      <c r="B16" s="53">
        <v>0</v>
      </c>
      <c r="C16" s="54"/>
      <c r="D16" s="54"/>
      <c r="E16" s="54"/>
      <c r="F16" s="55">
        <f>C6</f>
        <v>15000</v>
      </c>
      <c r="G16" s="15"/>
    </row>
    <row r="17" spans="2:7" ht="15" customHeight="1" x14ac:dyDescent="0.35">
      <c r="B17" s="56">
        <v>1</v>
      </c>
      <c r="C17" s="54">
        <f t="shared" ref="C17:C39" si="0">-$F$12</f>
        <v>815.7</v>
      </c>
      <c r="D17" s="54">
        <f t="shared" ref="D17:D40" si="1">ROUND(F16*$F$9,2)</f>
        <v>337.5</v>
      </c>
      <c r="E17" s="54">
        <f t="shared" ref="E17:E39" si="2">C17-D17</f>
        <v>478.20000000000005</v>
      </c>
      <c r="F17" s="54">
        <f t="shared" ref="F17:F40" si="3">F16-E17</f>
        <v>14521.8</v>
      </c>
      <c r="G17" s="15"/>
    </row>
    <row r="18" spans="2:7" ht="15" customHeight="1" x14ac:dyDescent="0.35">
      <c r="B18" s="56">
        <v>2</v>
      </c>
      <c r="C18" s="54">
        <f t="shared" si="0"/>
        <v>815.7</v>
      </c>
      <c r="D18" s="54">
        <f t="shared" si="1"/>
        <v>326.74</v>
      </c>
      <c r="E18" s="54">
        <f t="shared" si="2"/>
        <v>488.96000000000004</v>
      </c>
      <c r="F18" s="54">
        <f t="shared" si="3"/>
        <v>14032.84</v>
      </c>
      <c r="G18" s="15"/>
    </row>
    <row r="19" spans="2:7" ht="15" customHeight="1" x14ac:dyDescent="0.35">
      <c r="B19" s="56">
        <v>3</v>
      </c>
      <c r="C19" s="54">
        <f t="shared" si="0"/>
        <v>815.7</v>
      </c>
      <c r="D19" s="54">
        <f t="shared" si="1"/>
        <v>315.74</v>
      </c>
      <c r="E19" s="54">
        <f t="shared" si="2"/>
        <v>499.96000000000004</v>
      </c>
      <c r="F19" s="54">
        <f t="shared" si="3"/>
        <v>13532.880000000001</v>
      </c>
      <c r="G19" s="15"/>
    </row>
    <row r="20" spans="2:7" ht="15" customHeight="1" x14ac:dyDescent="0.35">
      <c r="B20" s="56">
        <v>4</v>
      </c>
      <c r="C20" s="54">
        <f t="shared" si="0"/>
        <v>815.7</v>
      </c>
      <c r="D20" s="54">
        <f t="shared" si="1"/>
        <v>304.49</v>
      </c>
      <c r="E20" s="54">
        <f t="shared" si="2"/>
        <v>511.21000000000004</v>
      </c>
      <c r="F20" s="54">
        <f t="shared" si="3"/>
        <v>13021.670000000002</v>
      </c>
      <c r="G20" s="15"/>
    </row>
    <row r="21" spans="2:7" ht="15" customHeight="1" x14ac:dyDescent="0.35">
      <c r="B21" s="56">
        <v>5</v>
      </c>
      <c r="C21" s="54">
        <f t="shared" si="0"/>
        <v>815.7</v>
      </c>
      <c r="D21" s="54">
        <f t="shared" si="1"/>
        <v>292.99</v>
      </c>
      <c r="E21" s="54">
        <f t="shared" si="2"/>
        <v>522.71</v>
      </c>
      <c r="F21" s="54">
        <f t="shared" si="3"/>
        <v>12498.960000000003</v>
      </c>
      <c r="G21" s="15"/>
    </row>
    <row r="22" spans="2:7" ht="15" customHeight="1" x14ac:dyDescent="0.35">
      <c r="B22" s="56">
        <v>6</v>
      </c>
      <c r="C22" s="54">
        <f t="shared" si="0"/>
        <v>815.7</v>
      </c>
      <c r="D22" s="54">
        <f t="shared" si="1"/>
        <v>281.23</v>
      </c>
      <c r="E22" s="54">
        <f t="shared" si="2"/>
        <v>534.47</v>
      </c>
      <c r="F22" s="54">
        <f t="shared" si="3"/>
        <v>11964.490000000003</v>
      </c>
      <c r="G22" s="15"/>
    </row>
    <row r="23" spans="2:7" ht="15" customHeight="1" x14ac:dyDescent="0.35">
      <c r="B23" s="56">
        <v>7</v>
      </c>
      <c r="C23" s="54">
        <f t="shared" si="0"/>
        <v>815.7</v>
      </c>
      <c r="D23" s="54">
        <f t="shared" si="1"/>
        <v>269.2</v>
      </c>
      <c r="E23" s="54">
        <f t="shared" si="2"/>
        <v>546.5</v>
      </c>
      <c r="F23" s="54">
        <f t="shared" si="3"/>
        <v>11417.990000000003</v>
      </c>
      <c r="G23" s="15"/>
    </row>
    <row r="24" spans="2:7" ht="15" customHeight="1" x14ac:dyDescent="0.35">
      <c r="B24" s="56">
        <v>8</v>
      </c>
      <c r="C24" s="54">
        <f t="shared" si="0"/>
        <v>815.7</v>
      </c>
      <c r="D24" s="54">
        <f t="shared" si="1"/>
        <v>256.89999999999998</v>
      </c>
      <c r="E24" s="54">
        <f t="shared" si="2"/>
        <v>558.80000000000007</v>
      </c>
      <c r="F24" s="54">
        <f t="shared" si="3"/>
        <v>10859.190000000004</v>
      </c>
      <c r="G24" s="15"/>
    </row>
    <row r="25" spans="2:7" ht="15" customHeight="1" x14ac:dyDescent="0.35">
      <c r="B25" s="56">
        <v>9</v>
      </c>
      <c r="C25" s="54">
        <f t="shared" si="0"/>
        <v>815.7</v>
      </c>
      <c r="D25" s="54">
        <f t="shared" si="1"/>
        <v>244.33</v>
      </c>
      <c r="E25" s="54">
        <f t="shared" si="2"/>
        <v>571.37</v>
      </c>
      <c r="F25" s="54">
        <f t="shared" si="3"/>
        <v>10287.820000000003</v>
      </c>
    </row>
    <row r="26" spans="2:7" ht="15" customHeight="1" x14ac:dyDescent="0.35">
      <c r="B26" s="56">
        <v>10</v>
      </c>
      <c r="C26" s="54">
        <f t="shared" si="0"/>
        <v>815.7</v>
      </c>
      <c r="D26" s="54">
        <f t="shared" si="1"/>
        <v>231.48</v>
      </c>
      <c r="E26" s="54">
        <f t="shared" si="2"/>
        <v>584.22</v>
      </c>
      <c r="F26" s="54">
        <f t="shared" si="3"/>
        <v>9703.600000000004</v>
      </c>
    </row>
    <row r="27" spans="2:7" ht="15" customHeight="1" x14ac:dyDescent="0.35">
      <c r="B27" s="56">
        <v>11</v>
      </c>
      <c r="C27" s="54">
        <f t="shared" si="0"/>
        <v>815.7</v>
      </c>
      <c r="D27" s="54">
        <f t="shared" si="1"/>
        <v>218.33</v>
      </c>
      <c r="E27" s="54">
        <f t="shared" si="2"/>
        <v>597.37</v>
      </c>
      <c r="F27" s="54">
        <f t="shared" si="3"/>
        <v>9106.2300000000032</v>
      </c>
      <c r="G27" s="57"/>
    </row>
    <row r="28" spans="2:7" ht="15" customHeight="1" x14ac:dyDescent="0.35">
      <c r="B28" s="56">
        <v>12</v>
      </c>
      <c r="C28" s="54">
        <f t="shared" si="0"/>
        <v>815.7</v>
      </c>
      <c r="D28" s="54">
        <f t="shared" si="1"/>
        <v>204.89</v>
      </c>
      <c r="E28" s="54">
        <f t="shared" si="2"/>
        <v>610.81000000000006</v>
      </c>
      <c r="F28" s="54">
        <f t="shared" si="3"/>
        <v>8495.4200000000037</v>
      </c>
      <c r="G28" s="57"/>
    </row>
    <row r="29" spans="2:7" ht="15" customHeight="1" x14ac:dyDescent="0.35">
      <c r="B29" s="56">
        <v>13</v>
      </c>
      <c r="C29" s="54">
        <f t="shared" si="0"/>
        <v>815.7</v>
      </c>
      <c r="D29" s="54">
        <f t="shared" si="1"/>
        <v>191.15</v>
      </c>
      <c r="E29" s="54">
        <f t="shared" si="2"/>
        <v>624.55000000000007</v>
      </c>
      <c r="F29" s="54">
        <f t="shared" si="3"/>
        <v>7870.8700000000035</v>
      </c>
      <c r="G29" s="57"/>
    </row>
    <row r="30" spans="2:7" ht="15" customHeight="1" x14ac:dyDescent="0.35">
      <c r="B30" s="56">
        <v>14</v>
      </c>
      <c r="C30" s="54">
        <f t="shared" si="0"/>
        <v>815.7</v>
      </c>
      <c r="D30" s="54">
        <f t="shared" si="1"/>
        <v>177.09</v>
      </c>
      <c r="E30" s="54">
        <f t="shared" si="2"/>
        <v>638.61</v>
      </c>
      <c r="F30" s="54">
        <f t="shared" si="3"/>
        <v>7232.2600000000039</v>
      </c>
      <c r="G30" s="57"/>
    </row>
    <row r="31" spans="2:7" ht="15" customHeight="1" x14ac:dyDescent="0.35">
      <c r="B31" s="56">
        <v>15</v>
      </c>
      <c r="C31" s="54">
        <f t="shared" si="0"/>
        <v>815.7</v>
      </c>
      <c r="D31" s="54">
        <f t="shared" si="1"/>
        <v>162.72999999999999</v>
      </c>
      <c r="E31" s="54">
        <f t="shared" si="2"/>
        <v>652.97</v>
      </c>
      <c r="F31" s="54">
        <f t="shared" si="3"/>
        <v>6579.2900000000036</v>
      </c>
      <c r="G31" s="57"/>
    </row>
    <row r="32" spans="2:7" ht="15" customHeight="1" x14ac:dyDescent="0.35">
      <c r="B32" s="56">
        <v>16</v>
      </c>
      <c r="C32" s="54">
        <f t="shared" si="0"/>
        <v>815.7</v>
      </c>
      <c r="D32" s="54">
        <f t="shared" si="1"/>
        <v>148.03</v>
      </c>
      <c r="E32" s="54">
        <f t="shared" si="2"/>
        <v>667.67000000000007</v>
      </c>
      <c r="F32" s="54">
        <f t="shared" si="3"/>
        <v>5911.6200000000035</v>
      </c>
      <c r="G32" s="57"/>
    </row>
    <row r="33" spans="2:7" ht="15" customHeight="1" x14ac:dyDescent="0.35">
      <c r="B33" s="56">
        <v>17</v>
      </c>
      <c r="C33" s="54">
        <f t="shared" si="0"/>
        <v>815.7</v>
      </c>
      <c r="D33" s="54">
        <f t="shared" si="1"/>
        <v>133.01</v>
      </c>
      <c r="E33" s="54">
        <f t="shared" si="2"/>
        <v>682.69</v>
      </c>
      <c r="F33" s="54">
        <f t="shared" si="3"/>
        <v>5228.9300000000039</v>
      </c>
    </row>
    <row r="34" spans="2:7" ht="15" customHeight="1" x14ac:dyDescent="0.35">
      <c r="B34" s="56">
        <v>18</v>
      </c>
      <c r="C34" s="54">
        <f t="shared" si="0"/>
        <v>815.7</v>
      </c>
      <c r="D34" s="54">
        <f t="shared" si="1"/>
        <v>117.65</v>
      </c>
      <c r="E34" s="54">
        <f t="shared" si="2"/>
        <v>698.05000000000007</v>
      </c>
      <c r="F34" s="54">
        <f t="shared" si="3"/>
        <v>4530.8800000000037</v>
      </c>
    </row>
    <row r="35" spans="2:7" ht="15" customHeight="1" x14ac:dyDescent="0.35">
      <c r="B35" s="56">
        <v>19</v>
      </c>
      <c r="C35" s="54">
        <f t="shared" si="0"/>
        <v>815.7</v>
      </c>
      <c r="D35" s="54">
        <f t="shared" si="1"/>
        <v>101.94</v>
      </c>
      <c r="E35" s="54">
        <f t="shared" si="2"/>
        <v>713.76</v>
      </c>
      <c r="F35" s="54">
        <f t="shared" si="3"/>
        <v>3817.1200000000035</v>
      </c>
    </row>
    <row r="36" spans="2:7" ht="15" customHeight="1" x14ac:dyDescent="0.35">
      <c r="B36" s="56">
        <v>20</v>
      </c>
      <c r="C36" s="54">
        <f t="shared" si="0"/>
        <v>815.7</v>
      </c>
      <c r="D36" s="54">
        <f t="shared" si="1"/>
        <v>85.89</v>
      </c>
      <c r="E36" s="54">
        <f t="shared" si="2"/>
        <v>729.81000000000006</v>
      </c>
      <c r="F36" s="54">
        <f t="shared" si="3"/>
        <v>3087.3100000000036</v>
      </c>
    </row>
    <row r="37" spans="2:7" ht="15" customHeight="1" x14ac:dyDescent="0.35">
      <c r="B37" s="56">
        <v>21</v>
      </c>
      <c r="C37" s="54">
        <f t="shared" si="0"/>
        <v>815.7</v>
      </c>
      <c r="D37" s="54">
        <f t="shared" si="1"/>
        <v>69.459999999999994</v>
      </c>
      <c r="E37" s="54">
        <f t="shared" si="2"/>
        <v>746.24</v>
      </c>
      <c r="F37" s="54">
        <f t="shared" si="3"/>
        <v>2341.0700000000033</v>
      </c>
    </row>
    <row r="38" spans="2:7" ht="15" customHeight="1" x14ac:dyDescent="0.35">
      <c r="B38" s="56">
        <v>22</v>
      </c>
      <c r="C38" s="54">
        <f t="shared" si="0"/>
        <v>815.7</v>
      </c>
      <c r="D38" s="54">
        <f t="shared" si="1"/>
        <v>52.67</v>
      </c>
      <c r="E38" s="54">
        <f t="shared" si="2"/>
        <v>763.03000000000009</v>
      </c>
      <c r="F38" s="54">
        <f t="shared" si="3"/>
        <v>1578.0400000000031</v>
      </c>
    </row>
    <row r="39" spans="2:7" ht="15" customHeight="1" x14ac:dyDescent="0.35">
      <c r="B39" s="56">
        <v>23</v>
      </c>
      <c r="C39" s="54">
        <f t="shared" si="0"/>
        <v>815.7</v>
      </c>
      <c r="D39" s="54">
        <f t="shared" si="1"/>
        <v>35.51</v>
      </c>
      <c r="E39" s="54">
        <f t="shared" si="2"/>
        <v>780.19</v>
      </c>
      <c r="F39" s="129">
        <f t="shared" si="3"/>
        <v>797.85000000000309</v>
      </c>
      <c r="G39" s="57" t="s">
        <v>117</v>
      </c>
    </row>
    <row r="40" spans="2:7" ht="15" customHeight="1" x14ac:dyDescent="0.35">
      <c r="B40" s="56">
        <v>24</v>
      </c>
      <c r="C40" s="58">
        <f>D40+E40</f>
        <v>815.80000000000314</v>
      </c>
      <c r="D40" s="54">
        <f t="shared" si="1"/>
        <v>17.95</v>
      </c>
      <c r="E40" s="54">
        <f>F39</f>
        <v>797.85000000000309</v>
      </c>
      <c r="F40" s="54">
        <f t="shared" si="3"/>
        <v>0</v>
      </c>
      <c r="G40" s="57" t="s">
        <v>108</v>
      </c>
    </row>
    <row r="41" spans="2:7" ht="15" customHeight="1" x14ac:dyDescent="0.35">
      <c r="B41" s="3" t="s">
        <v>118</v>
      </c>
      <c r="C41" s="59">
        <f t="shared" ref="C41:E41" si="4">SUM(C17:C40)</f>
        <v>19576.900000000009</v>
      </c>
      <c r="D41" s="59">
        <f t="shared" si="4"/>
        <v>4576.8999999999996</v>
      </c>
      <c r="E41" s="59">
        <f t="shared" si="4"/>
        <v>15000.000000000004</v>
      </c>
      <c r="F41" s="59"/>
    </row>
    <row r="47" spans="2:7" ht="14.25" customHeight="1" x14ac:dyDescent="0.35"/>
    <row r="48" spans="2:7"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sheetData>
  <mergeCells count="1">
    <mergeCell ref="A1:K3"/>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988"/>
  <sheetViews>
    <sheetView workbookViewId="0">
      <selection sqref="A1:L5"/>
    </sheetView>
  </sheetViews>
  <sheetFormatPr defaultColWidth="14.453125" defaultRowHeight="15" customHeight="1" x14ac:dyDescent="0.35"/>
  <cols>
    <col min="1" max="2" width="8.6328125" customWidth="1"/>
    <col min="3" max="3" width="14.6328125" customWidth="1"/>
    <col min="4" max="6" width="8.6328125" customWidth="1"/>
    <col min="7" max="8" width="14.453125" customWidth="1"/>
    <col min="9" max="9" width="13.6328125" customWidth="1"/>
    <col min="10" max="10" width="14.6328125" customWidth="1"/>
    <col min="11" max="26" width="8.6328125" customWidth="1"/>
  </cols>
  <sheetData>
    <row r="1" spans="1:12" ht="15" customHeight="1" x14ac:dyDescent="0.35">
      <c r="A1" s="218" t="s">
        <v>119</v>
      </c>
      <c r="B1" s="217"/>
      <c r="C1" s="217"/>
      <c r="D1" s="217"/>
      <c r="E1" s="217"/>
      <c r="F1" s="217"/>
      <c r="G1" s="217"/>
      <c r="H1" s="217"/>
      <c r="I1" s="217"/>
      <c r="J1" s="217"/>
      <c r="K1" s="217"/>
      <c r="L1" s="217"/>
    </row>
    <row r="2" spans="1:12" ht="15" customHeight="1" x14ac:dyDescent="0.35">
      <c r="A2" s="217"/>
      <c r="B2" s="217"/>
      <c r="C2" s="217"/>
      <c r="D2" s="217"/>
      <c r="E2" s="217"/>
      <c r="F2" s="217"/>
      <c r="G2" s="217"/>
      <c r="H2" s="217"/>
      <c r="I2" s="217"/>
      <c r="J2" s="217"/>
      <c r="K2" s="217"/>
      <c r="L2" s="217"/>
    </row>
    <row r="3" spans="1:12" ht="15" customHeight="1" x14ac:dyDescent="0.35">
      <c r="A3" s="217"/>
      <c r="B3" s="217"/>
      <c r="C3" s="217"/>
      <c r="D3" s="217"/>
      <c r="E3" s="217"/>
      <c r="F3" s="217"/>
      <c r="G3" s="217"/>
      <c r="H3" s="217"/>
      <c r="I3" s="217"/>
      <c r="J3" s="217"/>
      <c r="K3" s="217"/>
      <c r="L3" s="217"/>
    </row>
    <row r="4" spans="1:12" ht="15" customHeight="1" x14ac:dyDescent="0.35">
      <c r="A4" s="217"/>
      <c r="B4" s="217"/>
      <c r="C4" s="217"/>
      <c r="D4" s="217"/>
      <c r="E4" s="217"/>
      <c r="F4" s="217"/>
      <c r="G4" s="217"/>
      <c r="H4" s="217"/>
      <c r="I4" s="217"/>
      <c r="J4" s="217"/>
      <c r="K4" s="217"/>
      <c r="L4" s="217"/>
    </row>
    <row r="5" spans="1:12" ht="15" customHeight="1" x14ac:dyDescent="0.35">
      <c r="A5" s="217"/>
      <c r="B5" s="217"/>
      <c r="C5" s="217"/>
      <c r="D5" s="217"/>
      <c r="E5" s="217"/>
      <c r="F5" s="217"/>
      <c r="G5" s="217"/>
      <c r="H5" s="217"/>
      <c r="I5" s="217"/>
      <c r="J5" s="217"/>
      <c r="K5" s="217"/>
      <c r="L5" s="217"/>
    </row>
    <row r="6" spans="1:12" ht="15" customHeight="1" x14ac:dyDescent="0.35">
      <c r="A6" s="18" t="s">
        <v>106</v>
      </c>
    </row>
    <row r="7" spans="1:12" ht="15" customHeight="1" x14ac:dyDescent="0.35">
      <c r="C7" s="25"/>
    </row>
    <row r="8" spans="1:12" ht="15" customHeight="1" x14ac:dyDescent="0.35">
      <c r="C8" s="25"/>
      <c r="F8" s="28" t="s">
        <v>113</v>
      </c>
      <c r="G8" s="28" t="s">
        <v>120</v>
      </c>
      <c r="H8" s="28" t="s">
        <v>114</v>
      </c>
      <c r="I8" s="28" t="s">
        <v>95</v>
      </c>
      <c r="J8" s="28" t="s">
        <v>116</v>
      </c>
    </row>
    <row r="9" spans="1:12" ht="15" customHeight="1" x14ac:dyDescent="0.35">
      <c r="F9" s="28">
        <v>0</v>
      </c>
      <c r="G9" s="60"/>
      <c r="H9" s="60"/>
      <c r="I9" s="60"/>
      <c r="J9" s="60">
        <f>C10</f>
        <v>190000</v>
      </c>
    </row>
    <row r="10" spans="1:12" ht="15" customHeight="1" x14ac:dyDescent="0.35">
      <c r="B10" s="3" t="s">
        <v>80</v>
      </c>
      <c r="C10" s="17">
        <v>190000</v>
      </c>
      <c r="F10" s="15">
        <v>1</v>
      </c>
      <c r="G10" s="54">
        <f t="shared" ref="G10:G141" si="0">H10+I10</f>
        <v>3268.1400000000003</v>
      </c>
      <c r="H10" s="54">
        <f t="shared" ref="H10:H141" si="1">ROUND(J9*$C$15,2)</f>
        <v>1828.75</v>
      </c>
      <c r="I10" s="54">
        <f t="shared" ref="I10:I140" si="2">$C$19</f>
        <v>1439.39</v>
      </c>
      <c r="J10" s="54">
        <f t="shared" ref="J10:J141" si="3">J9-I10</f>
        <v>188560.61</v>
      </c>
    </row>
    <row r="11" spans="1:12" ht="15" customHeight="1" x14ac:dyDescent="0.35">
      <c r="B11" s="3" t="s">
        <v>96</v>
      </c>
      <c r="C11" s="24">
        <v>33</v>
      </c>
      <c r="F11" s="15">
        <v>2</v>
      </c>
      <c r="G11" s="54">
        <f t="shared" si="0"/>
        <v>3254.29</v>
      </c>
      <c r="H11" s="54">
        <f t="shared" si="1"/>
        <v>1814.9</v>
      </c>
      <c r="I11" s="54">
        <f t="shared" si="2"/>
        <v>1439.39</v>
      </c>
      <c r="J11" s="54">
        <f t="shared" si="3"/>
        <v>187121.21999999997</v>
      </c>
    </row>
    <row r="12" spans="1:12" ht="15" customHeight="1" x14ac:dyDescent="0.35">
      <c r="B12" s="3" t="s">
        <v>98</v>
      </c>
      <c r="C12" s="21">
        <v>3.85E-2</v>
      </c>
      <c r="F12" s="15">
        <v>3</v>
      </c>
      <c r="G12" s="54">
        <f t="shared" si="0"/>
        <v>3240.4300000000003</v>
      </c>
      <c r="H12" s="54">
        <f t="shared" si="1"/>
        <v>1801.04</v>
      </c>
      <c r="I12" s="54">
        <f t="shared" si="2"/>
        <v>1439.39</v>
      </c>
      <c r="J12" s="54">
        <f t="shared" si="3"/>
        <v>185681.82999999996</v>
      </c>
    </row>
    <row r="13" spans="1:12" ht="15" customHeight="1" x14ac:dyDescent="0.35">
      <c r="B13" s="3" t="s">
        <v>97</v>
      </c>
      <c r="C13" s="24">
        <v>4</v>
      </c>
      <c r="F13" s="15">
        <v>4</v>
      </c>
      <c r="G13" s="54">
        <f t="shared" si="0"/>
        <v>3226.58</v>
      </c>
      <c r="H13" s="54">
        <f t="shared" si="1"/>
        <v>1787.19</v>
      </c>
      <c r="I13" s="54">
        <f t="shared" si="2"/>
        <v>1439.39</v>
      </c>
      <c r="J13" s="54">
        <f t="shared" si="3"/>
        <v>184242.43999999994</v>
      </c>
    </row>
    <row r="14" spans="1:12" ht="15" customHeight="1" x14ac:dyDescent="0.35">
      <c r="B14" s="3" t="s">
        <v>121</v>
      </c>
      <c r="F14" s="15">
        <v>5</v>
      </c>
      <c r="G14" s="54">
        <f t="shared" si="0"/>
        <v>3212.7200000000003</v>
      </c>
      <c r="H14" s="54">
        <f t="shared" si="1"/>
        <v>1773.33</v>
      </c>
      <c r="I14" s="54">
        <f t="shared" si="2"/>
        <v>1439.39</v>
      </c>
      <c r="J14" s="54">
        <f t="shared" si="3"/>
        <v>182803.04999999993</v>
      </c>
    </row>
    <row r="15" spans="1:12" ht="15" customHeight="1" x14ac:dyDescent="0.35">
      <c r="B15" s="3" t="s">
        <v>109</v>
      </c>
      <c r="C15" s="61">
        <f>C12/C13</f>
        <v>9.6249999999999999E-3</v>
      </c>
      <c r="D15" s="18" t="s">
        <v>108</v>
      </c>
      <c r="F15" s="15">
        <v>6</v>
      </c>
      <c r="G15" s="54">
        <f t="shared" si="0"/>
        <v>3198.87</v>
      </c>
      <c r="H15" s="54">
        <f t="shared" si="1"/>
        <v>1759.48</v>
      </c>
      <c r="I15" s="54">
        <f t="shared" si="2"/>
        <v>1439.39</v>
      </c>
      <c r="J15" s="54">
        <f t="shared" si="3"/>
        <v>181363.65999999992</v>
      </c>
    </row>
    <row r="16" spans="1:12" ht="15" customHeight="1" x14ac:dyDescent="0.35">
      <c r="B16" s="3" t="s">
        <v>107</v>
      </c>
      <c r="C16" s="24">
        <f>C11*C13</f>
        <v>132</v>
      </c>
      <c r="D16" s="18" t="s">
        <v>108</v>
      </c>
      <c r="F16" s="15">
        <v>7</v>
      </c>
      <c r="G16" s="54">
        <f t="shared" si="0"/>
        <v>3185.0200000000004</v>
      </c>
      <c r="H16" s="54">
        <f t="shared" si="1"/>
        <v>1745.63</v>
      </c>
      <c r="I16" s="54">
        <f t="shared" si="2"/>
        <v>1439.39</v>
      </c>
      <c r="J16" s="54">
        <f t="shared" si="3"/>
        <v>179924.2699999999</v>
      </c>
    </row>
    <row r="17" spans="2:10" ht="15" customHeight="1" x14ac:dyDescent="0.35">
      <c r="F17" s="15">
        <v>8</v>
      </c>
      <c r="G17" s="54">
        <f t="shared" si="0"/>
        <v>3171.16</v>
      </c>
      <c r="H17" s="54">
        <f t="shared" si="1"/>
        <v>1731.77</v>
      </c>
      <c r="I17" s="54">
        <f t="shared" si="2"/>
        <v>1439.39</v>
      </c>
      <c r="J17" s="54">
        <f t="shared" si="3"/>
        <v>178484.87999999989</v>
      </c>
    </row>
    <row r="18" spans="2:10" ht="15" customHeight="1" x14ac:dyDescent="0.35">
      <c r="C18" s="52"/>
      <c r="F18" s="15">
        <v>9</v>
      </c>
      <c r="G18" s="54">
        <f t="shared" si="0"/>
        <v>3157.3100000000004</v>
      </c>
      <c r="H18" s="54">
        <f t="shared" si="1"/>
        <v>1717.92</v>
      </c>
      <c r="I18" s="54">
        <f t="shared" si="2"/>
        <v>1439.39</v>
      </c>
      <c r="J18" s="54">
        <f t="shared" si="3"/>
        <v>177045.48999999987</v>
      </c>
    </row>
    <row r="19" spans="2:10" ht="15" customHeight="1" x14ac:dyDescent="0.35">
      <c r="B19" s="3" t="s">
        <v>95</v>
      </c>
      <c r="C19" s="17">
        <f>ROUND(C10/C16,2)</f>
        <v>1439.39</v>
      </c>
      <c r="D19" s="18" t="s">
        <v>122</v>
      </c>
      <c r="F19" s="15">
        <v>10</v>
      </c>
      <c r="G19" s="54">
        <f t="shared" si="0"/>
        <v>3143.45</v>
      </c>
      <c r="H19" s="54">
        <f t="shared" si="1"/>
        <v>1704.06</v>
      </c>
      <c r="I19" s="54">
        <f t="shared" si="2"/>
        <v>1439.39</v>
      </c>
      <c r="J19" s="54">
        <f t="shared" si="3"/>
        <v>175606.09999999986</v>
      </c>
    </row>
    <row r="20" spans="2:10" ht="15" customHeight="1" x14ac:dyDescent="0.35">
      <c r="F20" s="15">
        <v>11</v>
      </c>
      <c r="G20" s="54">
        <f t="shared" si="0"/>
        <v>3129.6000000000004</v>
      </c>
      <c r="H20" s="54">
        <f t="shared" si="1"/>
        <v>1690.21</v>
      </c>
      <c r="I20" s="54">
        <f t="shared" si="2"/>
        <v>1439.39</v>
      </c>
      <c r="J20" s="54">
        <f t="shared" si="3"/>
        <v>174166.70999999985</v>
      </c>
    </row>
    <row r="21" spans="2:10" ht="15" customHeight="1" x14ac:dyDescent="0.35">
      <c r="F21" s="15">
        <v>12</v>
      </c>
      <c r="G21" s="54">
        <f t="shared" si="0"/>
        <v>3115.74</v>
      </c>
      <c r="H21" s="54">
        <f t="shared" si="1"/>
        <v>1676.35</v>
      </c>
      <c r="I21" s="54">
        <f t="shared" si="2"/>
        <v>1439.39</v>
      </c>
      <c r="J21" s="54">
        <f t="shared" si="3"/>
        <v>172727.31999999983</v>
      </c>
    </row>
    <row r="22" spans="2:10" ht="15" customHeight="1" x14ac:dyDescent="0.35">
      <c r="F22" s="15">
        <v>13</v>
      </c>
      <c r="G22" s="54">
        <f t="shared" si="0"/>
        <v>3101.8900000000003</v>
      </c>
      <c r="H22" s="54">
        <f t="shared" si="1"/>
        <v>1662.5</v>
      </c>
      <c r="I22" s="54">
        <f t="shared" si="2"/>
        <v>1439.39</v>
      </c>
      <c r="J22" s="54">
        <f t="shared" si="3"/>
        <v>171287.92999999982</v>
      </c>
    </row>
    <row r="23" spans="2:10" ht="15" customHeight="1" x14ac:dyDescent="0.35">
      <c r="F23" s="15">
        <v>14</v>
      </c>
      <c r="G23" s="54">
        <f t="shared" si="0"/>
        <v>3088.04</v>
      </c>
      <c r="H23" s="54">
        <f t="shared" si="1"/>
        <v>1648.65</v>
      </c>
      <c r="I23" s="54">
        <f t="shared" si="2"/>
        <v>1439.39</v>
      </c>
      <c r="J23" s="54">
        <f t="shared" si="3"/>
        <v>169848.5399999998</v>
      </c>
    </row>
    <row r="24" spans="2:10" ht="15" customHeight="1" x14ac:dyDescent="0.35">
      <c r="F24" s="15">
        <v>15</v>
      </c>
      <c r="G24" s="54">
        <f t="shared" si="0"/>
        <v>3074.1800000000003</v>
      </c>
      <c r="H24" s="54">
        <f t="shared" si="1"/>
        <v>1634.79</v>
      </c>
      <c r="I24" s="54">
        <f t="shared" si="2"/>
        <v>1439.39</v>
      </c>
      <c r="J24" s="54">
        <f t="shared" si="3"/>
        <v>168409.14999999979</v>
      </c>
    </row>
    <row r="25" spans="2:10" ht="15" customHeight="1" x14ac:dyDescent="0.35">
      <c r="F25" s="15">
        <v>16</v>
      </c>
      <c r="G25" s="54">
        <f t="shared" si="0"/>
        <v>3060.33</v>
      </c>
      <c r="H25" s="54">
        <f t="shared" si="1"/>
        <v>1620.94</v>
      </c>
      <c r="I25" s="54">
        <f t="shared" si="2"/>
        <v>1439.39</v>
      </c>
      <c r="J25" s="54">
        <f t="shared" si="3"/>
        <v>166969.75999999978</v>
      </c>
    </row>
    <row r="26" spans="2:10" ht="15" customHeight="1" x14ac:dyDescent="0.35">
      <c r="F26" s="15">
        <v>17</v>
      </c>
      <c r="G26" s="54">
        <f t="shared" si="0"/>
        <v>3046.4700000000003</v>
      </c>
      <c r="H26" s="54">
        <f t="shared" si="1"/>
        <v>1607.08</v>
      </c>
      <c r="I26" s="54">
        <f t="shared" si="2"/>
        <v>1439.39</v>
      </c>
      <c r="J26" s="54">
        <f t="shared" si="3"/>
        <v>165530.36999999976</v>
      </c>
    </row>
    <row r="27" spans="2:10" ht="15" customHeight="1" x14ac:dyDescent="0.35">
      <c r="F27" s="15">
        <v>18</v>
      </c>
      <c r="G27" s="54">
        <f t="shared" si="0"/>
        <v>3032.62</v>
      </c>
      <c r="H27" s="54">
        <f t="shared" si="1"/>
        <v>1593.23</v>
      </c>
      <c r="I27" s="54">
        <f t="shared" si="2"/>
        <v>1439.39</v>
      </c>
      <c r="J27" s="54">
        <f t="shared" si="3"/>
        <v>164090.97999999975</v>
      </c>
    </row>
    <row r="28" spans="2:10" ht="15" customHeight="1" x14ac:dyDescent="0.35">
      <c r="F28" s="15">
        <v>19</v>
      </c>
      <c r="G28" s="54">
        <f t="shared" si="0"/>
        <v>3018.7700000000004</v>
      </c>
      <c r="H28" s="54">
        <f t="shared" si="1"/>
        <v>1579.38</v>
      </c>
      <c r="I28" s="54">
        <f t="shared" si="2"/>
        <v>1439.39</v>
      </c>
      <c r="J28" s="54">
        <f t="shared" si="3"/>
        <v>162651.58999999973</v>
      </c>
    </row>
    <row r="29" spans="2:10" ht="15" customHeight="1" x14ac:dyDescent="0.35">
      <c r="F29" s="15">
        <v>20</v>
      </c>
      <c r="G29" s="54">
        <f t="shared" si="0"/>
        <v>3004.91</v>
      </c>
      <c r="H29" s="54">
        <f t="shared" si="1"/>
        <v>1565.52</v>
      </c>
      <c r="I29" s="54">
        <f t="shared" si="2"/>
        <v>1439.39</v>
      </c>
      <c r="J29" s="54">
        <f t="shared" si="3"/>
        <v>161212.19999999972</v>
      </c>
    </row>
    <row r="30" spans="2:10" ht="15" customHeight="1" x14ac:dyDescent="0.35">
      <c r="F30" s="15">
        <v>21</v>
      </c>
      <c r="G30" s="54">
        <f t="shared" si="0"/>
        <v>2991.0600000000004</v>
      </c>
      <c r="H30" s="54">
        <f t="shared" si="1"/>
        <v>1551.67</v>
      </c>
      <c r="I30" s="54">
        <f t="shared" si="2"/>
        <v>1439.39</v>
      </c>
      <c r="J30" s="54">
        <f t="shared" si="3"/>
        <v>159772.80999999971</v>
      </c>
    </row>
    <row r="31" spans="2:10" ht="15" customHeight="1" x14ac:dyDescent="0.35">
      <c r="F31" s="15">
        <v>22</v>
      </c>
      <c r="G31" s="54">
        <f t="shared" si="0"/>
        <v>2977.2</v>
      </c>
      <c r="H31" s="54">
        <f t="shared" si="1"/>
        <v>1537.81</v>
      </c>
      <c r="I31" s="54">
        <f t="shared" si="2"/>
        <v>1439.39</v>
      </c>
      <c r="J31" s="54">
        <f t="shared" si="3"/>
        <v>158333.41999999969</v>
      </c>
    </row>
    <row r="32" spans="2:10" ht="15" customHeight="1" x14ac:dyDescent="0.35">
      <c r="F32" s="15">
        <v>23</v>
      </c>
      <c r="G32" s="54">
        <f t="shared" si="0"/>
        <v>2963.3500000000004</v>
      </c>
      <c r="H32" s="54">
        <f t="shared" si="1"/>
        <v>1523.96</v>
      </c>
      <c r="I32" s="54">
        <f t="shared" si="2"/>
        <v>1439.39</v>
      </c>
      <c r="J32" s="54">
        <f t="shared" si="3"/>
        <v>156894.02999999968</v>
      </c>
    </row>
    <row r="33" spans="6:10" ht="15" customHeight="1" x14ac:dyDescent="0.35">
      <c r="F33" s="15">
        <v>24</v>
      </c>
      <c r="G33" s="54">
        <f t="shared" si="0"/>
        <v>2949.5</v>
      </c>
      <c r="H33" s="54">
        <f t="shared" si="1"/>
        <v>1510.11</v>
      </c>
      <c r="I33" s="54">
        <f t="shared" si="2"/>
        <v>1439.39</v>
      </c>
      <c r="J33" s="54">
        <f t="shared" si="3"/>
        <v>155454.63999999966</v>
      </c>
    </row>
    <row r="34" spans="6:10" ht="15" customHeight="1" x14ac:dyDescent="0.35">
      <c r="F34" s="15">
        <v>25</v>
      </c>
      <c r="G34" s="54">
        <f t="shared" si="0"/>
        <v>2935.6400000000003</v>
      </c>
      <c r="H34" s="54">
        <f t="shared" si="1"/>
        <v>1496.25</v>
      </c>
      <c r="I34" s="54">
        <f t="shared" si="2"/>
        <v>1439.39</v>
      </c>
      <c r="J34" s="54">
        <f t="shared" si="3"/>
        <v>154015.24999999965</v>
      </c>
    </row>
    <row r="35" spans="6:10" ht="15" customHeight="1" x14ac:dyDescent="0.35">
      <c r="F35" s="15">
        <v>26</v>
      </c>
      <c r="G35" s="54">
        <f t="shared" si="0"/>
        <v>2921.79</v>
      </c>
      <c r="H35" s="54">
        <f t="shared" si="1"/>
        <v>1482.4</v>
      </c>
      <c r="I35" s="54">
        <f t="shared" si="2"/>
        <v>1439.39</v>
      </c>
      <c r="J35" s="54">
        <f t="shared" si="3"/>
        <v>152575.85999999964</v>
      </c>
    </row>
    <row r="36" spans="6:10" ht="15" customHeight="1" x14ac:dyDescent="0.35">
      <c r="F36" s="15">
        <v>27</v>
      </c>
      <c r="G36" s="54">
        <f t="shared" si="0"/>
        <v>2907.9300000000003</v>
      </c>
      <c r="H36" s="54">
        <f t="shared" si="1"/>
        <v>1468.54</v>
      </c>
      <c r="I36" s="54">
        <f t="shared" si="2"/>
        <v>1439.39</v>
      </c>
      <c r="J36" s="54">
        <f t="shared" si="3"/>
        <v>151136.46999999962</v>
      </c>
    </row>
    <row r="37" spans="6:10" ht="15" customHeight="1" x14ac:dyDescent="0.35">
      <c r="F37" s="15">
        <v>28</v>
      </c>
      <c r="G37" s="54">
        <f t="shared" si="0"/>
        <v>2894.08</v>
      </c>
      <c r="H37" s="54">
        <f t="shared" si="1"/>
        <v>1454.69</v>
      </c>
      <c r="I37" s="54">
        <f t="shared" si="2"/>
        <v>1439.39</v>
      </c>
      <c r="J37" s="54">
        <f t="shared" si="3"/>
        <v>149697.07999999961</v>
      </c>
    </row>
    <row r="38" spans="6:10" ht="15" customHeight="1" x14ac:dyDescent="0.35">
      <c r="F38" s="15">
        <v>29</v>
      </c>
      <c r="G38" s="54">
        <f t="shared" si="0"/>
        <v>2880.2200000000003</v>
      </c>
      <c r="H38" s="54">
        <f t="shared" si="1"/>
        <v>1440.83</v>
      </c>
      <c r="I38" s="54">
        <f t="shared" si="2"/>
        <v>1439.39</v>
      </c>
      <c r="J38" s="54">
        <f t="shared" si="3"/>
        <v>148257.68999999959</v>
      </c>
    </row>
    <row r="39" spans="6:10" ht="15" customHeight="1" x14ac:dyDescent="0.35">
      <c r="F39" s="15">
        <v>30</v>
      </c>
      <c r="G39" s="54">
        <f t="shared" si="0"/>
        <v>2866.37</v>
      </c>
      <c r="H39" s="54">
        <f t="shared" si="1"/>
        <v>1426.98</v>
      </c>
      <c r="I39" s="54">
        <f t="shared" si="2"/>
        <v>1439.39</v>
      </c>
      <c r="J39" s="54">
        <f t="shared" si="3"/>
        <v>146818.29999999958</v>
      </c>
    </row>
    <row r="40" spans="6:10" ht="15" customHeight="1" x14ac:dyDescent="0.35">
      <c r="F40" s="15">
        <v>31</v>
      </c>
      <c r="G40" s="54">
        <f t="shared" si="0"/>
        <v>2852.5200000000004</v>
      </c>
      <c r="H40" s="54">
        <f t="shared" si="1"/>
        <v>1413.13</v>
      </c>
      <c r="I40" s="54">
        <f t="shared" si="2"/>
        <v>1439.39</v>
      </c>
      <c r="J40" s="54">
        <f t="shared" si="3"/>
        <v>145378.90999999957</v>
      </c>
    </row>
    <row r="41" spans="6:10" ht="15" customHeight="1" x14ac:dyDescent="0.35">
      <c r="F41" s="15">
        <v>32</v>
      </c>
      <c r="G41" s="54">
        <f t="shared" si="0"/>
        <v>2838.66</v>
      </c>
      <c r="H41" s="54">
        <f t="shared" si="1"/>
        <v>1399.27</v>
      </c>
      <c r="I41" s="54">
        <f t="shared" si="2"/>
        <v>1439.39</v>
      </c>
      <c r="J41" s="54">
        <f t="shared" si="3"/>
        <v>143939.51999999955</v>
      </c>
    </row>
    <row r="42" spans="6:10" ht="15" customHeight="1" x14ac:dyDescent="0.35">
      <c r="F42" s="15">
        <v>33</v>
      </c>
      <c r="G42" s="54">
        <f t="shared" si="0"/>
        <v>2824.8100000000004</v>
      </c>
      <c r="H42" s="54">
        <f t="shared" si="1"/>
        <v>1385.42</v>
      </c>
      <c r="I42" s="54">
        <f t="shared" si="2"/>
        <v>1439.39</v>
      </c>
      <c r="J42" s="54">
        <f t="shared" si="3"/>
        <v>142500.12999999954</v>
      </c>
    </row>
    <row r="43" spans="6:10" ht="15" customHeight="1" x14ac:dyDescent="0.35">
      <c r="F43" s="15">
        <v>34</v>
      </c>
      <c r="G43" s="54">
        <f t="shared" si="0"/>
        <v>2810.95</v>
      </c>
      <c r="H43" s="54">
        <f t="shared" si="1"/>
        <v>1371.56</v>
      </c>
      <c r="I43" s="54">
        <f t="shared" si="2"/>
        <v>1439.39</v>
      </c>
      <c r="J43" s="54">
        <f t="shared" si="3"/>
        <v>141060.73999999953</v>
      </c>
    </row>
    <row r="44" spans="6:10" ht="15" customHeight="1" x14ac:dyDescent="0.35">
      <c r="F44" s="15">
        <v>35</v>
      </c>
      <c r="G44" s="54">
        <f t="shared" si="0"/>
        <v>2797.1000000000004</v>
      </c>
      <c r="H44" s="54">
        <f t="shared" si="1"/>
        <v>1357.71</v>
      </c>
      <c r="I44" s="54">
        <f t="shared" si="2"/>
        <v>1439.39</v>
      </c>
      <c r="J44" s="54">
        <f t="shared" si="3"/>
        <v>139621.34999999951</v>
      </c>
    </row>
    <row r="45" spans="6:10" ht="15" customHeight="1" x14ac:dyDescent="0.35">
      <c r="F45" s="15">
        <v>36</v>
      </c>
      <c r="G45" s="54">
        <f t="shared" si="0"/>
        <v>2783.25</v>
      </c>
      <c r="H45" s="54">
        <f t="shared" si="1"/>
        <v>1343.86</v>
      </c>
      <c r="I45" s="54">
        <f t="shared" si="2"/>
        <v>1439.39</v>
      </c>
      <c r="J45" s="54">
        <f t="shared" si="3"/>
        <v>138181.9599999995</v>
      </c>
    </row>
    <row r="46" spans="6:10" ht="15" customHeight="1" x14ac:dyDescent="0.35">
      <c r="F46" s="15">
        <v>37</v>
      </c>
      <c r="G46" s="54">
        <f t="shared" si="0"/>
        <v>2769.3900000000003</v>
      </c>
      <c r="H46" s="54">
        <f t="shared" si="1"/>
        <v>1330</v>
      </c>
      <c r="I46" s="54">
        <f t="shared" si="2"/>
        <v>1439.39</v>
      </c>
      <c r="J46" s="54">
        <f t="shared" si="3"/>
        <v>136742.56999999948</v>
      </c>
    </row>
    <row r="47" spans="6:10" ht="15" customHeight="1" x14ac:dyDescent="0.35">
      <c r="F47" s="15">
        <v>38</v>
      </c>
      <c r="G47" s="54">
        <f t="shared" si="0"/>
        <v>2755.54</v>
      </c>
      <c r="H47" s="54">
        <f t="shared" si="1"/>
        <v>1316.15</v>
      </c>
      <c r="I47" s="54">
        <f t="shared" si="2"/>
        <v>1439.39</v>
      </c>
      <c r="J47" s="54">
        <f t="shared" si="3"/>
        <v>135303.17999999947</v>
      </c>
    </row>
    <row r="48" spans="6:10" ht="15" customHeight="1" x14ac:dyDescent="0.35">
      <c r="F48" s="15">
        <v>39</v>
      </c>
      <c r="G48" s="54">
        <f t="shared" si="0"/>
        <v>2741.6800000000003</v>
      </c>
      <c r="H48" s="54">
        <f t="shared" si="1"/>
        <v>1302.29</v>
      </c>
      <c r="I48" s="54">
        <f t="shared" si="2"/>
        <v>1439.39</v>
      </c>
      <c r="J48" s="54">
        <f t="shared" si="3"/>
        <v>133863.78999999946</v>
      </c>
    </row>
    <row r="49" spans="6:10" ht="15" customHeight="1" x14ac:dyDescent="0.35">
      <c r="F49" s="15">
        <v>40</v>
      </c>
      <c r="G49" s="54">
        <f t="shared" si="0"/>
        <v>2727.83</v>
      </c>
      <c r="H49" s="54">
        <f t="shared" si="1"/>
        <v>1288.44</v>
      </c>
      <c r="I49" s="54">
        <f t="shared" si="2"/>
        <v>1439.39</v>
      </c>
      <c r="J49" s="54">
        <f t="shared" si="3"/>
        <v>132424.39999999944</v>
      </c>
    </row>
    <row r="50" spans="6:10" ht="15" customHeight="1" x14ac:dyDescent="0.35">
      <c r="F50" s="15">
        <v>41</v>
      </c>
      <c r="G50" s="54">
        <f t="shared" si="0"/>
        <v>2713.9700000000003</v>
      </c>
      <c r="H50" s="54">
        <f t="shared" si="1"/>
        <v>1274.58</v>
      </c>
      <c r="I50" s="54">
        <f t="shared" si="2"/>
        <v>1439.39</v>
      </c>
      <c r="J50" s="54">
        <f t="shared" si="3"/>
        <v>130985.00999999944</v>
      </c>
    </row>
    <row r="51" spans="6:10" ht="15" customHeight="1" x14ac:dyDescent="0.35">
      <c r="F51" s="15">
        <v>42</v>
      </c>
      <c r="G51" s="54">
        <f t="shared" si="0"/>
        <v>2700.12</v>
      </c>
      <c r="H51" s="54">
        <f t="shared" si="1"/>
        <v>1260.73</v>
      </c>
      <c r="I51" s="54">
        <f t="shared" si="2"/>
        <v>1439.39</v>
      </c>
      <c r="J51" s="54">
        <f t="shared" si="3"/>
        <v>129545.61999999944</v>
      </c>
    </row>
    <row r="52" spans="6:10" ht="15" customHeight="1" x14ac:dyDescent="0.35">
      <c r="F52" s="15">
        <v>43</v>
      </c>
      <c r="G52" s="54">
        <f t="shared" si="0"/>
        <v>2686.2700000000004</v>
      </c>
      <c r="H52" s="54">
        <f t="shared" si="1"/>
        <v>1246.8800000000001</v>
      </c>
      <c r="I52" s="54">
        <f t="shared" si="2"/>
        <v>1439.39</v>
      </c>
      <c r="J52" s="54">
        <f t="shared" si="3"/>
        <v>128106.22999999944</v>
      </c>
    </row>
    <row r="53" spans="6:10" ht="15" customHeight="1" x14ac:dyDescent="0.35">
      <c r="F53" s="15">
        <v>44</v>
      </c>
      <c r="G53" s="54">
        <f t="shared" si="0"/>
        <v>2672.41</v>
      </c>
      <c r="H53" s="54">
        <f t="shared" si="1"/>
        <v>1233.02</v>
      </c>
      <c r="I53" s="54">
        <f t="shared" si="2"/>
        <v>1439.39</v>
      </c>
      <c r="J53" s="54">
        <f t="shared" si="3"/>
        <v>126666.83999999944</v>
      </c>
    </row>
    <row r="54" spans="6:10" ht="15" customHeight="1" x14ac:dyDescent="0.35">
      <c r="F54" s="15">
        <v>45</v>
      </c>
      <c r="G54" s="54">
        <f t="shared" si="0"/>
        <v>2658.5600000000004</v>
      </c>
      <c r="H54" s="54">
        <f t="shared" si="1"/>
        <v>1219.17</v>
      </c>
      <c r="I54" s="54">
        <f t="shared" si="2"/>
        <v>1439.39</v>
      </c>
      <c r="J54" s="54">
        <f t="shared" si="3"/>
        <v>125227.44999999944</v>
      </c>
    </row>
    <row r="55" spans="6:10" ht="15" customHeight="1" x14ac:dyDescent="0.35">
      <c r="F55" s="15">
        <v>46</v>
      </c>
      <c r="G55" s="54">
        <f t="shared" si="0"/>
        <v>2644.7</v>
      </c>
      <c r="H55" s="54">
        <f t="shared" si="1"/>
        <v>1205.31</v>
      </c>
      <c r="I55" s="54">
        <f t="shared" si="2"/>
        <v>1439.39</v>
      </c>
      <c r="J55" s="54">
        <f t="shared" si="3"/>
        <v>123788.05999999944</v>
      </c>
    </row>
    <row r="56" spans="6:10" ht="15" customHeight="1" x14ac:dyDescent="0.35">
      <c r="F56" s="15">
        <v>47</v>
      </c>
      <c r="G56" s="54">
        <f t="shared" si="0"/>
        <v>2630.8500000000004</v>
      </c>
      <c r="H56" s="54">
        <f t="shared" si="1"/>
        <v>1191.46</v>
      </c>
      <c r="I56" s="54">
        <f t="shared" si="2"/>
        <v>1439.39</v>
      </c>
      <c r="J56" s="54">
        <f t="shared" si="3"/>
        <v>122348.66999999945</v>
      </c>
    </row>
    <row r="57" spans="6:10" ht="15" customHeight="1" x14ac:dyDescent="0.35">
      <c r="F57" s="15">
        <v>48</v>
      </c>
      <c r="G57" s="54">
        <f t="shared" si="0"/>
        <v>2617</v>
      </c>
      <c r="H57" s="54">
        <f t="shared" si="1"/>
        <v>1177.6099999999999</v>
      </c>
      <c r="I57" s="54">
        <f t="shared" si="2"/>
        <v>1439.39</v>
      </c>
      <c r="J57" s="54">
        <f t="shared" si="3"/>
        <v>120909.27999999945</v>
      </c>
    </row>
    <row r="58" spans="6:10" ht="15" customHeight="1" x14ac:dyDescent="0.35">
      <c r="F58" s="15">
        <v>49</v>
      </c>
      <c r="G58" s="54">
        <f t="shared" si="0"/>
        <v>2603.1400000000003</v>
      </c>
      <c r="H58" s="54">
        <f t="shared" si="1"/>
        <v>1163.75</v>
      </c>
      <c r="I58" s="54">
        <f t="shared" si="2"/>
        <v>1439.39</v>
      </c>
      <c r="J58" s="54">
        <f t="shared" si="3"/>
        <v>119469.88999999945</v>
      </c>
    </row>
    <row r="59" spans="6:10" ht="15" customHeight="1" x14ac:dyDescent="0.35">
      <c r="F59" s="15">
        <v>50</v>
      </c>
      <c r="G59" s="54">
        <f t="shared" si="0"/>
        <v>2589.29</v>
      </c>
      <c r="H59" s="54">
        <f t="shared" si="1"/>
        <v>1149.9000000000001</v>
      </c>
      <c r="I59" s="54">
        <f t="shared" si="2"/>
        <v>1439.39</v>
      </c>
      <c r="J59" s="54">
        <f t="shared" si="3"/>
        <v>118030.49999999945</v>
      </c>
    </row>
    <row r="60" spans="6:10" ht="15" customHeight="1" x14ac:dyDescent="0.35">
      <c r="F60" s="15">
        <v>51</v>
      </c>
      <c r="G60" s="54">
        <f t="shared" si="0"/>
        <v>2575.4300000000003</v>
      </c>
      <c r="H60" s="54">
        <f t="shared" si="1"/>
        <v>1136.04</v>
      </c>
      <c r="I60" s="54">
        <f t="shared" si="2"/>
        <v>1439.39</v>
      </c>
      <c r="J60" s="54">
        <f t="shared" si="3"/>
        <v>116591.10999999945</v>
      </c>
    </row>
    <row r="61" spans="6:10" ht="15" customHeight="1" x14ac:dyDescent="0.35">
      <c r="F61" s="15">
        <v>52</v>
      </c>
      <c r="G61" s="54">
        <f t="shared" si="0"/>
        <v>2561.58</v>
      </c>
      <c r="H61" s="54">
        <f t="shared" si="1"/>
        <v>1122.19</v>
      </c>
      <c r="I61" s="54">
        <f t="shared" si="2"/>
        <v>1439.39</v>
      </c>
      <c r="J61" s="54">
        <f t="shared" si="3"/>
        <v>115151.71999999945</v>
      </c>
    </row>
    <row r="62" spans="6:10" ht="15" customHeight="1" x14ac:dyDescent="0.35">
      <c r="F62" s="15">
        <v>53</v>
      </c>
      <c r="G62" s="54">
        <f t="shared" si="0"/>
        <v>2547.73</v>
      </c>
      <c r="H62" s="54">
        <f t="shared" si="1"/>
        <v>1108.3399999999999</v>
      </c>
      <c r="I62" s="54">
        <f t="shared" si="2"/>
        <v>1439.39</v>
      </c>
      <c r="J62" s="54">
        <f t="shared" si="3"/>
        <v>113712.32999999945</v>
      </c>
    </row>
    <row r="63" spans="6:10" ht="15" customHeight="1" x14ac:dyDescent="0.35">
      <c r="F63" s="15">
        <v>54</v>
      </c>
      <c r="G63" s="54">
        <f t="shared" si="0"/>
        <v>2533.87</v>
      </c>
      <c r="H63" s="54">
        <f t="shared" si="1"/>
        <v>1094.48</v>
      </c>
      <c r="I63" s="54">
        <f t="shared" si="2"/>
        <v>1439.39</v>
      </c>
      <c r="J63" s="54">
        <f t="shared" si="3"/>
        <v>112272.93999999945</v>
      </c>
    </row>
    <row r="64" spans="6:10" ht="15" customHeight="1" x14ac:dyDescent="0.35">
      <c r="F64" s="15">
        <v>55</v>
      </c>
      <c r="G64" s="54">
        <f t="shared" si="0"/>
        <v>2520.0200000000004</v>
      </c>
      <c r="H64" s="54">
        <f t="shared" si="1"/>
        <v>1080.6300000000001</v>
      </c>
      <c r="I64" s="54">
        <f t="shared" si="2"/>
        <v>1439.39</v>
      </c>
      <c r="J64" s="54">
        <f t="shared" si="3"/>
        <v>110833.54999999945</v>
      </c>
    </row>
    <row r="65" spans="6:10" ht="15" customHeight="1" x14ac:dyDescent="0.35">
      <c r="F65" s="15">
        <v>56</v>
      </c>
      <c r="G65" s="54">
        <f t="shared" si="0"/>
        <v>2506.16</v>
      </c>
      <c r="H65" s="54">
        <f t="shared" si="1"/>
        <v>1066.77</v>
      </c>
      <c r="I65" s="54">
        <f t="shared" si="2"/>
        <v>1439.39</v>
      </c>
      <c r="J65" s="54">
        <f t="shared" si="3"/>
        <v>109394.15999999945</v>
      </c>
    </row>
    <row r="66" spans="6:10" ht="15" customHeight="1" x14ac:dyDescent="0.35">
      <c r="F66" s="15">
        <v>57</v>
      </c>
      <c r="G66" s="54">
        <f t="shared" si="0"/>
        <v>2492.3100000000004</v>
      </c>
      <c r="H66" s="54">
        <f t="shared" si="1"/>
        <v>1052.92</v>
      </c>
      <c r="I66" s="54">
        <f t="shared" si="2"/>
        <v>1439.39</v>
      </c>
      <c r="J66" s="54">
        <f t="shared" si="3"/>
        <v>107954.76999999945</v>
      </c>
    </row>
    <row r="67" spans="6:10" ht="15" customHeight="1" x14ac:dyDescent="0.35">
      <c r="F67" s="15">
        <v>58</v>
      </c>
      <c r="G67" s="54">
        <f t="shared" si="0"/>
        <v>2478.4499999999998</v>
      </c>
      <c r="H67" s="54">
        <f t="shared" si="1"/>
        <v>1039.06</v>
      </c>
      <c r="I67" s="54">
        <f t="shared" si="2"/>
        <v>1439.39</v>
      </c>
      <c r="J67" s="54">
        <f t="shared" si="3"/>
        <v>106515.37999999945</v>
      </c>
    </row>
    <row r="68" spans="6:10" ht="15" customHeight="1" x14ac:dyDescent="0.35">
      <c r="F68" s="15">
        <v>59</v>
      </c>
      <c r="G68" s="54">
        <f t="shared" si="0"/>
        <v>2464.6000000000004</v>
      </c>
      <c r="H68" s="54">
        <f t="shared" si="1"/>
        <v>1025.21</v>
      </c>
      <c r="I68" s="54">
        <f t="shared" si="2"/>
        <v>1439.39</v>
      </c>
      <c r="J68" s="54">
        <f t="shared" si="3"/>
        <v>105075.98999999945</v>
      </c>
    </row>
    <row r="69" spans="6:10" ht="15" customHeight="1" x14ac:dyDescent="0.35">
      <c r="F69" s="15">
        <v>60</v>
      </c>
      <c r="G69" s="54">
        <f t="shared" si="0"/>
        <v>2450.75</v>
      </c>
      <c r="H69" s="54">
        <f t="shared" si="1"/>
        <v>1011.36</v>
      </c>
      <c r="I69" s="54">
        <f t="shared" si="2"/>
        <v>1439.39</v>
      </c>
      <c r="J69" s="54">
        <f t="shared" si="3"/>
        <v>103636.59999999945</v>
      </c>
    </row>
    <row r="70" spans="6:10" ht="15" customHeight="1" x14ac:dyDescent="0.35">
      <c r="F70" s="15">
        <v>61</v>
      </c>
      <c r="G70" s="54">
        <f t="shared" si="0"/>
        <v>2436.8900000000003</v>
      </c>
      <c r="H70" s="54">
        <f t="shared" si="1"/>
        <v>997.5</v>
      </c>
      <c r="I70" s="54">
        <f t="shared" si="2"/>
        <v>1439.39</v>
      </c>
      <c r="J70" s="54">
        <f t="shared" si="3"/>
        <v>102197.20999999945</v>
      </c>
    </row>
    <row r="71" spans="6:10" ht="15" customHeight="1" x14ac:dyDescent="0.35">
      <c r="F71" s="15">
        <v>62</v>
      </c>
      <c r="G71" s="54">
        <f t="shared" si="0"/>
        <v>2423.04</v>
      </c>
      <c r="H71" s="54">
        <f t="shared" si="1"/>
        <v>983.65</v>
      </c>
      <c r="I71" s="54">
        <f t="shared" si="2"/>
        <v>1439.39</v>
      </c>
      <c r="J71" s="54">
        <f t="shared" si="3"/>
        <v>100757.81999999945</v>
      </c>
    </row>
    <row r="72" spans="6:10" ht="15" customHeight="1" x14ac:dyDescent="0.35">
      <c r="F72" s="15">
        <v>63</v>
      </c>
      <c r="G72" s="54">
        <f t="shared" si="0"/>
        <v>2409.1800000000003</v>
      </c>
      <c r="H72" s="54">
        <f t="shared" si="1"/>
        <v>969.79</v>
      </c>
      <c r="I72" s="54">
        <f t="shared" si="2"/>
        <v>1439.39</v>
      </c>
      <c r="J72" s="54">
        <f t="shared" si="3"/>
        <v>99318.429999999455</v>
      </c>
    </row>
    <row r="73" spans="6:10" ht="15" customHeight="1" x14ac:dyDescent="0.35">
      <c r="F73" s="15">
        <v>64</v>
      </c>
      <c r="G73" s="54">
        <f t="shared" si="0"/>
        <v>2395.33</v>
      </c>
      <c r="H73" s="54">
        <f t="shared" si="1"/>
        <v>955.94</v>
      </c>
      <c r="I73" s="54">
        <f t="shared" si="2"/>
        <v>1439.39</v>
      </c>
      <c r="J73" s="54">
        <f t="shared" si="3"/>
        <v>97879.039999999455</v>
      </c>
    </row>
    <row r="74" spans="6:10" ht="15" customHeight="1" x14ac:dyDescent="0.35">
      <c r="F74" s="15">
        <v>65</v>
      </c>
      <c r="G74" s="54">
        <f t="shared" si="0"/>
        <v>2381.48</v>
      </c>
      <c r="H74" s="54">
        <f t="shared" si="1"/>
        <v>942.09</v>
      </c>
      <c r="I74" s="54">
        <f t="shared" si="2"/>
        <v>1439.39</v>
      </c>
      <c r="J74" s="54">
        <f t="shared" si="3"/>
        <v>96439.649999999456</v>
      </c>
    </row>
    <row r="75" spans="6:10" ht="15" customHeight="1" x14ac:dyDescent="0.35">
      <c r="F75" s="15">
        <v>66</v>
      </c>
      <c r="G75" s="54">
        <f t="shared" si="0"/>
        <v>2367.62</v>
      </c>
      <c r="H75" s="54">
        <f t="shared" si="1"/>
        <v>928.23</v>
      </c>
      <c r="I75" s="54">
        <f t="shared" si="2"/>
        <v>1439.39</v>
      </c>
      <c r="J75" s="54">
        <f t="shared" si="3"/>
        <v>95000.259999999456</v>
      </c>
    </row>
    <row r="76" spans="6:10" ht="15" customHeight="1" x14ac:dyDescent="0.35">
      <c r="F76" s="15">
        <v>67</v>
      </c>
      <c r="G76" s="54">
        <f t="shared" si="0"/>
        <v>2353.77</v>
      </c>
      <c r="H76" s="54">
        <f t="shared" si="1"/>
        <v>914.38</v>
      </c>
      <c r="I76" s="54">
        <f t="shared" si="2"/>
        <v>1439.39</v>
      </c>
      <c r="J76" s="54">
        <f t="shared" si="3"/>
        <v>93560.869999999457</v>
      </c>
    </row>
    <row r="77" spans="6:10" ht="15" customHeight="1" x14ac:dyDescent="0.35">
      <c r="F77" s="15">
        <v>68</v>
      </c>
      <c r="G77" s="54">
        <f t="shared" si="0"/>
        <v>2339.91</v>
      </c>
      <c r="H77" s="54">
        <f t="shared" si="1"/>
        <v>900.52</v>
      </c>
      <c r="I77" s="54">
        <f t="shared" si="2"/>
        <v>1439.39</v>
      </c>
      <c r="J77" s="54">
        <f t="shared" si="3"/>
        <v>92121.479999999458</v>
      </c>
    </row>
    <row r="78" spans="6:10" ht="15" customHeight="1" x14ac:dyDescent="0.35">
      <c r="F78" s="15">
        <v>69</v>
      </c>
      <c r="G78" s="54">
        <f t="shared" si="0"/>
        <v>2326.06</v>
      </c>
      <c r="H78" s="54">
        <f t="shared" si="1"/>
        <v>886.67</v>
      </c>
      <c r="I78" s="54">
        <f t="shared" si="2"/>
        <v>1439.39</v>
      </c>
      <c r="J78" s="54">
        <f t="shared" si="3"/>
        <v>90682.089999999458</v>
      </c>
    </row>
    <row r="79" spans="6:10" ht="15" customHeight="1" x14ac:dyDescent="0.35">
      <c r="F79" s="15">
        <v>70</v>
      </c>
      <c r="G79" s="54">
        <f t="shared" si="0"/>
        <v>2312.21</v>
      </c>
      <c r="H79" s="54">
        <f t="shared" si="1"/>
        <v>872.82</v>
      </c>
      <c r="I79" s="54">
        <f t="shared" si="2"/>
        <v>1439.39</v>
      </c>
      <c r="J79" s="54">
        <f t="shared" si="3"/>
        <v>89242.699999999459</v>
      </c>
    </row>
    <row r="80" spans="6:10" ht="15" customHeight="1" x14ac:dyDescent="0.35">
      <c r="F80" s="15">
        <v>71</v>
      </c>
      <c r="G80" s="54">
        <f t="shared" si="0"/>
        <v>2298.3500000000004</v>
      </c>
      <c r="H80" s="54">
        <f t="shared" si="1"/>
        <v>858.96</v>
      </c>
      <c r="I80" s="54">
        <f t="shared" si="2"/>
        <v>1439.39</v>
      </c>
      <c r="J80" s="54">
        <f t="shared" si="3"/>
        <v>87803.309999999459</v>
      </c>
    </row>
    <row r="81" spans="6:10" ht="15" customHeight="1" x14ac:dyDescent="0.35">
      <c r="F81" s="15">
        <v>72</v>
      </c>
      <c r="G81" s="54">
        <f t="shared" si="0"/>
        <v>2284.5</v>
      </c>
      <c r="H81" s="54">
        <f t="shared" si="1"/>
        <v>845.11</v>
      </c>
      <c r="I81" s="54">
        <f t="shared" si="2"/>
        <v>1439.39</v>
      </c>
      <c r="J81" s="54">
        <f t="shared" si="3"/>
        <v>86363.91999999946</v>
      </c>
    </row>
    <row r="82" spans="6:10" ht="15" customHeight="1" x14ac:dyDescent="0.35">
      <c r="F82" s="15">
        <v>73</v>
      </c>
      <c r="G82" s="54">
        <f t="shared" si="0"/>
        <v>2270.6400000000003</v>
      </c>
      <c r="H82" s="54">
        <f t="shared" si="1"/>
        <v>831.25</v>
      </c>
      <c r="I82" s="54">
        <f t="shared" si="2"/>
        <v>1439.39</v>
      </c>
      <c r="J82" s="54">
        <f t="shared" si="3"/>
        <v>84924.52999999946</v>
      </c>
    </row>
    <row r="83" spans="6:10" ht="15" customHeight="1" x14ac:dyDescent="0.35">
      <c r="F83" s="15">
        <v>74</v>
      </c>
      <c r="G83" s="54">
        <f t="shared" si="0"/>
        <v>2256.79</v>
      </c>
      <c r="H83" s="54">
        <f t="shared" si="1"/>
        <v>817.4</v>
      </c>
      <c r="I83" s="54">
        <f t="shared" si="2"/>
        <v>1439.39</v>
      </c>
      <c r="J83" s="54">
        <f t="shared" si="3"/>
        <v>83485.139999999461</v>
      </c>
    </row>
    <row r="84" spans="6:10" ht="15" customHeight="1" x14ac:dyDescent="0.35">
      <c r="F84" s="15">
        <v>75</v>
      </c>
      <c r="G84" s="54">
        <f t="shared" si="0"/>
        <v>2242.9300000000003</v>
      </c>
      <c r="H84" s="54">
        <f t="shared" si="1"/>
        <v>803.54</v>
      </c>
      <c r="I84" s="54">
        <f t="shared" si="2"/>
        <v>1439.39</v>
      </c>
      <c r="J84" s="54">
        <f t="shared" si="3"/>
        <v>82045.749999999462</v>
      </c>
    </row>
    <row r="85" spans="6:10" ht="15" customHeight="1" x14ac:dyDescent="0.35">
      <c r="F85" s="15">
        <v>76</v>
      </c>
      <c r="G85" s="54">
        <f t="shared" si="0"/>
        <v>2229.08</v>
      </c>
      <c r="H85" s="54">
        <f t="shared" si="1"/>
        <v>789.69</v>
      </c>
      <c r="I85" s="54">
        <f t="shared" si="2"/>
        <v>1439.39</v>
      </c>
      <c r="J85" s="54">
        <f t="shared" si="3"/>
        <v>80606.359999999462</v>
      </c>
    </row>
    <row r="86" spans="6:10" ht="15" customHeight="1" x14ac:dyDescent="0.35">
      <c r="F86" s="15">
        <v>77</v>
      </c>
      <c r="G86" s="54">
        <f t="shared" si="0"/>
        <v>2215.23</v>
      </c>
      <c r="H86" s="54">
        <f t="shared" si="1"/>
        <v>775.84</v>
      </c>
      <c r="I86" s="54">
        <f t="shared" si="2"/>
        <v>1439.39</v>
      </c>
      <c r="J86" s="54">
        <f t="shared" si="3"/>
        <v>79166.969999999463</v>
      </c>
    </row>
    <row r="87" spans="6:10" ht="15" customHeight="1" x14ac:dyDescent="0.35">
      <c r="F87" s="15">
        <v>78</v>
      </c>
      <c r="G87" s="54">
        <f t="shared" si="0"/>
        <v>2201.37</v>
      </c>
      <c r="H87" s="54">
        <f t="shared" si="1"/>
        <v>761.98</v>
      </c>
      <c r="I87" s="54">
        <f t="shared" si="2"/>
        <v>1439.39</v>
      </c>
      <c r="J87" s="54">
        <f t="shared" si="3"/>
        <v>77727.579999999463</v>
      </c>
    </row>
    <row r="88" spans="6:10" ht="15" customHeight="1" x14ac:dyDescent="0.35">
      <c r="F88" s="15">
        <v>79</v>
      </c>
      <c r="G88" s="54">
        <f t="shared" si="0"/>
        <v>2187.52</v>
      </c>
      <c r="H88" s="54">
        <f t="shared" si="1"/>
        <v>748.13</v>
      </c>
      <c r="I88" s="54">
        <f t="shared" si="2"/>
        <v>1439.39</v>
      </c>
      <c r="J88" s="54">
        <f t="shared" si="3"/>
        <v>76288.189999999464</v>
      </c>
    </row>
    <row r="89" spans="6:10" ht="15" customHeight="1" x14ac:dyDescent="0.35">
      <c r="F89" s="15">
        <v>80</v>
      </c>
      <c r="G89" s="54">
        <f t="shared" si="0"/>
        <v>2173.66</v>
      </c>
      <c r="H89" s="54">
        <f t="shared" si="1"/>
        <v>734.27</v>
      </c>
      <c r="I89" s="54">
        <f t="shared" si="2"/>
        <v>1439.39</v>
      </c>
      <c r="J89" s="54">
        <f t="shared" si="3"/>
        <v>74848.799999999464</v>
      </c>
    </row>
    <row r="90" spans="6:10" ht="15" customHeight="1" x14ac:dyDescent="0.35">
      <c r="F90" s="15">
        <v>81</v>
      </c>
      <c r="G90" s="54">
        <f t="shared" si="0"/>
        <v>2159.81</v>
      </c>
      <c r="H90" s="54">
        <f t="shared" si="1"/>
        <v>720.42</v>
      </c>
      <c r="I90" s="54">
        <f t="shared" si="2"/>
        <v>1439.39</v>
      </c>
      <c r="J90" s="54">
        <f t="shared" si="3"/>
        <v>73409.409999999465</v>
      </c>
    </row>
    <row r="91" spans="6:10" ht="15" customHeight="1" x14ac:dyDescent="0.35">
      <c r="F91" s="15">
        <v>82</v>
      </c>
      <c r="G91" s="54">
        <f t="shared" si="0"/>
        <v>2145.96</v>
      </c>
      <c r="H91" s="54">
        <f t="shared" si="1"/>
        <v>706.57</v>
      </c>
      <c r="I91" s="54">
        <f t="shared" si="2"/>
        <v>1439.39</v>
      </c>
      <c r="J91" s="54">
        <f t="shared" si="3"/>
        <v>71970.019999999466</v>
      </c>
    </row>
    <row r="92" spans="6:10" ht="15" customHeight="1" x14ac:dyDescent="0.35">
      <c r="F92" s="15">
        <v>83</v>
      </c>
      <c r="G92" s="54">
        <f t="shared" si="0"/>
        <v>2132.1000000000004</v>
      </c>
      <c r="H92" s="54">
        <f t="shared" si="1"/>
        <v>692.71</v>
      </c>
      <c r="I92" s="54">
        <f t="shared" si="2"/>
        <v>1439.39</v>
      </c>
      <c r="J92" s="54">
        <f t="shared" si="3"/>
        <v>70530.629999999466</v>
      </c>
    </row>
    <row r="93" spans="6:10" ht="15" customHeight="1" x14ac:dyDescent="0.35">
      <c r="F93" s="15">
        <v>84</v>
      </c>
      <c r="G93" s="54">
        <f t="shared" si="0"/>
        <v>2118.25</v>
      </c>
      <c r="H93" s="54">
        <f t="shared" si="1"/>
        <v>678.86</v>
      </c>
      <c r="I93" s="54">
        <f t="shared" si="2"/>
        <v>1439.39</v>
      </c>
      <c r="J93" s="54">
        <f t="shared" si="3"/>
        <v>69091.239999999467</v>
      </c>
    </row>
    <row r="94" spans="6:10" ht="15" customHeight="1" x14ac:dyDescent="0.35">
      <c r="F94" s="15">
        <v>85</v>
      </c>
      <c r="G94" s="54">
        <f t="shared" si="0"/>
        <v>2104.3900000000003</v>
      </c>
      <c r="H94" s="54">
        <f t="shared" si="1"/>
        <v>665</v>
      </c>
      <c r="I94" s="54">
        <f t="shared" si="2"/>
        <v>1439.39</v>
      </c>
      <c r="J94" s="54">
        <f t="shared" si="3"/>
        <v>67651.849999999467</v>
      </c>
    </row>
    <row r="95" spans="6:10" ht="15" customHeight="1" x14ac:dyDescent="0.35">
      <c r="F95" s="15">
        <v>86</v>
      </c>
      <c r="G95" s="54">
        <f t="shared" si="0"/>
        <v>2090.54</v>
      </c>
      <c r="H95" s="54">
        <f t="shared" si="1"/>
        <v>651.15</v>
      </c>
      <c r="I95" s="54">
        <f t="shared" si="2"/>
        <v>1439.39</v>
      </c>
      <c r="J95" s="54">
        <f t="shared" si="3"/>
        <v>66212.459999999468</v>
      </c>
    </row>
    <row r="96" spans="6:10" ht="15" customHeight="1" x14ac:dyDescent="0.35">
      <c r="F96" s="15">
        <v>87</v>
      </c>
      <c r="G96" s="54">
        <f t="shared" si="0"/>
        <v>2076.6800000000003</v>
      </c>
      <c r="H96" s="54">
        <f t="shared" si="1"/>
        <v>637.29</v>
      </c>
      <c r="I96" s="54">
        <f t="shared" si="2"/>
        <v>1439.39</v>
      </c>
      <c r="J96" s="54">
        <f t="shared" si="3"/>
        <v>64773.069999999469</v>
      </c>
    </row>
    <row r="97" spans="6:10" ht="15" customHeight="1" x14ac:dyDescent="0.35">
      <c r="F97" s="15">
        <v>88</v>
      </c>
      <c r="G97" s="54">
        <f t="shared" si="0"/>
        <v>2062.83</v>
      </c>
      <c r="H97" s="54">
        <f t="shared" si="1"/>
        <v>623.44000000000005</v>
      </c>
      <c r="I97" s="54">
        <f t="shared" si="2"/>
        <v>1439.39</v>
      </c>
      <c r="J97" s="54">
        <f t="shared" si="3"/>
        <v>63333.679999999469</v>
      </c>
    </row>
    <row r="98" spans="6:10" ht="15" customHeight="1" x14ac:dyDescent="0.35">
      <c r="F98" s="15">
        <v>89</v>
      </c>
      <c r="G98" s="54">
        <f t="shared" si="0"/>
        <v>2048.98</v>
      </c>
      <c r="H98" s="54">
        <f t="shared" si="1"/>
        <v>609.59</v>
      </c>
      <c r="I98" s="54">
        <f t="shared" si="2"/>
        <v>1439.39</v>
      </c>
      <c r="J98" s="54">
        <f t="shared" si="3"/>
        <v>61894.28999999947</v>
      </c>
    </row>
    <row r="99" spans="6:10" ht="15" customHeight="1" x14ac:dyDescent="0.35">
      <c r="F99" s="15">
        <v>90</v>
      </c>
      <c r="G99" s="54">
        <f t="shared" si="0"/>
        <v>2035.1200000000001</v>
      </c>
      <c r="H99" s="54">
        <f t="shared" si="1"/>
        <v>595.73</v>
      </c>
      <c r="I99" s="54">
        <f t="shared" si="2"/>
        <v>1439.39</v>
      </c>
      <c r="J99" s="54">
        <f t="shared" si="3"/>
        <v>60454.89999999947</v>
      </c>
    </row>
    <row r="100" spans="6:10" ht="15" customHeight="1" x14ac:dyDescent="0.35">
      <c r="F100" s="15">
        <v>91</v>
      </c>
      <c r="G100" s="54">
        <f t="shared" si="0"/>
        <v>2021.27</v>
      </c>
      <c r="H100" s="54">
        <f t="shared" si="1"/>
        <v>581.88</v>
      </c>
      <c r="I100" s="54">
        <f t="shared" si="2"/>
        <v>1439.39</v>
      </c>
      <c r="J100" s="54">
        <f t="shared" si="3"/>
        <v>59015.509999999471</v>
      </c>
    </row>
    <row r="101" spans="6:10" ht="15" customHeight="1" x14ac:dyDescent="0.35">
      <c r="F101" s="15">
        <v>92</v>
      </c>
      <c r="G101" s="54">
        <f t="shared" si="0"/>
        <v>2007.41</v>
      </c>
      <c r="H101" s="54">
        <f t="shared" si="1"/>
        <v>568.02</v>
      </c>
      <c r="I101" s="54">
        <f t="shared" si="2"/>
        <v>1439.39</v>
      </c>
      <c r="J101" s="54">
        <f t="shared" si="3"/>
        <v>57576.119999999471</v>
      </c>
    </row>
    <row r="102" spans="6:10" ht="15" customHeight="1" x14ac:dyDescent="0.35">
      <c r="F102" s="15">
        <v>93</v>
      </c>
      <c r="G102" s="54">
        <f t="shared" si="0"/>
        <v>1993.56</v>
      </c>
      <c r="H102" s="54">
        <f t="shared" si="1"/>
        <v>554.16999999999996</v>
      </c>
      <c r="I102" s="54">
        <f t="shared" si="2"/>
        <v>1439.39</v>
      </c>
      <c r="J102" s="54">
        <f t="shared" si="3"/>
        <v>56136.729999999472</v>
      </c>
    </row>
    <row r="103" spans="6:10" ht="15" customHeight="1" x14ac:dyDescent="0.35">
      <c r="F103" s="15">
        <v>94</v>
      </c>
      <c r="G103" s="54">
        <f t="shared" si="0"/>
        <v>1979.71</v>
      </c>
      <c r="H103" s="54">
        <f t="shared" si="1"/>
        <v>540.32000000000005</v>
      </c>
      <c r="I103" s="54">
        <f t="shared" si="2"/>
        <v>1439.39</v>
      </c>
      <c r="J103" s="54">
        <f t="shared" si="3"/>
        <v>54697.339999999473</v>
      </c>
    </row>
    <row r="104" spans="6:10" ht="15" customHeight="1" x14ac:dyDescent="0.35">
      <c r="F104" s="15">
        <v>95</v>
      </c>
      <c r="G104" s="54">
        <f t="shared" si="0"/>
        <v>1965.8500000000001</v>
      </c>
      <c r="H104" s="54">
        <f t="shared" si="1"/>
        <v>526.46</v>
      </c>
      <c r="I104" s="54">
        <f t="shared" si="2"/>
        <v>1439.39</v>
      </c>
      <c r="J104" s="54">
        <f t="shared" si="3"/>
        <v>53257.949999999473</v>
      </c>
    </row>
    <row r="105" spans="6:10" ht="15" customHeight="1" x14ac:dyDescent="0.35">
      <c r="F105" s="15">
        <v>96</v>
      </c>
      <c r="G105" s="54">
        <f t="shared" si="0"/>
        <v>1952</v>
      </c>
      <c r="H105" s="54">
        <f t="shared" si="1"/>
        <v>512.61</v>
      </c>
      <c r="I105" s="54">
        <f t="shared" si="2"/>
        <v>1439.39</v>
      </c>
      <c r="J105" s="54">
        <f t="shared" si="3"/>
        <v>51818.559999999474</v>
      </c>
    </row>
    <row r="106" spans="6:10" ht="15" customHeight="1" x14ac:dyDescent="0.35">
      <c r="F106" s="15">
        <v>97</v>
      </c>
      <c r="G106" s="54">
        <f t="shared" si="0"/>
        <v>1938.14</v>
      </c>
      <c r="H106" s="54">
        <f t="shared" si="1"/>
        <v>498.75</v>
      </c>
      <c r="I106" s="54">
        <f t="shared" si="2"/>
        <v>1439.39</v>
      </c>
      <c r="J106" s="54">
        <f t="shared" si="3"/>
        <v>50379.169999999474</v>
      </c>
    </row>
    <row r="107" spans="6:10" ht="15" customHeight="1" x14ac:dyDescent="0.35">
      <c r="F107" s="15">
        <v>98</v>
      </c>
      <c r="G107" s="54">
        <f t="shared" si="0"/>
        <v>1924.29</v>
      </c>
      <c r="H107" s="54">
        <f t="shared" si="1"/>
        <v>484.9</v>
      </c>
      <c r="I107" s="54">
        <f t="shared" si="2"/>
        <v>1439.39</v>
      </c>
      <c r="J107" s="54">
        <f t="shared" si="3"/>
        <v>48939.779999999475</v>
      </c>
    </row>
    <row r="108" spans="6:10" ht="15" customHeight="1" x14ac:dyDescent="0.35">
      <c r="F108" s="15">
        <v>99</v>
      </c>
      <c r="G108" s="54">
        <f t="shared" si="0"/>
        <v>1910.44</v>
      </c>
      <c r="H108" s="54">
        <f t="shared" si="1"/>
        <v>471.05</v>
      </c>
      <c r="I108" s="54">
        <f t="shared" si="2"/>
        <v>1439.39</v>
      </c>
      <c r="J108" s="54">
        <f t="shared" si="3"/>
        <v>47500.389999999476</v>
      </c>
    </row>
    <row r="109" spans="6:10" ht="15" customHeight="1" x14ac:dyDescent="0.35">
      <c r="F109" s="15">
        <v>100</v>
      </c>
      <c r="G109" s="54">
        <f t="shared" si="0"/>
        <v>1896.5800000000002</v>
      </c>
      <c r="H109" s="54">
        <f t="shared" si="1"/>
        <v>457.19</v>
      </c>
      <c r="I109" s="54">
        <f t="shared" si="2"/>
        <v>1439.39</v>
      </c>
      <c r="J109" s="54">
        <f t="shared" si="3"/>
        <v>46060.999999999476</v>
      </c>
    </row>
    <row r="110" spans="6:10" ht="15" customHeight="1" x14ac:dyDescent="0.35">
      <c r="F110" s="15">
        <v>101</v>
      </c>
      <c r="G110" s="54">
        <f t="shared" si="0"/>
        <v>1882.73</v>
      </c>
      <c r="H110" s="54">
        <f t="shared" si="1"/>
        <v>443.34</v>
      </c>
      <c r="I110" s="54">
        <f t="shared" si="2"/>
        <v>1439.39</v>
      </c>
      <c r="J110" s="54">
        <f t="shared" si="3"/>
        <v>44621.609999999477</v>
      </c>
    </row>
    <row r="111" spans="6:10" ht="15" customHeight="1" x14ac:dyDescent="0.35">
      <c r="F111" s="15">
        <v>102</v>
      </c>
      <c r="G111" s="54">
        <f t="shared" si="0"/>
        <v>1868.8700000000001</v>
      </c>
      <c r="H111" s="54">
        <f t="shared" si="1"/>
        <v>429.48</v>
      </c>
      <c r="I111" s="54">
        <f t="shared" si="2"/>
        <v>1439.39</v>
      </c>
      <c r="J111" s="54">
        <f t="shared" si="3"/>
        <v>43182.219999999477</v>
      </c>
    </row>
    <row r="112" spans="6:10" ht="15" customHeight="1" x14ac:dyDescent="0.35">
      <c r="F112" s="15">
        <v>103</v>
      </c>
      <c r="G112" s="54">
        <f t="shared" si="0"/>
        <v>1855.02</v>
      </c>
      <c r="H112" s="54">
        <f t="shared" si="1"/>
        <v>415.63</v>
      </c>
      <c r="I112" s="54">
        <f t="shared" si="2"/>
        <v>1439.39</v>
      </c>
      <c r="J112" s="54">
        <f t="shared" si="3"/>
        <v>41742.829999999478</v>
      </c>
    </row>
    <row r="113" spans="6:10" ht="15" customHeight="1" x14ac:dyDescent="0.35">
      <c r="F113" s="15">
        <v>104</v>
      </c>
      <c r="G113" s="54">
        <f t="shared" si="0"/>
        <v>1841.16</v>
      </c>
      <c r="H113" s="54">
        <f t="shared" si="1"/>
        <v>401.77</v>
      </c>
      <c r="I113" s="54">
        <f t="shared" si="2"/>
        <v>1439.39</v>
      </c>
      <c r="J113" s="54">
        <f t="shared" si="3"/>
        <v>40303.439999999478</v>
      </c>
    </row>
    <row r="114" spans="6:10" ht="15" customHeight="1" x14ac:dyDescent="0.35">
      <c r="F114" s="15">
        <v>105</v>
      </c>
      <c r="G114" s="54">
        <f t="shared" si="0"/>
        <v>1827.3100000000002</v>
      </c>
      <c r="H114" s="54">
        <f t="shared" si="1"/>
        <v>387.92</v>
      </c>
      <c r="I114" s="54">
        <f t="shared" si="2"/>
        <v>1439.39</v>
      </c>
      <c r="J114" s="54">
        <f t="shared" si="3"/>
        <v>38864.049999999479</v>
      </c>
    </row>
    <row r="115" spans="6:10" ht="15" customHeight="1" x14ac:dyDescent="0.35">
      <c r="F115" s="15">
        <v>106</v>
      </c>
      <c r="G115" s="54">
        <f t="shared" si="0"/>
        <v>1813.46</v>
      </c>
      <c r="H115" s="54">
        <f t="shared" si="1"/>
        <v>374.07</v>
      </c>
      <c r="I115" s="54">
        <f t="shared" si="2"/>
        <v>1439.39</v>
      </c>
      <c r="J115" s="54">
        <f t="shared" si="3"/>
        <v>37424.65999999948</v>
      </c>
    </row>
    <row r="116" spans="6:10" ht="15" customHeight="1" x14ac:dyDescent="0.35">
      <c r="F116" s="15">
        <v>107</v>
      </c>
      <c r="G116" s="54">
        <f t="shared" si="0"/>
        <v>1799.6000000000001</v>
      </c>
      <c r="H116" s="54">
        <f t="shared" si="1"/>
        <v>360.21</v>
      </c>
      <c r="I116" s="54">
        <f t="shared" si="2"/>
        <v>1439.39</v>
      </c>
      <c r="J116" s="54">
        <f t="shared" si="3"/>
        <v>35985.26999999948</v>
      </c>
    </row>
    <row r="117" spans="6:10" ht="15" customHeight="1" x14ac:dyDescent="0.35">
      <c r="F117" s="15">
        <v>108</v>
      </c>
      <c r="G117" s="54">
        <f t="shared" si="0"/>
        <v>1785.75</v>
      </c>
      <c r="H117" s="54">
        <f t="shared" si="1"/>
        <v>346.36</v>
      </c>
      <c r="I117" s="54">
        <f t="shared" si="2"/>
        <v>1439.39</v>
      </c>
      <c r="J117" s="54">
        <f t="shared" si="3"/>
        <v>34545.879999999481</v>
      </c>
    </row>
    <row r="118" spans="6:10" ht="15" customHeight="1" x14ac:dyDescent="0.35">
      <c r="F118" s="15">
        <v>109</v>
      </c>
      <c r="G118" s="54">
        <f t="shared" si="0"/>
        <v>1771.89</v>
      </c>
      <c r="H118" s="54">
        <f t="shared" si="1"/>
        <v>332.5</v>
      </c>
      <c r="I118" s="54">
        <f t="shared" si="2"/>
        <v>1439.39</v>
      </c>
      <c r="J118" s="54">
        <f t="shared" si="3"/>
        <v>33106.489999999481</v>
      </c>
    </row>
    <row r="119" spans="6:10" ht="15" customHeight="1" x14ac:dyDescent="0.35">
      <c r="F119" s="15">
        <v>110</v>
      </c>
      <c r="G119" s="54">
        <f t="shared" si="0"/>
        <v>1758.04</v>
      </c>
      <c r="H119" s="54">
        <f t="shared" si="1"/>
        <v>318.64999999999998</v>
      </c>
      <c r="I119" s="54">
        <f t="shared" si="2"/>
        <v>1439.39</v>
      </c>
      <c r="J119" s="54">
        <f t="shared" si="3"/>
        <v>31667.099999999482</v>
      </c>
    </row>
    <row r="120" spans="6:10" ht="15" customHeight="1" x14ac:dyDescent="0.35">
      <c r="F120" s="15">
        <v>111</v>
      </c>
      <c r="G120" s="54">
        <f t="shared" si="0"/>
        <v>1744.19</v>
      </c>
      <c r="H120" s="54">
        <f t="shared" si="1"/>
        <v>304.8</v>
      </c>
      <c r="I120" s="54">
        <f t="shared" si="2"/>
        <v>1439.39</v>
      </c>
      <c r="J120" s="54">
        <f t="shared" si="3"/>
        <v>30227.709999999483</v>
      </c>
    </row>
    <row r="121" spans="6:10" ht="15" customHeight="1" x14ac:dyDescent="0.35">
      <c r="F121" s="15">
        <v>112</v>
      </c>
      <c r="G121" s="54">
        <f t="shared" si="0"/>
        <v>1730.3300000000002</v>
      </c>
      <c r="H121" s="54">
        <f t="shared" si="1"/>
        <v>290.94</v>
      </c>
      <c r="I121" s="54">
        <f t="shared" si="2"/>
        <v>1439.39</v>
      </c>
      <c r="J121" s="54">
        <f t="shared" si="3"/>
        <v>28788.319999999483</v>
      </c>
    </row>
    <row r="122" spans="6:10" ht="15" customHeight="1" x14ac:dyDescent="0.35">
      <c r="F122" s="15">
        <v>113</v>
      </c>
      <c r="G122" s="54">
        <f t="shared" si="0"/>
        <v>1716.48</v>
      </c>
      <c r="H122" s="54">
        <f t="shared" si="1"/>
        <v>277.08999999999997</v>
      </c>
      <c r="I122" s="54">
        <f t="shared" si="2"/>
        <v>1439.39</v>
      </c>
      <c r="J122" s="54">
        <f t="shared" si="3"/>
        <v>27348.929999999484</v>
      </c>
    </row>
    <row r="123" spans="6:10" ht="15" customHeight="1" x14ac:dyDescent="0.35">
      <c r="F123" s="15">
        <v>114</v>
      </c>
      <c r="G123" s="54">
        <f t="shared" si="0"/>
        <v>1702.6200000000001</v>
      </c>
      <c r="H123" s="54">
        <f t="shared" si="1"/>
        <v>263.23</v>
      </c>
      <c r="I123" s="54">
        <f t="shared" si="2"/>
        <v>1439.39</v>
      </c>
      <c r="J123" s="54">
        <f t="shared" si="3"/>
        <v>25909.539999999484</v>
      </c>
    </row>
    <row r="124" spans="6:10" ht="15" customHeight="1" x14ac:dyDescent="0.35">
      <c r="F124" s="15">
        <v>115</v>
      </c>
      <c r="G124" s="54">
        <f t="shared" si="0"/>
        <v>1688.77</v>
      </c>
      <c r="H124" s="54">
        <f t="shared" si="1"/>
        <v>249.38</v>
      </c>
      <c r="I124" s="54">
        <f t="shared" si="2"/>
        <v>1439.39</v>
      </c>
      <c r="J124" s="54">
        <f t="shared" si="3"/>
        <v>24470.149999999485</v>
      </c>
    </row>
    <row r="125" spans="6:10" ht="15" customHeight="1" x14ac:dyDescent="0.35">
      <c r="F125" s="15">
        <v>116</v>
      </c>
      <c r="G125" s="54">
        <f t="shared" si="0"/>
        <v>1674.92</v>
      </c>
      <c r="H125" s="54">
        <f t="shared" si="1"/>
        <v>235.53</v>
      </c>
      <c r="I125" s="54">
        <f t="shared" si="2"/>
        <v>1439.39</v>
      </c>
      <c r="J125" s="54">
        <f t="shared" si="3"/>
        <v>23030.759999999485</v>
      </c>
    </row>
    <row r="126" spans="6:10" ht="15" customHeight="1" x14ac:dyDescent="0.35">
      <c r="F126" s="15">
        <v>117</v>
      </c>
      <c r="G126" s="54">
        <f t="shared" si="0"/>
        <v>1661.0600000000002</v>
      </c>
      <c r="H126" s="54">
        <f t="shared" si="1"/>
        <v>221.67</v>
      </c>
      <c r="I126" s="54">
        <f t="shared" si="2"/>
        <v>1439.39</v>
      </c>
      <c r="J126" s="54">
        <f t="shared" si="3"/>
        <v>21591.369999999486</v>
      </c>
    </row>
    <row r="127" spans="6:10" ht="15" customHeight="1" x14ac:dyDescent="0.35">
      <c r="F127" s="15">
        <v>118</v>
      </c>
      <c r="G127" s="54">
        <f t="shared" si="0"/>
        <v>1647.21</v>
      </c>
      <c r="H127" s="54">
        <f t="shared" si="1"/>
        <v>207.82</v>
      </c>
      <c r="I127" s="54">
        <f t="shared" si="2"/>
        <v>1439.39</v>
      </c>
      <c r="J127" s="54">
        <f t="shared" si="3"/>
        <v>20151.979999999487</v>
      </c>
    </row>
    <row r="128" spans="6:10" ht="15" customHeight="1" x14ac:dyDescent="0.35">
      <c r="F128" s="15">
        <v>119</v>
      </c>
      <c r="G128" s="54">
        <f t="shared" si="0"/>
        <v>1633.3500000000001</v>
      </c>
      <c r="H128" s="54">
        <f t="shared" si="1"/>
        <v>193.96</v>
      </c>
      <c r="I128" s="54">
        <f t="shared" si="2"/>
        <v>1439.39</v>
      </c>
      <c r="J128" s="54">
        <f t="shared" si="3"/>
        <v>18712.589999999487</v>
      </c>
    </row>
    <row r="129" spans="6:11" ht="15" customHeight="1" x14ac:dyDescent="0.35">
      <c r="F129" s="15">
        <v>120</v>
      </c>
      <c r="G129" s="54">
        <f t="shared" si="0"/>
        <v>1619.5</v>
      </c>
      <c r="H129" s="54">
        <f t="shared" si="1"/>
        <v>180.11</v>
      </c>
      <c r="I129" s="54">
        <f t="shared" si="2"/>
        <v>1439.39</v>
      </c>
      <c r="J129" s="54">
        <f t="shared" si="3"/>
        <v>17273.199999999488</v>
      </c>
    </row>
    <row r="130" spans="6:11" ht="15" customHeight="1" x14ac:dyDescent="0.35">
      <c r="F130" s="15">
        <v>121</v>
      </c>
      <c r="G130" s="54">
        <f t="shared" si="0"/>
        <v>1605.64</v>
      </c>
      <c r="H130" s="54">
        <f t="shared" si="1"/>
        <v>166.25</v>
      </c>
      <c r="I130" s="54">
        <f t="shared" si="2"/>
        <v>1439.39</v>
      </c>
      <c r="J130" s="54">
        <f t="shared" si="3"/>
        <v>15833.809999999488</v>
      </c>
    </row>
    <row r="131" spans="6:11" ht="15" customHeight="1" x14ac:dyDescent="0.35">
      <c r="F131" s="15">
        <v>122</v>
      </c>
      <c r="G131" s="54">
        <f t="shared" si="0"/>
        <v>1591.7900000000002</v>
      </c>
      <c r="H131" s="54">
        <f t="shared" si="1"/>
        <v>152.4</v>
      </c>
      <c r="I131" s="54">
        <f t="shared" si="2"/>
        <v>1439.39</v>
      </c>
      <c r="J131" s="54">
        <f t="shared" si="3"/>
        <v>14394.419999999489</v>
      </c>
    </row>
    <row r="132" spans="6:11" ht="15" customHeight="1" x14ac:dyDescent="0.35">
      <c r="F132" s="15">
        <v>123</v>
      </c>
      <c r="G132" s="54">
        <f t="shared" si="0"/>
        <v>1577.94</v>
      </c>
      <c r="H132" s="54">
        <f t="shared" si="1"/>
        <v>138.55000000000001</v>
      </c>
      <c r="I132" s="54">
        <f t="shared" si="2"/>
        <v>1439.39</v>
      </c>
      <c r="J132" s="54">
        <f t="shared" si="3"/>
        <v>12955.02999999949</v>
      </c>
    </row>
    <row r="133" spans="6:11" ht="15" customHeight="1" x14ac:dyDescent="0.35">
      <c r="F133" s="15">
        <v>124</v>
      </c>
      <c r="G133" s="54">
        <f t="shared" si="0"/>
        <v>1564.0800000000002</v>
      </c>
      <c r="H133" s="54">
        <f t="shared" si="1"/>
        <v>124.69</v>
      </c>
      <c r="I133" s="54">
        <f t="shared" si="2"/>
        <v>1439.39</v>
      </c>
      <c r="J133" s="54">
        <f t="shared" si="3"/>
        <v>11515.63999999949</v>
      </c>
    </row>
    <row r="134" spans="6:11" ht="15" customHeight="1" x14ac:dyDescent="0.35">
      <c r="F134" s="15">
        <v>125</v>
      </c>
      <c r="G134" s="54">
        <f t="shared" si="0"/>
        <v>1550.23</v>
      </c>
      <c r="H134" s="54">
        <f t="shared" si="1"/>
        <v>110.84</v>
      </c>
      <c r="I134" s="54">
        <f t="shared" si="2"/>
        <v>1439.39</v>
      </c>
      <c r="J134" s="54">
        <f t="shared" si="3"/>
        <v>10076.249999999491</v>
      </c>
    </row>
    <row r="135" spans="6:11" ht="15" customHeight="1" x14ac:dyDescent="0.35">
      <c r="F135" s="15">
        <v>126</v>
      </c>
      <c r="G135" s="54">
        <f t="shared" si="0"/>
        <v>1536.3700000000001</v>
      </c>
      <c r="H135" s="54">
        <f t="shared" si="1"/>
        <v>96.98</v>
      </c>
      <c r="I135" s="54">
        <f t="shared" si="2"/>
        <v>1439.39</v>
      </c>
      <c r="J135" s="54">
        <f t="shared" si="3"/>
        <v>8636.8599999994913</v>
      </c>
    </row>
    <row r="136" spans="6:11" ht="15" customHeight="1" x14ac:dyDescent="0.35">
      <c r="F136" s="15">
        <v>127</v>
      </c>
      <c r="G136" s="54">
        <f t="shared" si="0"/>
        <v>1522.52</v>
      </c>
      <c r="H136" s="54">
        <f t="shared" si="1"/>
        <v>83.13</v>
      </c>
      <c r="I136" s="54">
        <f t="shared" si="2"/>
        <v>1439.39</v>
      </c>
      <c r="J136" s="54">
        <f t="shared" si="3"/>
        <v>7197.4699999994909</v>
      </c>
    </row>
    <row r="137" spans="6:11" ht="15" customHeight="1" x14ac:dyDescent="0.35">
      <c r="F137" s="15">
        <v>128</v>
      </c>
      <c r="G137" s="54">
        <f t="shared" si="0"/>
        <v>1508.67</v>
      </c>
      <c r="H137" s="54">
        <f t="shared" si="1"/>
        <v>69.28</v>
      </c>
      <c r="I137" s="54">
        <f t="shared" si="2"/>
        <v>1439.39</v>
      </c>
      <c r="J137" s="54">
        <f t="shared" si="3"/>
        <v>5758.0799999994906</v>
      </c>
    </row>
    <row r="138" spans="6:11" ht="15" customHeight="1" x14ac:dyDescent="0.35">
      <c r="F138" s="15">
        <v>129</v>
      </c>
      <c r="G138" s="54">
        <f t="shared" si="0"/>
        <v>1494.8100000000002</v>
      </c>
      <c r="H138" s="54">
        <f t="shared" si="1"/>
        <v>55.42</v>
      </c>
      <c r="I138" s="54">
        <f t="shared" si="2"/>
        <v>1439.39</v>
      </c>
      <c r="J138" s="54">
        <f t="shared" si="3"/>
        <v>4318.6899999994903</v>
      </c>
    </row>
    <row r="139" spans="6:11" ht="15" customHeight="1" x14ac:dyDescent="0.35">
      <c r="F139" s="15">
        <v>130</v>
      </c>
      <c r="G139" s="54">
        <f t="shared" si="0"/>
        <v>1480.96</v>
      </c>
      <c r="H139" s="54">
        <f t="shared" si="1"/>
        <v>41.57</v>
      </c>
      <c r="I139" s="54">
        <f t="shared" si="2"/>
        <v>1439.39</v>
      </c>
      <c r="J139" s="54">
        <f t="shared" si="3"/>
        <v>2879.29999999949</v>
      </c>
    </row>
    <row r="140" spans="6:11" ht="15" customHeight="1" x14ac:dyDescent="0.35">
      <c r="F140" s="15">
        <v>131</v>
      </c>
      <c r="G140" s="54">
        <f t="shared" si="0"/>
        <v>1467.1000000000001</v>
      </c>
      <c r="H140" s="54">
        <f t="shared" si="1"/>
        <v>27.71</v>
      </c>
      <c r="I140" s="54">
        <f t="shared" si="2"/>
        <v>1439.39</v>
      </c>
      <c r="J140" s="54">
        <f t="shared" si="3"/>
        <v>1439.9099999994899</v>
      </c>
      <c r="K140" s="18" t="s">
        <v>30</v>
      </c>
    </row>
    <row r="141" spans="6:11" ht="15" customHeight="1" x14ac:dyDescent="0.35">
      <c r="F141" s="15">
        <v>132</v>
      </c>
      <c r="G141" s="54">
        <f t="shared" si="0"/>
        <v>1453.7699999994898</v>
      </c>
      <c r="H141" s="54">
        <f t="shared" si="1"/>
        <v>13.86</v>
      </c>
      <c r="I141" s="54">
        <f>J140</f>
        <v>1439.9099999994899</v>
      </c>
      <c r="J141" s="54">
        <f t="shared" si="3"/>
        <v>0</v>
      </c>
      <c r="K141" s="18" t="s">
        <v>108</v>
      </c>
    </row>
    <row r="142" spans="6:11" ht="15" customHeight="1" x14ac:dyDescent="0.35">
      <c r="F142" s="15" t="s">
        <v>118</v>
      </c>
      <c r="G142" s="54">
        <f t="shared" ref="G142:I142" si="4">SUM(G10:G141)</f>
        <v>311612.2099999995</v>
      </c>
      <c r="H142" s="54">
        <f t="shared" si="4"/>
        <v>121612.21000000004</v>
      </c>
      <c r="I142" s="54">
        <f t="shared" si="4"/>
        <v>190000</v>
      </c>
      <c r="J142" s="54"/>
    </row>
    <row r="143" spans="6:11" ht="15" customHeight="1" x14ac:dyDescent="0.35">
      <c r="F143" s="15"/>
      <c r="G143" s="54"/>
      <c r="H143" s="54"/>
      <c r="I143" s="54"/>
      <c r="J143" s="54"/>
      <c r="K143" s="18"/>
    </row>
    <row r="144" spans="6:11" ht="15" customHeight="1" x14ac:dyDescent="0.35">
      <c r="F144" s="15"/>
      <c r="G144" s="62"/>
      <c r="H144" s="63"/>
      <c r="I144" s="64"/>
      <c r="J144" s="64"/>
    </row>
    <row r="145" spans="6:10" ht="15" customHeight="1" x14ac:dyDescent="0.35">
      <c r="F145" s="15"/>
      <c r="G145" s="62"/>
      <c r="H145" s="63"/>
      <c r="I145" s="64"/>
      <c r="J145" s="64"/>
    </row>
    <row r="146" spans="6:10" ht="15" customHeight="1" x14ac:dyDescent="0.35">
      <c r="F146" s="15"/>
      <c r="G146" s="62"/>
      <c r="H146" s="63"/>
      <c r="I146" s="64"/>
      <c r="J146" s="64"/>
    </row>
    <row r="147" spans="6:10" ht="15" customHeight="1" x14ac:dyDescent="0.35">
      <c r="F147" s="15"/>
      <c r="G147" s="62"/>
      <c r="H147" s="63"/>
      <c r="I147" s="64"/>
      <c r="J147" s="64"/>
    </row>
    <row r="148" spans="6:10" ht="15" customHeight="1" x14ac:dyDescent="0.35">
      <c r="F148" s="15"/>
      <c r="G148" s="62"/>
      <c r="H148" s="63"/>
      <c r="I148" s="64"/>
      <c r="J148" s="64"/>
    </row>
    <row r="149" spans="6:10" ht="15" customHeight="1" x14ac:dyDescent="0.35">
      <c r="F149" s="15"/>
      <c r="G149" s="62"/>
      <c r="H149" s="63"/>
      <c r="I149" s="64"/>
      <c r="J149" s="64"/>
    </row>
    <row r="150" spans="6:10" ht="15" customHeight="1" x14ac:dyDescent="0.35">
      <c r="F150" s="15"/>
      <c r="G150" s="62"/>
      <c r="H150" s="63"/>
      <c r="I150" s="64"/>
      <c r="J150" s="64"/>
    </row>
    <row r="151" spans="6:10" ht="15" customHeight="1" x14ac:dyDescent="0.35">
      <c r="F151" s="15"/>
      <c r="G151" s="62"/>
      <c r="H151" s="63"/>
      <c r="I151" s="64"/>
      <c r="J151" s="64"/>
    </row>
    <row r="152" spans="6:10" ht="15" customHeight="1" x14ac:dyDescent="0.35">
      <c r="F152" s="15"/>
      <c r="G152" s="62"/>
      <c r="H152" s="63"/>
      <c r="I152" s="64"/>
      <c r="J152" s="64"/>
    </row>
    <row r="153" spans="6:10" ht="15" customHeight="1" x14ac:dyDescent="0.35">
      <c r="F153" s="15"/>
      <c r="G153" s="62"/>
      <c r="H153" s="63"/>
      <c r="I153" s="64"/>
      <c r="J153" s="64"/>
    </row>
    <row r="154" spans="6:10" ht="15" customHeight="1" x14ac:dyDescent="0.35">
      <c r="F154" s="15"/>
      <c r="G154" s="62"/>
      <c r="H154" s="63"/>
      <c r="I154" s="64"/>
      <c r="J154" s="64"/>
    </row>
    <row r="155" spans="6:10" ht="15" customHeight="1" x14ac:dyDescent="0.35">
      <c r="F155" s="15"/>
      <c r="G155" s="62"/>
      <c r="H155" s="63"/>
      <c r="I155" s="64"/>
      <c r="J155" s="64"/>
    </row>
    <row r="156" spans="6:10" ht="15" customHeight="1" x14ac:dyDescent="0.35">
      <c r="F156" s="15"/>
      <c r="G156" s="62"/>
      <c r="H156" s="63"/>
      <c r="I156" s="64"/>
      <c r="J156" s="64"/>
    </row>
    <row r="157" spans="6:10" ht="15" customHeight="1" x14ac:dyDescent="0.35">
      <c r="F157" s="15"/>
      <c r="G157" s="62"/>
      <c r="H157" s="63"/>
      <c r="I157" s="64"/>
      <c r="J157" s="64"/>
    </row>
    <row r="158" spans="6:10" ht="15" customHeight="1" x14ac:dyDescent="0.35">
      <c r="F158" s="15"/>
      <c r="G158" s="62"/>
      <c r="H158" s="63"/>
      <c r="I158" s="64"/>
      <c r="J158" s="64"/>
    </row>
    <row r="159" spans="6:10" ht="15" customHeight="1" x14ac:dyDescent="0.35">
      <c r="F159" s="15"/>
      <c r="G159" s="62"/>
      <c r="H159" s="63"/>
      <c r="I159" s="64"/>
      <c r="J159" s="64"/>
    </row>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sheetData>
  <mergeCells count="1">
    <mergeCell ref="A1:L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00"/>
  <sheetViews>
    <sheetView workbookViewId="0">
      <selection sqref="A1:I7"/>
    </sheetView>
  </sheetViews>
  <sheetFormatPr defaultColWidth="14.453125" defaultRowHeight="15" customHeight="1" x14ac:dyDescent="0.35"/>
  <cols>
    <col min="1" max="1" width="8.6328125" customWidth="1"/>
    <col min="2" max="5" width="16.6328125" customWidth="1"/>
    <col min="6" max="6" width="8.6328125" customWidth="1"/>
    <col min="7" max="7" width="10" customWidth="1"/>
    <col min="8" max="8" width="12.36328125" customWidth="1"/>
    <col min="9" max="9" width="8.6328125" customWidth="1"/>
    <col min="10" max="10" width="5.6328125" customWidth="1"/>
    <col min="11" max="12" width="13.453125" customWidth="1"/>
    <col min="13" max="13" width="14.6328125" customWidth="1"/>
    <col min="14" max="14" width="14.36328125" customWidth="1"/>
    <col min="15" max="16" width="8.6328125" customWidth="1"/>
    <col min="17" max="17" width="13.453125" customWidth="1"/>
    <col min="18" max="18" width="8.6328125" customWidth="1"/>
    <col min="19" max="19" width="14" customWidth="1"/>
    <col min="20" max="26" width="8.6328125" customWidth="1"/>
  </cols>
  <sheetData>
    <row r="1" spans="1:9" ht="15" customHeight="1" x14ac:dyDescent="0.35">
      <c r="A1" s="218" t="s">
        <v>123</v>
      </c>
      <c r="B1" s="217"/>
      <c r="C1" s="217"/>
      <c r="D1" s="217"/>
      <c r="E1" s="217"/>
      <c r="F1" s="217"/>
      <c r="G1" s="217"/>
      <c r="H1" s="217"/>
      <c r="I1" s="217"/>
    </row>
    <row r="2" spans="1:9" ht="15" customHeight="1" x14ac:dyDescent="0.35">
      <c r="A2" s="217"/>
      <c r="B2" s="217"/>
      <c r="C2" s="217"/>
      <c r="D2" s="217"/>
      <c r="E2" s="217"/>
      <c r="F2" s="217"/>
      <c r="G2" s="217"/>
      <c r="H2" s="217"/>
      <c r="I2" s="217"/>
    </row>
    <row r="3" spans="1:9" ht="15" customHeight="1" x14ac:dyDescent="0.35">
      <c r="A3" s="217"/>
      <c r="B3" s="217"/>
      <c r="C3" s="217"/>
      <c r="D3" s="217"/>
      <c r="E3" s="217"/>
      <c r="F3" s="217"/>
      <c r="G3" s="217"/>
      <c r="H3" s="217"/>
      <c r="I3" s="217"/>
    </row>
    <row r="4" spans="1:9" ht="15" customHeight="1" x14ac:dyDescent="0.35">
      <c r="A4" s="217"/>
      <c r="B4" s="217"/>
      <c r="C4" s="217"/>
      <c r="D4" s="217"/>
      <c r="E4" s="217"/>
      <c r="F4" s="217"/>
      <c r="G4" s="217"/>
      <c r="H4" s="217"/>
      <c r="I4" s="217"/>
    </row>
    <row r="5" spans="1:9" ht="15" customHeight="1" x14ac:dyDescent="0.35">
      <c r="A5" s="217"/>
      <c r="B5" s="217"/>
      <c r="C5" s="217"/>
      <c r="D5" s="217"/>
      <c r="E5" s="217"/>
      <c r="F5" s="217"/>
      <c r="G5" s="217"/>
      <c r="H5" s="217"/>
      <c r="I5" s="217"/>
    </row>
    <row r="6" spans="1:9" ht="15" customHeight="1" x14ac:dyDescent="0.35">
      <c r="A6" s="217"/>
      <c r="B6" s="217"/>
      <c r="C6" s="217"/>
      <c r="D6" s="217"/>
      <c r="E6" s="217"/>
      <c r="F6" s="217"/>
      <c r="G6" s="217"/>
      <c r="H6" s="217"/>
      <c r="I6" s="217"/>
    </row>
    <row r="7" spans="1:9" ht="15" customHeight="1" x14ac:dyDescent="0.35">
      <c r="A7" s="217"/>
      <c r="B7" s="217"/>
      <c r="C7" s="217"/>
      <c r="D7" s="217"/>
      <c r="E7" s="217"/>
      <c r="F7" s="217"/>
      <c r="G7" s="217"/>
      <c r="H7" s="217"/>
      <c r="I7" s="217"/>
    </row>
    <row r="8" spans="1:9" ht="15" customHeight="1" x14ac:dyDescent="0.35">
      <c r="A8" s="18" t="s">
        <v>106</v>
      </c>
      <c r="B8" s="20"/>
    </row>
    <row r="9" spans="1:9" ht="15" customHeight="1" x14ac:dyDescent="0.35">
      <c r="A9" s="20"/>
      <c r="B9" s="20"/>
    </row>
    <row r="11" spans="1:9" ht="15" customHeight="1" x14ac:dyDescent="0.35">
      <c r="A11" s="14" t="s">
        <v>80</v>
      </c>
      <c r="B11" s="59">
        <v>60000</v>
      </c>
    </row>
    <row r="12" spans="1:9" ht="15" customHeight="1" x14ac:dyDescent="0.35">
      <c r="A12" s="14" t="s">
        <v>124</v>
      </c>
      <c r="B12" s="3">
        <f>28</f>
        <v>28</v>
      </c>
    </row>
    <row r="13" spans="1:9" ht="15" customHeight="1" x14ac:dyDescent="0.35">
      <c r="A13" s="37" t="s">
        <v>81</v>
      </c>
      <c r="B13" s="16">
        <f>4.9%</f>
        <v>4.9000000000000002E-2</v>
      </c>
    </row>
    <row r="14" spans="1:9" ht="15" customHeight="1" x14ac:dyDescent="0.35">
      <c r="A14" s="14" t="s">
        <v>82</v>
      </c>
      <c r="B14" s="22">
        <f>1+B13</f>
        <v>1.0489999999999999</v>
      </c>
    </row>
    <row r="15" spans="1:9" ht="15" customHeight="1" x14ac:dyDescent="0.35">
      <c r="A15" s="14" t="s">
        <v>125</v>
      </c>
      <c r="B15" s="22">
        <v>12</v>
      </c>
    </row>
    <row r="16" spans="1:9" ht="15" customHeight="1" x14ac:dyDescent="0.35">
      <c r="A16" s="221" t="s">
        <v>126</v>
      </c>
      <c r="B16" s="217"/>
    </row>
    <row r="17" spans="1:14" ht="15" customHeight="1" x14ac:dyDescent="0.35">
      <c r="A17" s="14" t="s">
        <v>127</v>
      </c>
      <c r="B17" s="65">
        <f>B13/B15</f>
        <v>4.0833333333333338E-3</v>
      </c>
    </row>
    <row r="18" spans="1:14" ht="15" customHeight="1" x14ac:dyDescent="0.35">
      <c r="A18" s="14" t="s">
        <v>128</v>
      </c>
      <c r="B18" s="22">
        <f>1+B17</f>
        <v>1.0040833333333334</v>
      </c>
    </row>
    <row r="19" spans="1:14" ht="15" customHeight="1" x14ac:dyDescent="0.35">
      <c r="A19" s="14" t="s">
        <v>129</v>
      </c>
      <c r="B19" s="3">
        <f>B12*B15</f>
        <v>336</v>
      </c>
    </row>
    <row r="20" spans="1:14" ht="15" customHeight="1" x14ac:dyDescent="0.35">
      <c r="A20" s="14"/>
    </row>
    <row r="21" spans="1:14" ht="15" customHeight="1" x14ac:dyDescent="0.35">
      <c r="A21" s="14" t="s">
        <v>130</v>
      </c>
      <c r="B21" s="47">
        <f>ROUND(PMT(B17,B19,B11,0,0),2)</f>
        <v>-328.55</v>
      </c>
    </row>
    <row r="22" spans="1:14" ht="15" customHeight="1" x14ac:dyDescent="0.35">
      <c r="A22" s="14"/>
      <c r="B22" s="52"/>
    </row>
    <row r="23" spans="1:14" ht="15" customHeight="1" x14ac:dyDescent="0.35">
      <c r="K23" s="52"/>
      <c r="L23" s="66"/>
      <c r="M23" s="52"/>
    </row>
    <row r="24" spans="1:14" ht="15" customHeight="1" x14ac:dyDescent="0.35">
      <c r="K24" s="22"/>
    </row>
    <row r="25" spans="1:14" ht="15" customHeight="1" x14ac:dyDescent="0.35">
      <c r="A25" s="7" t="s">
        <v>113</v>
      </c>
      <c r="B25" s="7" t="s">
        <v>111</v>
      </c>
      <c r="C25" s="7" t="s">
        <v>114</v>
      </c>
      <c r="D25" s="7" t="s">
        <v>115</v>
      </c>
      <c r="E25" s="7" t="s">
        <v>116</v>
      </c>
      <c r="J25" s="7" t="s">
        <v>113</v>
      </c>
      <c r="K25" s="7" t="s">
        <v>111</v>
      </c>
      <c r="L25" s="7" t="s">
        <v>114</v>
      </c>
      <c r="M25" s="7" t="s">
        <v>115</v>
      </c>
      <c r="N25" s="7" t="s">
        <v>116</v>
      </c>
    </row>
    <row r="26" spans="1:14" ht="15" customHeight="1" x14ac:dyDescent="0.35">
      <c r="A26" s="7">
        <v>0</v>
      </c>
      <c r="B26" s="67" t="s">
        <v>131</v>
      </c>
      <c r="C26" s="67" t="s">
        <v>131</v>
      </c>
      <c r="D26" s="67" t="s">
        <v>131</v>
      </c>
      <c r="E26" s="68">
        <f>B11</f>
        <v>60000</v>
      </c>
      <c r="J26" s="7">
        <v>0</v>
      </c>
      <c r="K26" s="67" t="s">
        <v>131</v>
      </c>
      <c r="L26" s="67" t="s">
        <v>131</v>
      </c>
      <c r="M26" s="67" t="s">
        <v>131</v>
      </c>
      <c r="N26" s="68">
        <f>B11</f>
        <v>60000</v>
      </c>
    </row>
    <row r="27" spans="1:14" ht="15" customHeight="1" x14ac:dyDescent="0.35">
      <c r="A27" s="7">
        <v>1</v>
      </c>
      <c r="B27" s="67">
        <f t="shared" ref="B27:B281" si="0">-$B$21</f>
        <v>328.55</v>
      </c>
      <c r="C27" s="67">
        <f t="shared" ref="C27:C281" si="1">ROUND(E26*$B$17,2)</f>
        <v>245</v>
      </c>
      <c r="D27" s="67">
        <f t="shared" ref="D27:D281" si="2">B27-C27</f>
        <v>83.550000000000011</v>
      </c>
      <c r="E27" s="67">
        <f t="shared" ref="E27:E281" si="3">E26-D27</f>
        <v>59916.45</v>
      </c>
      <c r="J27" s="7">
        <v>1</v>
      </c>
      <c r="K27" s="67">
        <f t="shared" ref="K27:K86" si="4">-$B$21</f>
        <v>328.55</v>
      </c>
      <c r="L27" s="67">
        <f t="shared" ref="L27:L86" si="5">ROUND(N26*$B$17,2)</f>
        <v>245</v>
      </c>
      <c r="M27" s="67">
        <f t="shared" ref="M27:M281" si="6">K27-L27</f>
        <v>83.550000000000011</v>
      </c>
      <c r="N27" s="67">
        <f t="shared" ref="N27:N281" si="7">N26-M27</f>
        <v>59916.45</v>
      </c>
    </row>
    <row r="28" spans="1:14" ht="15" customHeight="1" x14ac:dyDescent="0.35">
      <c r="A28" s="7">
        <v>2</v>
      </c>
      <c r="B28" s="67">
        <f t="shared" si="0"/>
        <v>328.55</v>
      </c>
      <c r="C28" s="67">
        <f t="shared" si="1"/>
        <v>244.66</v>
      </c>
      <c r="D28" s="67">
        <f t="shared" si="2"/>
        <v>83.890000000000015</v>
      </c>
      <c r="E28" s="67">
        <f t="shared" si="3"/>
        <v>59832.56</v>
      </c>
      <c r="J28" s="7">
        <v>2</v>
      </c>
      <c r="K28" s="67">
        <f t="shared" si="4"/>
        <v>328.55</v>
      </c>
      <c r="L28" s="67">
        <f t="shared" si="5"/>
        <v>244.66</v>
      </c>
      <c r="M28" s="67">
        <f t="shared" si="6"/>
        <v>83.890000000000015</v>
      </c>
      <c r="N28" s="67">
        <f t="shared" si="7"/>
        <v>59832.56</v>
      </c>
    </row>
    <row r="29" spans="1:14" ht="15" customHeight="1" x14ac:dyDescent="0.35">
      <c r="A29" s="7">
        <v>3</v>
      </c>
      <c r="B29" s="67">
        <f t="shared" si="0"/>
        <v>328.55</v>
      </c>
      <c r="C29" s="67">
        <f t="shared" si="1"/>
        <v>244.32</v>
      </c>
      <c r="D29" s="67">
        <f t="shared" si="2"/>
        <v>84.230000000000018</v>
      </c>
      <c r="E29" s="67">
        <f t="shared" si="3"/>
        <v>59748.329999999994</v>
      </c>
      <c r="J29" s="7">
        <v>3</v>
      </c>
      <c r="K29" s="67">
        <f t="shared" si="4"/>
        <v>328.55</v>
      </c>
      <c r="L29" s="67">
        <f t="shared" si="5"/>
        <v>244.32</v>
      </c>
      <c r="M29" s="67">
        <f t="shared" si="6"/>
        <v>84.230000000000018</v>
      </c>
      <c r="N29" s="67">
        <f t="shared" si="7"/>
        <v>59748.329999999994</v>
      </c>
    </row>
    <row r="30" spans="1:14" ht="15" customHeight="1" x14ac:dyDescent="0.35">
      <c r="A30" s="7">
        <v>4</v>
      </c>
      <c r="B30" s="67">
        <f t="shared" si="0"/>
        <v>328.55</v>
      </c>
      <c r="C30" s="67">
        <f t="shared" si="1"/>
        <v>243.97</v>
      </c>
      <c r="D30" s="67">
        <f t="shared" si="2"/>
        <v>84.580000000000013</v>
      </c>
      <c r="E30" s="67">
        <f t="shared" si="3"/>
        <v>59663.749999999993</v>
      </c>
      <c r="J30" s="7">
        <v>4</v>
      </c>
      <c r="K30" s="67">
        <f t="shared" si="4"/>
        <v>328.55</v>
      </c>
      <c r="L30" s="67">
        <f t="shared" si="5"/>
        <v>243.97</v>
      </c>
      <c r="M30" s="67">
        <f t="shared" si="6"/>
        <v>84.580000000000013</v>
      </c>
      <c r="N30" s="67">
        <f t="shared" si="7"/>
        <v>59663.749999999993</v>
      </c>
    </row>
    <row r="31" spans="1:14" ht="15" customHeight="1" x14ac:dyDescent="0.35">
      <c r="A31" s="7">
        <v>5</v>
      </c>
      <c r="B31" s="67">
        <f t="shared" si="0"/>
        <v>328.55</v>
      </c>
      <c r="C31" s="67">
        <f t="shared" si="1"/>
        <v>243.63</v>
      </c>
      <c r="D31" s="67">
        <f t="shared" si="2"/>
        <v>84.920000000000016</v>
      </c>
      <c r="E31" s="67">
        <f t="shared" si="3"/>
        <v>59578.829999999994</v>
      </c>
      <c r="J31" s="7">
        <v>5</v>
      </c>
      <c r="K31" s="67">
        <f t="shared" si="4"/>
        <v>328.55</v>
      </c>
      <c r="L31" s="67">
        <f t="shared" si="5"/>
        <v>243.63</v>
      </c>
      <c r="M31" s="67">
        <f t="shared" si="6"/>
        <v>84.920000000000016</v>
      </c>
      <c r="N31" s="67">
        <f t="shared" si="7"/>
        <v>59578.829999999994</v>
      </c>
    </row>
    <row r="32" spans="1:14" ht="15" customHeight="1" x14ac:dyDescent="0.35">
      <c r="A32" s="7">
        <v>6</v>
      </c>
      <c r="B32" s="67">
        <f t="shared" si="0"/>
        <v>328.55</v>
      </c>
      <c r="C32" s="67">
        <f t="shared" si="1"/>
        <v>243.28</v>
      </c>
      <c r="D32" s="67">
        <f t="shared" si="2"/>
        <v>85.27000000000001</v>
      </c>
      <c r="E32" s="67">
        <f t="shared" si="3"/>
        <v>59493.56</v>
      </c>
      <c r="J32" s="7">
        <v>6</v>
      </c>
      <c r="K32" s="67">
        <f t="shared" si="4"/>
        <v>328.55</v>
      </c>
      <c r="L32" s="67">
        <f t="shared" si="5"/>
        <v>243.28</v>
      </c>
      <c r="M32" s="67">
        <f t="shared" si="6"/>
        <v>85.27000000000001</v>
      </c>
      <c r="N32" s="67">
        <f t="shared" si="7"/>
        <v>59493.56</v>
      </c>
    </row>
    <row r="33" spans="1:14" ht="15" customHeight="1" x14ac:dyDescent="0.35">
      <c r="A33" s="7">
        <v>7</v>
      </c>
      <c r="B33" s="67">
        <f t="shared" si="0"/>
        <v>328.55</v>
      </c>
      <c r="C33" s="67">
        <f t="shared" si="1"/>
        <v>242.93</v>
      </c>
      <c r="D33" s="67">
        <f t="shared" si="2"/>
        <v>85.62</v>
      </c>
      <c r="E33" s="67">
        <f t="shared" si="3"/>
        <v>59407.939999999995</v>
      </c>
      <c r="J33" s="7">
        <v>7</v>
      </c>
      <c r="K33" s="67">
        <f t="shared" si="4"/>
        <v>328.55</v>
      </c>
      <c r="L33" s="67">
        <f t="shared" si="5"/>
        <v>242.93</v>
      </c>
      <c r="M33" s="67">
        <f t="shared" si="6"/>
        <v>85.62</v>
      </c>
      <c r="N33" s="67">
        <f t="shared" si="7"/>
        <v>59407.939999999995</v>
      </c>
    </row>
    <row r="34" spans="1:14" ht="15" customHeight="1" x14ac:dyDescent="0.35">
      <c r="A34" s="7">
        <v>8</v>
      </c>
      <c r="B34" s="67">
        <f t="shared" si="0"/>
        <v>328.55</v>
      </c>
      <c r="C34" s="67">
        <f t="shared" si="1"/>
        <v>242.58</v>
      </c>
      <c r="D34" s="67">
        <f t="shared" si="2"/>
        <v>85.97</v>
      </c>
      <c r="E34" s="67">
        <f t="shared" si="3"/>
        <v>59321.969999999994</v>
      </c>
      <c r="J34" s="7">
        <v>8</v>
      </c>
      <c r="K34" s="67">
        <f t="shared" si="4"/>
        <v>328.55</v>
      </c>
      <c r="L34" s="67">
        <f t="shared" si="5"/>
        <v>242.58</v>
      </c>
      <c r="M34" s="67">
        <f t="shared" si="6"/>
        <v>85.97</v>
      </c>
      <c r="N34" s="67">
        <f t="shared" si="7"/>
        <v>59321.969999999994</v>
      </c>
    </row>
    <row r="35" spans="1:14" ht="15" customHeight="1" x14ac:dyDescent="0.35">
      <c r="A35" s="7">
        <v>9</v>
      </c>
      <c r="B35" s="67">
        <f t="shared" si="0"/>
        <v>328.55</v>
      </c>
      <c r="C35" s="67">
        <f t="shared" si="1"/>
        <v>242.23</v>
      </c>
      <c r="D35" s="67">
        <f t="shared" si="2"/>
        <v>86.320000000000022</v>
      </c>
      <c r="E35" s="67">
        <f t="shared" si="3"/>
        <v>59235.649999999994</v>
      </c>
      <c r="J35" s="7">
        <v>9</v>
      </c>
      <c r="K35" s="67">
        <f t="shared" si="4"/>
        <v>328.55</v>
      </c>
      <c r="L35" s="67">
        <f t="shared" si="5"/>
        <v>242.23</v>
      </c>
      <c r="M35" s="67">
        <f t="shared" si="6"/>
        <v>86.320000000000022</v>
      </c>
      <c r="N35" s="67">
        <f t="shared" si="7"/>
        <v>59235.649999999994</v>
      </c>
    </row>
    <row r="36" spans="1:14" ht="15" customHeight="1" x14ac:dyDescent="0.35">
      <c r="A36" s="7">
        <v>10</v>
      </c>
      <c r="B36" s="67">
        <f t="shared" si="0"/>
        <v>328.55</v>
      </c>
      <c r="C36" s="67">
        <f t="shared" si="1"/>
        <v>241.88</v>
      </c>
      <c r="D36" s="67">
        <f t="shared" si="2"/>
        <v>86.670000000000016</v>
      </c>
      <c r="E36" s="67">
        <f t="shared" si="3"/>
        <v>59148.979999999996</v>
      </c>
      <c r="J36" s="7">
        <v>10</v>
      </c>
      <c r="K36" s="67">
        <f t="shared" si="4"/>
        <v>328.55</v>
      </c>
      <c r="L36" s="67">
        <f t="shared" si="5"/>
        <v>241.88</v>
      </c>
      <c r="M36" s="67">
        <f t="shared" si="6"/>
        <v>86.670000000000016</v>
      </c>
      <c r="N36" s="67">
        <f t="shared" si="7"/>
        <v>59148.979999999996</v>
      </c>
    </row>
    <row r="37" spans="1:14" ht="15" customHeight="1" x14ac:dyDescent="0.35">
      <c r="A37" s="7">
        <v>11</v>
      </c>
      <c r="B37" s="67">
        <f t="shared" si="0"/>
        <v>328.55</v>
      </c>
      <c r="C37" s="67">
        <f t="shared" si="1"/>
        <v>241.53</v>
      </c>
      <c r="D37" s="67">
        <f t="shared" si="2"/>
        <v>87.02000000000001</v>
      </c>
      <c r="E37" s="67">
        <f t="shared" si="3"/>
        <v>59061.96</v>
      </c>
      <c r="J37" s="7">
        <v>11</v>
      </c>
      <c r="K37" s="67">
        <f t="shared" si="4"/>
        <v>328.55</v>
      </c>
      <c r="L37" s="67">
        <f t="shared" si="5"/>
        <v>241.53</v>
      </c>
      <c r="M37" s="67">
        <f t="shared" si="6"/>
        <v>87.02000000000001</v>
      </c>
      <c r="N37" s="67">
        <f t="shared" si="7"/>
        <v>59061.96</v>
      </c>
    </row>
    <row r="38" spans="1:14" ht="15" customHeight="1" x14ac:dyDescent="0.35">
      <c r="A38" s="7">
        <v>12</v>
      </c>
      <c r="B38" s="67">
        <f t="shared" si="0"/>
        <v>328.55</v>
      </c>
      <c r="C38" s="67">
        <f t="shared" si="1"/>
        <v>241.17</v>
      </c>
      <c r="D38" s="67">
        <f t="shared" si="2"/>
        <v>87.380000000000024</v>
      </c>
      <c r="E38" s="67">
        <f t="shared" si="3"/>
        <v>58974.58</v>
      </c>
      <c r="J38" s="7">
        <v>12</v>
      </c>
      <c r="K38" s="67">
        <f t="shared" si="4"/>
        <v>328.55</v>
      </c>
      <c r="L38" s="67">
        <f t="shared" si="5"/>
        <v>241.17</v>
      </c>
      <c r="M38" s="67">
        <f t="shared" si="6"/>
        <v>87.380000000000024</v>
      </c>
      <c r="N38" s="67">
        <f t="shared" si="7"/>
        <v>58974.58</v>
      </c>
    </row>
    <row r="39" spans="1:14" ht="15" customHeight="1" x14ac:dyDescent="0.35">
      <c r="A39" s="7">
        <v>13</v>
      </c>
      <c r="B39" s="67">
        <f t="shared" si="0"/>
        <v>328.55</v>
      </c>
      <c r="C39" s="67">
        <f t="shared" si="1"/>
        <v>240.81</v>
      </c>
      <c r="D39" s="67">
        <f t="shared" si="2"/>
        <v>87.740000000000009</v>
      </c>
      <c r="E39" s="67">
        <f t="shared" si="3"/>
        <v>58886.840000000004</v>
      </c>
      <c r="J39" s="7">
        <v>13</v>
      </c>
      <c r="K39" s="67">
        <f t="shared" si="4"/>
        <v>328.55</v>
      </c>
      <c r="L39" s="67">
        <f t="shared" si="5"/>
        <v>240.81</v>
      </c>
      <c r="M39" s="67">
        <f t="shared" si="6"/>
        <v>87.740000000000009</v>
      </c>
      <c r="N39" s="67">
        <f t="shared" si="7"/>
        <v>58886.840000000004</v>
      </c>
    </row>
    <row r="40" spans="1:14" ht="15" customHeight="1" x14ac:dyDescent="0.35">
      <c r="A40" s="7">
        <v>14</v>
      </c>
      <c r="B40" s="67">
        <f t="shared" si="0"/>
        <v>328.55</v>
      </c>
      <c r="C40" s="67">
        <f t="shared" si="1"/>
        <v>240.45</v>
      </c>
      <c r="D40" s="67">
        <f t="shared" si="2"/>
        <v>88.100000000000023</v>
      </c>
      <c r="E40" s="67">
        <f t="shared" si="3"/>
        <v>58798.740000000005</v>
      </c>
      <c r="J40" s="7">
        <v>14</v>
      </c>
      <c r="K40" s="67">
        <f t="shared" si="4"/>
        <v>328.55</v>
      </c>
      <c r="L40" s="67">
        <f t="shared" si="5"/>
        <v>240.45</v>
      </c>
      <c r="M40" s="67">
        <f t="shared" si="6"/>
        <v>88.100000000000023</v>
      </c>
      <c r="N40" s="67">
        <f t="shared" si="7"/>
        <v>58798.740000000005</v>
      </c>
    </row>
    <row r="41" spans="1:14" ht="15" customHeight="1" x14ac:dyDescent="0.35">
      <c r="A41" s="7">
        <v>15</v>
      </c>
      <c r="B41" s="67">
        <f t="shared" si="0"/>
        <v>328.55</v>
      </c>
      <c r="C41" s="67">
        <f t="shared" si="1"/>
        <v>240.09</v>
      </c>
      <c r="D41" s="67">
        <f t="shared" si="2"/>
        <v>88.460000000000008</v>
      </c>
      <c r="E41" s="67">
        <f t="shared" si="3"/>
        <v>58710.280000000006</v>
      </c>
      <c r="J41" s="7">
        <v>15</v>
      </c>
      <c r="K41" s="67">
        <f t="shared" si="4"/>
        <v>328.55</v>
      </c>
      <c r="L41" s="67">
        <f t="shared" si="5"/>
        <v>240.09</v>
      </c>
      <c r="M41" s="67">
        <f t="shared" si="6"/>
        <v>88.460000000000008</v>
      </c>
      <c r="N41" s="67">
        <f t="shared" si="7"/>
        <v>58710.280000000006</v>
      </c>
    </row>
    <row r="42" spans="1:14" ht="15" customHeight="1" x14ac:dyDescent="0.35">
      <c r="A42" s="7">
        <v>16</v>
      </c>
      <c r="B42" s="67">
        <f t="shared" si="0"/>
        <v>328.55</v>
      </c>
      <c r="C42" s="67">
        <f t="shared" si="1"/>
        <v>239.73</v>
      </c>
      <c r="D42" s="67">
        <f t="shared" si="2"/>
        <v>88.820000000000022</v>
      </c>
      <c r="E42" s="67">
        <f t="shared" si="3"/>
        <v>58621.460000000006</v>
      </c>
      <c r="J42" s="7">
        <v>16</v>
      </c>
      <c r="K42" s="67">
        <f t="shared" si="4"/>
        <v>328.55</v>
      </c>
      <c r="L42" s="67">
        <f t="shared" si="5"/>
        <v>239.73</v>
      </c>
      <c r="M42" s="67">
        <f t="shared" si="6"/>
        <v>88.820000000000022</v>
      </c>
      <c r="N42" s="67">
        <f t="shared" si="7"/>
        <v>58621.460000000006</v>
      </c>
    </row>
    <row r="43" spans="1:14" ht="15" customHeight="1" x14ac:dyDescent="0.35">
      <c r="A43" s="7">
        <v>17</v>
      </c>
      <c r="B43" s="67">
        <f t="shared" si="0"/>
        <v>328.55</v>
      </c>
      <c r="C43" s="67">
        <f t="shared" si="1"/>
        <v>239.37</v>
      </c>
      <c r="D43" s="67">
        <f t="shared" si="2"/>
        <v>89.18</v>
      </c>
      <c r="E43" s="67">
        <f t="shared" si="3"/>
        <v>58532.280000000006</v>
      </c>
      <c r="J43" s="7">
        <v>17</v>
      </c>
      <c r="K43" s="67">
        <f t="shared" si="4"/>
        <v>328.55</v>
      </c>
      <c r="L43" s="67">
        <f t="shared" si="5"/>
        <v>239.37</v>
      </c>
      <c r="M43" s="67">
        <f t="shared" si="6"/>
        <v>89.18</v>
      </c>
      <c r="N43" s="67">
        <f t="shared" si="7"/>
        <v>58532.280000000006</v>
      </c>
    </row>
    <row r="44" spans="1:14" ht="15" customHeight="1" x14ac:dyDescent="0.35">
      <c r="A44" s="7">
        <v>18</v>
      </c>
      <c r="B44" s="67">
        <f t="shared" si="0"/>
        <v>328.55</v>
      </c>
      <c r="C44" s="67">
        <f t="shared" si="1"/>
        <v>239.01</v>
      </c>
      <c r="D44" s="67">
        <f t="shared" si="2"/>
        <v>89.54000000000002</v>
      </c>
      <c r="E44" s="67">
        <f t="shared" si="3"/>
        <v>58442.740000000005</v>
      </c>
      <c r="J44" s="7">
        <v>18</v>
      </c>
      <c r="K44" s="67">
        <f t="shared" si="4"/>
        <v>328.55</v>
      </c>
      <c r="L44" s="67">
        <f t="shared" si="5"/>
        <v>239.01</v>
      </c>
      <c r="M44" s="67">
        <f t="shared" si="6"/>
        <v>89.54000000000002</v>
      </c>
      <c r="N44" s="67">
        <f t="shared" si="7"/>
        <v>58442.740000000005</v>
      </c>
    </row>
    <row r="45" spans="1:14" ht="15" customHeight="1" x14ac:dyDescent="0.35">
      <c r="A45" s="7">
        <v>19</v>
      </c>
      <c r="B45" s="67">
        <f t="shared" si="0"/>
        <v>328.55</v>
      </c>
      <c r="C45" s="67">
        <f t="shared" si="1"/>
        <v>238.64</v>
      </c>
      <c r="D45" s="67">
        <f t="shared" si="2"/>
        <v>89.910000000000025</v>
      </c>
      <c r="E45" s="67">
        <f t="shared" si="3"/>
        <v>58352.83</v>
      </c>
      <c r="J45" s="7">
        <v>19</v>
      </c>
      <c r="K45" s="67">
        <f t="shared" si="4"/>
        <v>328.55</v>
      </c>
      <c r="L45" s="67">
        <f t="shared" si="5"/>
        <v>238.64</v>
      </c>
      <c r="M45" s="67">
        <f t="shared" si="6"/>
        <v>89.910000000000025</v>
      </c>
      <c r="N45" s="67">
        <f t="shared" si="7"/>
        <v>58352.83</v>
      </c>
    </row>
    <row r="46" spans="1:14" ht="15" customHeight="1" x14ac:dyDescent="0.35">
      <c r="A46" s="7">
        <v>20</v>
      </c>
      <c r="B46" s="67">
        <f t="shared" si="0"/>
        <v>328.55</v>
      </c>
      <c r="C46" s="67">
        <f t="shared" si="1"/>
        <v>238.27</v>
      </c>
      <c r="D46" s="67">
        <f t="shared" si="2"/>
        <v>90.28</v>
      </c>
      <c r="E46" s="67">
        <f t="shared" si="3"/>
        <v>58262.55</v>
      </c>
      <c r="J46" s="7">
        <v>20</v>
      </c>
      <c r="K46" s="67">
        <f t="shared" si="4"/>
        <v>328.55</v>
      </c>
      <c r="L46" s="67">
        <f t="shared" si="5"/>
        <v>238.27</v>
      </c>
      <c r="M46" s="67">
        <f t="shared" si="6"/>
        <v>90.28</v>
      </c>
      <c r="N46" s="67">
        <f t="shared" si="7"/>
        <v>58262.55</v>
      </c>
    </row>
    <row r="47" spans="1:14" ht="15" customHeight="1" x14ac:dyDescent="0.35">
      <c r="A47" s="7">
        <v>21</v>
      </c>
      <c r="B47" s="67">
        <f t="shared" si="0"/>
        <v>328.55</v>
      </c>
      <c r="C47" s="67">
        <f t="shared" si="1"/>
        <v>237.91</v>
      </c>
      <c r="D47" s="67">
        <f t="shared" si="2"/>
        <v>90.640000000000015</v>
      </c>
      <c r="E47" s="67">
        <f t="shared" si="3"/>
        <v>58171.91</v>
      </c>
      <c r="J47" s="7">
        <v>21</v>
      </c>
      <c r="K47" s="67">
        <f t="shared" si="4"/>
        <v>328.55</v>
      </c>
      <c r="L47" s="67">
        <f t="shared" si="5"/>
        <v>237.91</v>
      </c>
      <c r="M47" s="67">
        <f t="shared" si="6"/>
        <v>90.640000000000015</v>
      </c>
      <c r="N47" s="67">
        <f t="shared" si="7"/>
        <v>58171.91</v>
      </c>
    </row>
    <row r="48" spans="1:14" ht="15" customHeight="1" x14ac:dyDescent="0.35">
      <c r="A48" s="7">
        <v>22</v>
      </c>
      <c r="B48" s="67">
        <f t="shared" si="0"/>
        <v>328.55</v>
      </c>
      <c r="C48" s="67">
        <f t="shared" si="1"/>
        <v>237.54</v>
      </c>
      <c r="D48" s="67">
        <f t="shared" si="2"/>
        <v>91.010000000000019</v>
      </c>
      <c r="E48" s="67">
        <f t="shared" si="3"/>
        <v>58080.9</v>
      </c>
      <c r="J48" s="7">
        <v>22</v>
      </c>
      <c r="K48" s="67">
        <f t="shared" si="4"/>
        <v>328.55</v>
      </c>
      <c r="L48" s="67">
        <f t="shared" si="5"/>
        <v>237.54</v>
      </c>
      <c r="M48" s="67">
        <f t="shared" si="6"/>
        <v>91.010000000000019</v>
      </c>
      <c r="N48" s="67">
        <f t="shared" si="7"/>
        <v>58080.9</v>
      </c>
    </row>
    <row r="49" spans="1:19" ht="15" customHeight="1" x14ac:dyDescent="0.35">
      <c r="A49" s="7">
        <v>23</v>
      </c>
      <c r="B49" s="67">
        <f t="shared" si="0"/>
        <v>328.55</v>
      </c>
      <c r="C49" s="67">
        <f t="shared" si="1"/>
        <v>237.16</v>
      </c>
      <c r="D49" s="67">
        <f t="shared" si="2"/>
        <v>91.390000000000015</v>
      </c>
      <c r="E49" s="67">
        <f t="shared" si="3"/>
        <v>57989.51</v>
      </c>
      <c r="J49" s="7">
        <v>23</v>
      </c>
      <c r="K49" s="67">
        <f t="shared" si="4"/>
        <v>328.55</v>
      </c>
      <c r="L49" s="67">
        <f t="shared" si="5"/>
        <v>237.16</v>
      </c>
      <c r="M49" s="67">
        <f t="shared" si="6"/>
        <v>91.390000000000015</v>
      </c>
      <c r="N49" s="67">
        <f t="shared" si="7"/>
        <v>57989.51</v>
      </c>
    </row>
    <row r="50" spans="1:19" ht="15" customHeight="1" x14ac:dyDescent="0.35">
      <c r="A50" s="7">
        <v>24</v>
      </c>
      <c r="B50" s="67">
        <f t="shared" si="0"/>
        <v>328.55</v>
      </c>
      <c r="C50" s="67">
        <f t="shared" si="1"/>
        <v>236.79</v>
      </c>
      <c r="D50" s="67">
        <f t="shared" si="2"/>
        <v>91.760000000000019</v>
      </c>
      <c r="E50" s="67">
        <f t="shared" si="3"/>
        <v>57897.75</v>
      </c>
      <c r="J50" s="7">
        <v>24</v>
      </c>
      <c r="K50" s="67">
        <f t="shared" si="4"/>
        <v>328.55</v>
      </c>
      <c r="L50" s="67">
        <f t="shared" si="5"/>
        <v>236.79</v>
      </c>
      <c r="M50" s="67">
        <f t="shared" si="6"/>
        <v>91.760000000000019</v>
      </c>
      <c r="N50" s="67">
        <f t="shared" si="7"/>
        <v>57897.75</v>
      </c>
      <c r="P50" s="69"/>
      <c r="Q50" s="70"/>
      <c r="R50" s="71"/>
      <c r="S50" s="70"/>
    </row>
    <row r="51" spans="1:19" ht="15" customHeight="1" x14ac:dyDescent="0.35">
      <c r="A51" s="7">
        <v>25</v>
      </c>
      <c r="B51" s="67">
        <f t="shared" si="0"/>
        <v>328.55</v>
      </c>
      <c r="C51" s="67">
        <f t="shared" si="1"/>
        <v>236.42</v>
      </c>
      <c r="D51" s="67">
        <f t="shared" si="2"/>
        <v>92.130000000000024</v>
      </c>
      <c r="E51" s="67">
        <f t="shared" si="3"/>
        <v>57805.62</v>
      </c>
      <c r="J51" s="7">
        <v>25</v>
      </c>
      <c r="K51" s="67">
        <f t="shared" si="4"/>
        <v>328.55</v>
      </c>
      <c r="L51" s="67">
        <f t="shared" si="5"/>
        <v>236.42</v>
      </c>
      <c r="M51" s="67">
        <f t="shared" si="6"/>
        <v>92.130000000000024</v>
      </c>
      <c r="N51" s="67">
        <f t="shared" si="7"/>
        <v>57805.62</v>
      </c>
      <c r="Q51" s="16"/>
      <c r="R51" s="15"/>
      <c r="S51" s="72"/>
    </row>
    <row r="52" spans="1:19" ht="15" customHeight="1" x14ac:dyDescent="0.35">
      <c r="A52" s="7">
        <v>26</v>
      </c>
      <c r="B52" s="67">
        <f t="shared" si="0"/>
        <v>328.55</v>
      </c>
      <c r="C52" s="67">
        <f t="shared" si="1"/>
        <v>236.04</v>
      </c>
      <c r="D52" s="67">
        <f t="shared" si="2"/>
        <v>92.510000000000019</v>
      </c>
      <c r="E52" s="67">
        <f t="shared" si="3"/>
        <v>57713.11</v>
      </c>
      <c r="J52" s="7">
        <v>26</v>
      </c>
      <c r="K52" s="67">
        <f t="shared" si="4"/>
        <v>328.55</v>
      </c>
      <c r="L52" s="67">
        <f t="shared" si="5"/>
        <v>236.04</v>
      </c>
      <c r="M52" s="67">
        <f t="shared" si="6"/>
        <v>92.510000000000019</v>
      </c>
      <c r="N52" s="67">
        <f t="shared" si="7"/>
        <v>57713.11</v>
      </c>
      <c r="Q52" s="73"/>
      <c r="R52" s="15"/>
      <c r="S52" s="72"/>
    </row>
    <row r="53" spans="1:19" ht="15" customHeight="1" x14ac:dyDescent="0.35">
      <c r="A53" s="7">
        <v>27</v>
      </c>
      <c r="B53" s="67">
        <f t="shared" si="0"/>
        <v>328.55</v>
      </c>
      <c r="C53" s="67">
        <f t="shared" si="1"/>
        <v>235.66</v>
      </c>
      <c r="D53" s="67">
        <f t="shared" si="2"/>
        <v>92.890000000000015</v>
      </c>
      <c r="E53" s="67">
        <f t="shared" si="3"/>
        <v>57620.22</v>
      </c>
      <c r="J53" s="7">
        <v>27</v>
      </c>
      <c r="K53" s="67">
        <f t="shared" si="4"/>
        <v>328.55</v>
      </c>
      <c r="L53" s="67">
        <f t="shared" si="5"/>
        <v>235.66</v>
      </c>
      <c r="M53" s="67">
        <f t="shared" si="6"/>
        <v>92.890000000000015</v>
      </c>
      <c r="N53" s="67">
        <f t="shared" si="7"/>
        <v>57620.22</v>
      </c>
    </row>
    <row r="54" spans="1:19" ht="15" customHeight="1" x14ac:dyDescent="0.35">
      <c r="A54" s="7">
        <v>28</v>
      </c>
      <c r="B54" s="67">
        <f t="shared" si="0"/>
        <v>328.55</v>
      </c>
      <c r="C54" s="67">
        <f t="shared" si="1"/>
        <v>235.28</v>
      </c>
      <c r="D54" s="67">
        <f t="shared" si="2"/>
        <v>93.27000000000001</v>
      </c>
      <c r="E54" s="67">
        <f t="shared" si="3"/>
        <v>57526.950000000004</v>
      </c>
      <c r="J54" s="7">
        <v>28</v>
      </c>
      <c r="K54" s="67">
        <f t="shared" si="4"/>
        <v>328.55</v>
      </c>
      <c r="L54" s="67">
        <f t="shared" si="5"/>
        <v>235.28</v>
      </c>
      <c r="M54" s="67">
        <f t="shared" si="6"/>
        <v>93.27000000000001</v>
      </c>
      <c r="N54" s="67">
        <f t="shared" si="7"/>
        <v>57526.950000000004</v>
      </c>
    </row>
    <row r="55" spans="1:19" ht="15" customHeight="1" x14ac:dyDescent="0.35">
      <c r="A55" s="7">
        <v>29</v>
      </c>
      <c r="B55" s="67">
        <f t="shared" si="0"/>
        <v>328.55</v>
      </c>
      <c r="C55" s="67">
        <f t="shared" si="1"/>
        <v>234.9</v>
      </c>
      <c r="D55" s="67">
        <f t="shared" si="2"/>
        <v>93.65</v>
      </c>
      <c r="E55" s="67">
        <f t="shared" si="3"/>
        <v>57433.3</v>
      </c>
      <c r="J55" s="7">
        <v>29</v>
      </c>
      <c r="K55" s="67">
        <f t="shared" si="4"/>
        <v>328.55</v>
      </c>
      <c r="L55" s="67">
        <f t="shared" si="5"/>
        <v>234.9</v>
      </c>
      <c r="M55" s="67">
        <f t="shared" si="6"/>
        <v>93.65</v>
      </c>
      <c r="N55" s="67">
        <f t="shared" si="7"/>
        <v>57433.3</v>
      </c>
    </row>
    <row r="56" spans="1:19" ht="15" customHeight="1" x14ac:dyDescent="0.35">
      <c r="A56" s="7">
        <v>30</v>
      </c>
      <c r="B56" s="67">
        <f t="shared" si="0"/>
        <v>328.55</v>
      </c>
      <c r="C56" s="67">
        <f t="shared" si="1"/>
        <v>234.52</v>
      </c>
      <c r="D56" s="67">
        <f t="shared" si="2"/>
        <v>94.03</v>
      </c>
      <c r="E56" s="67">
        <f t="shared" si="3"/>
        <v>57339.270000000004</v>
      </c>
      <c r="J56" s="7">
        <v>30</v>
      </c>
      <c r="K56" s="67">
        <f t="shared" si="4"/>
        <v>328.55</v>
      </c>
      <c r="L56" s="67">
        <f t="shared" si="5"/>
        <v>234.52</v>
      </c>
      <c r="M56" s="67">
        <f t="shared" si="6"/>
        <v>94.03</v>
      </c>
      <c r="N56" s="67">
        <f t="shared" si="7"/>
        <v>57339.270000000004</v>
      </c>
      <c r="Q56" s="74"/>
      <c r="R56" s="18"/>
    </row>
    <row r="57" spans="1:19" ht="15" customHeight="1" x14ac:dyDescent="0.35">
      <c r="A57" s="7">
        <v>31</v>
      </c>
      <c r="B57" s="67">
        <f t="shared" si="0"/>
        <v>328.55</v>
      </c>
      <c r="C57" s="67">
        <f t="shared" si="1"/>
        <v>234.14</v>
      </c>
      <c r="D57" s="67">
        <f t="shared" si="2"/>
        <v>94.410000000000025</v>
      </c>
      <c r="E57" s="67">
        <f t="shared" si="3"/>
        <v>57244.86</v>
      </c>
      <c r="J57" s="7">
        <v>31</v>
      </c>
      <c r="K57" s="67">
        <f t="shared" si="4"/>
        <v>328.55</v>
      </c>
      <c r="L57" s="67">
        <f t="shared" si="5"/>
        <v>234.14</v>
      </c>
      <c r="M57" s="67">
        <f t="shared" si="6"/>
        <v>94.410000000000025</v>
      </c>
      <c r="N57" s="67">
        <f t="shared" si="7"/>
        <v>57244.86</v>
      </c>
    </row>
    <row r="58" spans="1:19" ht="15" customHeight="1" x14ac:dyDescent="0.35">
      <c r="A58" s="7">
        <v>32</v>
      </c>
      <c r="B58" s="67">
        <f t="shared" si="0"/>
        <v>328.55</v>
      </c>
      <c r="C58" s="67">
        <f t="shared" si="1"/>
        <v>233.75</v>
      </c>
      <c r="D58" s="67">
        <f t="shared" si="2"/>
        <v>94.800000000000011</v>
      </c>
      <c r="E58" s="67">
        <f t="shared" si="3"/>
        <v>57150.06</v>
      </c>
      <c r="J58" s="7">
        <v>32</v>
      </c>
      <c r="K58" s="67">
        <f t="shared" si="4"/>
        <v>328.55</v>
      </c>
      <c r="L58" s="67">
        <f t="shared" si="5"/>
        <v>233.75</v>
      </c>
      <c r="M58" s="67">
        <f t="shared" si="6"/>
        <v>94.800000000000011</v>
      </c>
      <c r="N58" s="67">
        <f t="shared" si="7"/>
        <v>57150.06</v>
      </c>
    </row>
    <row r="59" spans="1:19" ht="15" customHeight="1" x14ac:dyDescent="0.35">
      <c r="A59" s="7">
        <v>33</v>
      </c>
      <c r="B59" s="67">
        <f t="shared" si="0"/>
        <v>328.55</v>
      </c>
      <c r="C59" s="67">
        <f t="shared" si="1"/>
        <v>233.36</v>
      </c>
      <c r="D59" s="67">
        <f t="shared" si="2"/>
        <v>95.19</v>
      </c>
      <c r="E59" s="67">
        <f t="shared" si="3"/>
        <v>57054.869999999995</v>
      </c>
      <c r="J59" s="7">
        <v>33</v>
      </c>
      <c r="K59" s="67">
        <f t="shared" si="4"/>
        <v>328.55</v>
      </c>
      <c r="L59" s="67">
        <f t="shared" si="5"/>
        <v>233.36</v>
      </c>
      <c r="M59" s="67">
        <f t="shared" si="6"/>
        <v>95.19</v>
      </c>
      <c r="N59" s="67">
        <f t="shared" si="7"/>
        <v>57054.869999999995</v>
      </c>
    </row>
    <row r="60" spans="1:19" ht="15" customHeight="1" x14ac:dyDescent="0.35">
      <c r="A60" s="7">
        <v>34</v>
      </c>
      <c r="B60" s="67">
        <f t="shared" si="0"/>
        <v>328.55</v>
      </c>
      <c r="C60" s="67">
        <f t="shared" si="1"/>
        <v>232.97</v>
      </c>
      <c r="D60" s="67">
        <f t="shared" si="2"/>
        <v>95.580000000000013</v>
      </c>
      <c r="E60" s="67">
        <f t="shared" si="3"/>
        <v>56959.289999999994</v>
      </c>
      <c r="J60" s="7">
        <v>34</v>
      </c>
      <c r="K60" s="67">
        <f t="shared" si="4"/>
        <v>328.55</v>
      </c>
      <c r="L60" s="67">
        <f t="shared" si="5"/>
        <v>232.97</v>
      </c>
      <c r="M60" s="67">
        <f t="shared" si="6"/>
        <v>95.580000000000013</v>
      </c>
      <c r="N60" s="67">
        <f t="shared" si="7"/>
        <v>56959.289999999994</v>
      </c>
    </row>
    <row r="61" spans="1:19" ht="15" customHeight="1" x14ac:dyDescent="0.35">
      <c r="A61" s="7">
        <v>35</v>
      </c>
      <c r="B61" s="67">
        <f t="shared" si="0"/>
        <v>328.55</v>
      </c>
      <c r="C61" s="67">
        <f t="shared" si="1"/>
        <v>232.58</v>
      </c>
      <c r="D61" s="67">
        <f t="shared" si="2"/>
        <v>95.97</v>
      </c>
      <c r="E61" s="67">
        <f t="shared" si="3"/>
        <v>56863.319999999992</v>
      </c>
      <c r="J61" s="7">
        <v>35</v>
      </c>
      <c r="K61" s="67">
        <f t="shared" si="4"/>
        <v>328.55</v>
      </c>
      <c r="L61" s="67">
        <f t="shared" si="5"/>
        <v>232.58</v>
      </c>
      <c r="M61" s="67">
        <f t="shared" si="6"/>
        <v>95.97</v>
      </c>
      <c r="N61" s="67">
        <f t="shared" si="7"/>
        <v>56863.319999999992</v>
      </c>
    </row>
    <row r="62" spans="1:19" ht="15" customHeight="1" x14ac:dyDescent="0.35">
      <c r="A62" s="7">
        <v>36</v>
      </c>
      <c r="B62" s="67">
        <f t="shared" si="0"/>
        <v>328.55</v>
      </c>
      <c r="C62" s="67">
        <f t="shared" si="1"/>
        <v>232.19</v>
      </c>
      <c r="D62" s="67">
        <f t="shared" si="2"/>
        <v>96.360000000000014</v>
      </c>
      <c r="E62" s="67">
        <f t="shared" si="3"/>
        <v>56766.959999999992</v>
      </c>
      <c r="J62" s="7">
        <v>36</v>
      </c>
      <c r="K62" s="67">
        <f t="shared" si="4"/>
        <v>328.55</v>
      </c>
      <c r="L62" s="67">
        <f t="shared" si="5"/>
        <v>232.19</v>
      </c>
      <c r="M62" s="67">
        <f t="shared" si="6"/>
        <v>96.360000000000014</v>
      </c>
      <c r="N62" s="67">
        <f t="shared" si="7"/>
        <v>56766.959999999992</v>
      </c>
      <c r="P62" s="69"/>
      <c r="Q62" s="70"/>
      <c r="R62" s="71"/>
      <c r="S62" s="70"/>
    </row>
    <row r="63" spans="1:19" ht="15" customHeight="1" x14ac:dyDescent="0.35">
      <c r="A63" s="7">
        <v>37</v>
      </c>
      <c r="B63" s="67">
        <f t="shared" si="0"/>
        <v>328.55</v>
      </c>
      <c r="C63" s="67">
        <f t="shared" si="1"/>
        <v>231.8</v>
      </c>
      <c r="D63" s="67">
        <f t="shared" si="2"/>
        <v>96.75</v>
      </c>
      <c r="E63" s="67">
        <f t="shared" si="3"/>
        <v>56670.209999999992</v>
      </c>
      <c r="J63" s="7">
        <v>37</v>
      </c>
      <c r="K63" s="67">
        <f t="shared" si="4"/>
        <v>328.55</v>
      </c>
      <c r="L63" s="67">
        <f t="shared" si="5"/>
        <v>231.8</v>
      </c>
      <c r="M63" s="67">
        <f t="shared" si="6"/>
        <v>96.75</v>
      </c>
      <c r="N63" s="67">
        <f t="shared" si="7"/>
        <v>56670.209999999992</v>
      </c>
      <c r="P63" s="22"/>
      <c r="Q63" s="16"/>
      <c r="R63" s="15"/>
      <c r="S63" s="72"/>
    </row>
    <row r="64" spans="1:19" ht="15" customHeight="1" x14ac:dyDescent="0.35">
      <c r="A64" s="7">
        <v>38</v>
      </c>
      <c r="B64" s="67">
        <f t="shared" si="0"/>
        <v>328.55</v>
      </c>
      <c r="C64" s="67">
        <f t="shared" si="1"/>
        <v>231.4</v>
      </c>
      <c r="D64" s="67">
        <f t="shared" si="2"/>
        <v>97.15</v>
      </c>
      <c r="E64" s="67">
        <f t="shared" si="3"/>
        <v>56573.05999999999</v>
      </c>
      <c r="J64" s="7">
        <v>38</v>
      </c>
      <c r="K64" s="67">
        <f t="shared" si="4"/>
        <v>328.55</v>
      </c>
      <c r="L64" s="67">
        <f t="shared" si="5"/>
        <v>231.4</v>
      </c>
      <c r="M64" s="67">
        <f t="shared" si="6"/>
        <v>97.15</v>
      </c>
      <c r="N64" s="67">
        <f t="shared" si="7"/>
        <v>56573.05999999999</v>
      </c>
      <c r="P64" s="22"/>
      <c r="Q64" s="73"/>
      <c r="R64" s="15"/>
      <c r="S64" s="72"/>
    </row>
    <row r="65" spans="1:18" ht="15" customHeight="1" x14ac:dyDescent="0.35">
      <c r="A65" s="7">
        <v>39</v>
      </c>
      <c r="B65" s="67">
        <f t="shared" si="0"/>
        <v>328.55</v>
      </c>
      <c r="C65" s="67">
        <f t="shared" si="1"/>
        <v>231.01</v>
      </c>
      <c r="D65" s="67">
        <f t="shared" si="2"/>
        <v>97.54000000000002</v>
      </c>
      <c r="E65" s="67">
        <f t="shared" si="3"/>
        <v>56475.51999999999</v>
      </c>
      <c r="J65" s="7">
        <v>39</v>
      </c>
      <c r="K65" s="67">
        <f t="shared" si="4"/>
        <v>328.55</v>
      </c>
      <c r="L65" s="67">
        <f t="shared" si="5"/>
        <v>231.01</v>
      </c>
      <c r="M65" s="67">
        <f t="shared" si="6"/>
        <v>97.54000000000002</v>
      </c>
      <c r="N65" s="67">
        <f t="shared" si="7"/>
        <v>56475.51999999999</v>
      </c>
    </row>
    <row r="66" spans="1:18" ht="15" customHeight="1" x14ac:dyDescent="0.35">
      <c r="A66" s="7">
        <v>40</v>
      </c>
      <c r="B66" s="67">
        <f t="shared" si="0"/>
        <v>328.55</v>
      </c>
      <c r="C66" s="67">
        <f t="shared" si="1"/>
        <v>230.61</v>
      </c>
      <c r="D66" s="67">
        <f t="shared" si="2"/>
        <v>97.94</v>
      </c>
      <c r="E66" s="67">
        <f t="shared" si="3"/>
        <v>56377.579999999987</v>
      </c>
      <c r="J66" s="7">
        <v>40</v>
      </c>
      <c r="K66" s="67">
        <f t="shared" si="4"/>
        <v>328.55</v>
      </c>
      <c r="L66" s="67">
        <f t="shared" si="5"/>
        <v>230.61</v>
      </c>
      <c r="M66" s="67">
        <f t="shared" si="6"/>
        <v>97.94</v>
      </c>
      <c r="N66" s="67">
        <f t="shared" si="7"/>
        <v>56377.579999999987</v>
      </c>
    </row>
    <row r="67" spans="1:18" ht="15" customHeight="1" x14ac:dyDescent="0.35">
      <c r="A67" s="7">
        <v>41</v>
      </c>
      <c r="B67" s="67">
        <f t="shared" si="0"/>
        <v>328.55</v>
      </c>
      <c r="C67" s="67">
        <f t="shared" si="1"/>
        <v>230.21</v>
      </c>
      <c r="D67" s="67">
        <f t="shared" si="2"/>
        <v>98.34</v>
      </c>
      <c r="E67" s="67">
        <f t="shared" si="3"/>
        <v>56279.239999999991</v>
      </c>
      <c r="J67" s="7">
        <v>41</v>
      </c>
      <c r="K67" s="67">
        <f t="shared" si="4"/>
        <v>328.55</v>
      </c>
      <c r="L67" s="67">
        <f t="shared" si="5"/>
        <v>230.21</v>
      </c>
      <c r="M67" s="67">
        <f t="shared" si="6"/>
        <v>98.34</v>
      </c>
      <c r="N67" s="67">
        <f t="shared" si="7"/>
        <v>56279.239999999991</v>
      </c>
    </row>
    <row r="68" spans="1:18" ht="15" customHeight="1" x14ac:dyDescent="0.35">
      <c r="A68" s="7">
        <v>42</v>
      </c>
      <c r="B68" s="67">
        <f t="shared" si="0"/>
        <v>328.55</v>
      </c>
      <c r="C68" s="67">
        <f t="shared" si="1"/>
        <v>229.81</v>
      </c>
      <c r="D68" s="67">
        <f t="shared" si="2"/>
        <v>98.740000000000009</v>
      </c>
      <c r="E68" s="67">
        <f t="shared" si="3"/>
        <v>56180.499999999993</v>
      </c>
      <c r="J68" s="7">
        <v>42</v>
      </c>
      <c r="K68" s="67">
        <f t="shared" si="4"/>
        <v>328.55</v>
      </c>
      <c r="L68" s="67">
        <f t="shared" si="5"/>
        <v>229.81</v>
      </c>
      <c r="M68" s="67">
        <f t="shared" si="6"/>
        <v>98.740000000000009</v>
      </c>
      <c r="N68" s="67">
        <f t="shared" si="7"/>
        <v>56180.499999999993</v>
      </c>
      <c r="Q68" s="74"/>
      <c r="R68" s="18"/>
    </row>
    <row r="69" spans="1:18" ht="15" customHeight="1" x14ac:dyDescent="0.35">
      <c r="A69" s="7">
        <v>43</v>
      </c>
      <c r="B69" s="67">
        <f t="shared" si="0"/>
        <v>328.55</v>
      </c>
      <c r="C69" s="67">
        <f t="shared" si="1"/>
        <v>229.4</v>
      </c>
      <c r="D69" s="67">
        <f t="shared" si="2"/>
        <v>99.15</v>
      </c>
      <c r="E69" s="67">
        <f t="shared" si="3"/>
        <v>56081.349999999991</v>
      </c>
      <c r="J69" s="7">
        <v>43</v>
      </c>
      <c r="K69" s="67">
        <f t="shared" si="4"/>
        <v>328.55</v>
      </c>
      <c r="L69" s="67">
        <f t="shared" si="5"/>
        <v>229.4</v>
      </c>
      <c r="M69" s="67">
        <f t="shared" si="6"/>
        <v>99.15</v>
      </c>
      <c r="N69" s="67">
        <f t="shared" si="7"/>
        <v>56081.349999999991</v>
      </c>
    </row>
    <row r="70" spans="1:18" ht="15" customHeight="1" x14ac:dyDescent="0.35">
      <c r="A70" s="7">
        <v>44</v>
      </c>
      <c r="B70" s="67">
        <f t="shared" si="0"/>
        <v>328.55</v>
      </c>
      <c r="C70" s="67">
        <f t="shared" si="1"/>
        <v>229</v>
      </c>
      <c r="D70" s="67">
        <f t="shared" si="2"/>
        <v>99.550000000000011</v>
      </c>
      <c r="E70" s="67">
        <f t="shared" si="3"/>
        <v>55981.799999999988</v>
      </c>
      <c r="J70" s="7">
        <v>44</v>
      </c>
      <c r="K70" s="67">
        <f t="shared" si="4"/>
        <v>328.55</v>
      </c>
      <c r="L70" s="67">
        <f t="shared" si="5"/>
        <v>229</v>
      </c>
      <c r="M70" s="67">
        <f t="shared" si="6"/>
        <v>99.550000000000011</v>
      </c>
      <c r="N70" s="67">
        <f t="shared" si="7"/>
        <v>55981.799999999988</v>
      </c>
    </row>
    <row r="71" spans="1:18" ht="15" customHeight="1" x14ac:dyDescent="0.35">
      <c r="A71" s="7">
        <v>45</v>
      </c>
      <c r="B71" s="67">
        <f t="shared" si="0"/>
        <v>328.55</v>
      </c>
      <c r="C71" s="67">
        <f t="shared" si="1"/>
        <v>228.59</v>
      </c>
      <c r="D71" s="67">
        <f t="shared" si="2"/>
        <v>99.960000000000008</v>
      </c>
      <c r="E71" s="67">
        <f t="shared" si="3"/>
        <v>55881.839999999989</v>
      </c>
      <c r="J71" s="7">
        <v>45</v>
      </c>
      <c r="K71" s="67">
        <f t="shared" si="4"/>
        <v>328.55</v>
      </c>
      <c r="L71" s="67">
        <f t="shared" si="5"/>
        <v>228.59</v>
      </c>
      <c r="M71" s="67">
        <f t="shared" si="6"/>
        <v>99.960000000000008</v>
      </c>
      <c r="N71" s="67">
        <f t="shared" si="7"/>
        <v>55881.839999999989</v>
      </c>
    </row>
    <row r="72" spans="1:18" ht="15" customHeight="1" x14ac:dyDescent="0.35">
      <c r="A72" s="7">
        <v>46</v>
      </c>
      <c r="B72" s="67">
        <f t="shared" si="0"/>
        <v>328.55</v>
      </c>
      <c r="C72" s="67">
        <f t="shared" si="1"/>
        <v>228.18</v>
      </c>
      <c r="D72" s="67">
        <f t="shared" si="2"/>
        <v>100.37</v>
      </c>
      <c r="E72" s="67">
        <f t="shared" si="3"/>
        <v>55781.469999999987</v>
      </c>
      <c r="J72" s="7">
        <v>46</v>
      </c>
      <c r="K72" s="67">
        <f t="shared" si="4"/>
        <v>328.55</v>
      </c>
      <c r="L72" s="67">
        <f t="shared" si="5"/>
        <v>228.18</v>
      </c>
      <c r="M72" s="67">
        <f t="shared" si="6"/>
        <v>100.37</v>
      </c>
      <c r="N72" s="67">
        <f t="shared" si="7"/>
        <v>55781.469999999987</v>
      </c>
    </row>
    <row r="73" spans="1:18" ht="15" customHeight="1" x14ac:dyDescent="0.35">
      <c r="A73" s="7">
        <v>47</v>
      </c>
      <c r="B73" s="67">
        <f t="shared" si="0"/>
        <v>328.55</v>
      </c>
      <c r="C73" s="67">
        <f t="shared" si="1"/>
        <v>227.77</v>
      </c>
      <c r="D73" s="67">
        <f t="shared" si="2"/>
        <v>100.78</v>
      </c>
      <c r="E73" s="67">
        <f t="shared" si="3"/>
        <v>55680.689999999988</v>
      </c>
      <c r="J73" s="7">
        <v>47</v>
      </c>
      <c r="K73" s="67">
        <f t="shared" si="4"/>
        <v>328.55</v>
      </c>
      <c r="L73" s="67">
        <f t="shared" si="5"/>
        <v>227.77</v>
      </c>
      <c r="M73" s="67">
        <f t="shared" si="6"/>
        <v>100.78</v>
      </c>
      <c r="N73" s="67">
        <f t="shared" si="7"/>
        <v>55680.689999999988</v>
      </c>
    </row>
    <row r="74" spans="1:18" ht="15" customHeight="1" x14ac:dyDescent="0.35">
      <c r="A74" s="7">
        <v>48</v>
      </c>
      <c r="B74" s="67">
        <f t="shared" si="0"/>
        <v>328.55</v>
      </c>
      <c r="C74" s="67">
        <f t="shared" si="1"/>
        <v>227.36</v>
      </c>
      <c r="D74" s="67">
        <f t="shared" si="2"/>
        <v>101.19</v>
      </c>
      <c r="E74" s="67">
        <f t="shared" si="3"/>
        <v>55579.499999999985</v>
      </c>
      <c r="J74" s="7">
        <v>48</v>
      </c>
      <c r="K74" s="67">
        <f t="shared" si="4"/>
        <v>328.55</v>
      </c>
      <c r="L74" s="67">
        <f t="shared" si="5"/>
        <v>227.36</v>
      </c>
      <c r="M74" s="67">
        <f t="shared" si="6"/>
        <v>101.19</v>
      </c>
      <c r="N74" s="67">
        <f t="shared" si="7"/>
        <v>55579.499999999985</v>
      </c>
    </row>
    <row r="75" spans="1:18" ht="15" customHeight="1" x14ac:dyDescent="0.35">
      <c r="A75" s="7">
        <v>49</v>
      </c>
      <c r="B75" s="67">
        <f t="shared" si="0"/>
        <v>328.55</v>
      </c>
      <c r="C75" s="67">
        <f t="shared" si="1"/>
        <v>226.95</v>
      </c>
      <c r="D75" s="67">
        <f t="shared" si="2"/>
        <v>101.60000000000002</v>
      </c>
      <c r="E75" s="67">
        <f t="shared" si="3"/>
        <v>55477.899999999987</v>
      </c>
      <c r="J75" s="7">
        <v>49</v>
      </c>
      <c r="K75" s="67">
        <f t="shared" si="4"/>
        <v>328.55</v>
      </c>
      <c r="L75" s="67">
        <f t="shared" si="5"/>
        <v>226.95</v>
      </c>
      <c r="M75" s="67">
        <f t="shared" si="6"/>
        <v>101.60000000000002</v>
      </c>
      <c r="N75" s="67">
        <f t="shared" si="7"/>
        <v>55477.899999999987</v>
      </c>
    </row>
    <row r="76" spans="1:18" ht="15" customHeight="1" x14ac:dyDescent="0.35">
      <c r="A76" s="7">
        <v>50</v>
      </c>
      <c r="B76" s="67">
        <f t="shared" si="0"/>
        <v>328.55</v>
      </c>
      <c r="C76" s="67">
        <f t="shared" si="1"/>
        <v>226.53</v>
      </c>
      <c r="D76" s="67">
        <f t="shared" si="2"/>
        <v>102.02000000000001</v>
      </c>
      <c r="E76" s="67">
        <f t="shared" si="3"/>
        <v>55375.87999999999</v>
      </c>
      <c r="J76" s="7">
        <v>50</v>
      </c>
      <c r="K76" s="67">
        <f t="shared" si="4"/>
        <v>328.55</v>
      </c>
      <c r="L76" s="67">
        <f t="shared" si="5"/>
        <v>226.53</v>
      </c>
      <c r="M76" s="67">
        <f t="shared" si="6"/>
        <v>102.02000000000001</v>
      </c>
      <c r="N76" s="67">
        <f t="shared" si="7"/>
        <v>55375.87999999999</v>
      </c>
    </row>
    <row r="77" spans="1:18" ht="15" customHeight="1" x14ac:dyDescent="0.35">
      <c r="A77" s="7">
        <v>51</v>
      </c>
      <c r="B77" s="67">
        <f t="shared" si="0"/>
        <v>328.55</v>
      </c>
      <c r="C77" s="67">
        <f t="shared" si="1"/>
        <v>226.12</v>
      </c>
      <c r="D77" s="67">
        <f t="shared" si="2"/>
        <v>102.43</v>
      </c>
      <c r="E77" s="67">
        <f t="shared" si="3"/>
        <v>55273.44999999999</v>
      </c>
      <c r="J77" s="7">
        <v>51</v>
      </c>
      <c r="K77" s="67">
        <f t="shared" si="4"/>
        <v>328.55</v>
      </c>
      <c r="L77" s="67">
        <f t="shared" si="5"/>
        <v>226.12</v>
      </c>
      <c r="M77" s="67">
        <f t="shared" si="6"/>
        <v>102.43</v>
      </c>
      <c r="N77" s="67">
        <f t="shared" si="7"/>
        <v>55273.44999999999</v>
      </c>
    </row>
    <row r="78" spans="1:18" ht="15" customHeight="1" x14ac:dyDescent="0.35">
      <c r="A78" s="7">
        <v>52</v>
      </c>
      <c r="B78" s="67">
        <f t="shared" si="0"/>
        <v>328.55</v>
      </c>
      <c r="C78" s="67">
        <f t="shared" si="1"/>
        <v>225.7</v>
      </c>
      <c r="D78" s="67">
        <f t="shared" si="2"/>
        <v>102.85000000000002</v>
      </c>
      <c r="E78" s="67">
        <f t="shared" si="3"/>
        <v>55170.599999999991</v>
      </c>
      <c r="J78" s="7">
        <v>52</v>
      </c>
      <c r="K78" s="67">
        <f t="shared" si="4"/>
        <v>328.55</v>
      </c>
      <c r="L78" s="67">
        <f t="shared" si="5"/>
        <v>225.7</v>
      </c>
      <c r="M78" s="67">
        <f t="shared" si="6"/>
        <v>102.85000000000002</v>
      </c>
      <c r="N78" s="67">
        <f t="shared" si="7"/>
        <v>55170.599999999991</v>
      </c>
    </row>
    <row r="79" spans="1:18" ht="15" customHeight="1" x14ac:dyDescent="0.35">
      <c r="A79" s="7">
        <v>53</v>
      </c>
      <c r="B79" s="67">
        <f t="shared" si="0"/>
        <v>328.55</v>
      </c>
      <c r="C79" s="67">
        <f t="shared" si="1"/>
        <v>225.28</v>
      </c>
      <c r="D79" s="67">
        <f t="shared" si="2"/>
        <v>103.27000000000001</v>
      </c>
      <c r="E79" s="67">
        <f t="shared" si="3"/>
        <v>55067.329999999994</v>
      </c>
      <c r="J79" s="7">
        <v>53</v>
      </c>
      <c r="K79" s="67">
        <f t="shared" si="4"/>
        <v>328.55</v>
      </c>
      <c r="L79" s="67">
        <f t="shared" si="5"/>
        <v>225.28</v>
      </c>
      <c r="M79" s="67">
        <f t="shared" si="6"/>
        <v>103.27000000000001</v>
      </c>
      <c r="N79" s="67">
        <f t="shared" si="7"/>
        <v>55067.329999999994</v>
      </c>
    </row>
    <row r="80" spans="1:18" ht="15" customHeight="1" x14ac:dyDescent="0.35">
      <c r="A80" s="7">
        <v>54</v>
      </c>
      <c r="B80" s="67">
        <f t="shared" si="0"/>
        <v>328.55</v>
      </c>
      <c r="C80" s="67">
        <f t="shared" si="1"/>
        <v>224.86</v>
      </c>
      <c r="D80" s="67">
        <f t="shared" si="2"/>
        <v>103.69</v>
      </c>
      <c r="E80" s="67">
        <f t="shared" si="3"/>
        <v>54963.639999999992</v>
      </c>
      <c r="J80" s="7">
        <v>54</v>
      </c>
      <c r="K80" s="67">
        <f t="shared" si="4"/>
        <v>328.55</v>
      </c>
      <c r="L80" s="67">
        <f t="shared" si="5"/>
        <v>224.86</v>
      </c>
      <c r="M80" s="67">
        <f t="shared" si="6"/>
        <v>103.69</v>
      </c>
      <c r="N80" s="67">
        <f t="shared" si="7"/>
        <v>54963.639999999992</v>
      </c>
    </row>
    <row r="81" spans="1:18" ht="15" customHeight="1" x14ac:dyDescent="0.35">
      <c r="A81" s="7">
        <v>55</v>
      </c>
      <c r="B81" s="67">
        <f t="shared" si="0"/>
        <v>328.55</v>
      </c>
      <c r="C81" s="67">
        <f t="shared" si="1"/>
        <v>224.43</v>
      </c>
      <c r="D81" s="67">
        <f t="shared" si="2"/>
        <v>104.12</v>
      </c>
      <c r="E81" s="67">
        <f t="shared" si="3"/>
        <v>54859.51999999999</v>
      </c>
      <c r="J81" s="7">
        <v>55</v>
      </c>
      <c r="K81" s="67">
        <f t="shared" si="4"/>
        <v>328.55</v>
      </c>
      <c r="L81" s="67">
        <f t="shared" si="5"/>
        <v>224.43</v>
      </c>
      <c r="M81" s="67">
        <f t="shared" si="6"/>
        <v>104.12</v>
      </c>
      <c r="N81" s="67">
        <f t="shared" si="7"/>
        <v>54859.51999999999</v>
      </c>
    </row>
    <row r="82" spans="1:18" ht="15" customHeight="1" x14ac:dyDescent="0.35">
      <c r="A82" s="7">
        <v>56</v>
      </c>
      <c r="B82" s="67">
        <f t="shared" si="0"/>
        <v>328.55</v>
      </c>
      <c r="C82" s="67">
        <f t="shared" si="1"/>
        <v>224.01</v>
      </c>
      <c r="D82" s="67">
        <f t="shared" si="2"/>
        <v>104.54000000000002</v>
      </c>
      <c r="E82" s="67">
        <f t="shared" si="3"/>
        <v>54754.979999999989</v>
      </c>
      <c r="J82" s="7">
        <v>56</v>
      </c>
      <c r="K82" s="67">
        <f t="shared" si="4"/>
        <v>328.55</v>
      </c>
      <c r="L82" s="67">
        <f t="shared" si="5"/>
        <v>224.01</v>
      </c>
      <c r="M82" s="67">
        <f t="shared" si="6"/>
        <v>104.54000000000002</v>
      </c>
      <c r="N82" s="67">
        <f t="shared" si="7"/>
        <v>54754.979999999989</v>
      </c>
    </row>
    <row r="83" spans="1:18" ht="15" customHeight="1" x14ac:dyDescent="0.35">
      <c r="A83" s="7">
        <v>57</v>
      </c>
      <c r="B83" s="67">
        <f t="shared" si="0"/>
        <v>328.55</v>
      </c>
      <c r="C83" s="67">
        <f t="shared" si="1"/>
        <v>223.58</v>
      </c>
      <c r="D83" s="67">
        <f t="shared" si="2"/>
        <v>104.97</v>
      </c>
      <c r="E83" s="67">
        <f t="shared" si="3"/>
        <v>54650.009999999987</v>
      </c>
      <c r="J83" s="7">
        <v>57</v>
      </c>
      <c r="K83" s="67">
        <f t="shared" si="4"/>
        <v>328.55</v>
      </c>
      <c r="L83" s="67">
        <f t="shared" si="5"/>
        <v>223.58</v>
      </c>
      <c r="M83" s="67">
        <f t="shared" si="6"/>
        <v>104.97</v>
      </c>
      <c r="N83" s="67">
        <f t="shared" si="7"/>
        <v>54650.009999999987</v>
      </c>
    </row>
    <row r="84" spans="1:18" ht="15" customHeight="1" x14ac:dyDescent="0.35">
      <c r="A84" s="7">
        <v>58</v>
      </c>
      <c r="B84" s="67">
        <f t="shared" si="0"/>
        <v>328.55</v>
      </c>
      <c r="C84" s="67">
        <f t="shared" si="1"/>
        <v>223.15</v>
      </c>
      <c r="D84" s="67">
        <f t="shared" si="2"/>
        <v>105.4</v>
      </c>
      <c r="E84" s="67">
        <f t="shared" si="3"/>
        <v>54544.609999999986</v>
      </c>
      <c r="J84" s="7">
        <v>58</v>
      </c>
      <c r="K84" s="67">
        <f t="shared" si="4"/>
        <v>328.55</v>
      </c>
      <c r="L84" s="67">
        <f t="shared" si="5"/>
        <v>223.15</v>
      </c>
      <c r="M84" s="67">
        <f t="shared" si="6"/>
        <v>105.4</v>
      </c>
      <c r="N84" s="67">
        <f t="shared" si="7"/>
        <v>54544.609999999986</v>
      </c>
    </row>
    <row r="85" spans="1:18" ht="15" customHeight="1" x14ac:dyDescent="0.35">
      <c r="A85" s="7">
        <v>59</v>
      </c>
      <c r="B85" s="67">
        <f t="shared" si="0"/>
        <v>328.55</v>
      </c>
      <c r="C85" s="67">
        <f t="shared" si="1"/>
        <v>222.72</v>
      </c>
      <c r="D85" s="67">
        <f t="shared" si="2"/>
        <v>105.83000000000001</v>
      </c>
      <c r="E85" s="67">
        <f t="shared" si="3"/>
        <v>54438.779999999984</v>
      </c>
      <c r="J85" s="7">
        <v>59</v>
      </c>
      <c r="K85" s="67">
        <f t="shared" si="4"/>
        <v>328.55</v>
      </c>
      <c r="L85" s="67">
        <f t="shared" si="5"/>
        <v>222.72</v>
      </c>
      <c r="M85" s="67">
        <f t="shared" si="6"/>
        <v>105.83000000000001</v>
      </c>
      <c r="N85" s="67">
        <f t="shared" si="7"/>
        <v>54438.779999999984</v>
      </c>
    </row>
    <row r="86" spans="1:18" ht="15" customHeight="1" x14ac:dyDescent="0.35">
      <c r="A86" s="7">
        <v>60</v>
      </c>
      <c r="B86" s="67">
        <f t="shared" si="0"/>
        <v>328.55</v>
      </c>
      <c r="C86" s="67">
        <f t="shared" si="1"/>
        <v>222.29</v>
      </c>
      <c r="D86" s="67">
        <f t="shared" si="2"/>
        <v>106.26000000000002</v>
      </c>
      <c r="E86" s="67">
        <f t="shared" si="3"/>
        <v>54332.519999999982</v>
      </c>
      <c r="J86" s="130">
        <v>60</v>
      </c>
      <c r="K86" s="131">
        <f t="shared" si="4"/>
        <v>328.55</v>
      </c>
      <c r="L86" s="131">
        <f t="shared" si="5"/>
        <v>222.29</v>
      </c>
      <c r="M86" s="131">
        <f t="shared" si="6"/>
        <v>106.26000000000002</v>
      </c>
      <c r="N86" s="131">
        <f t="shared" si="7"/>
        <v>54332.519999999982</v>
      </c>
      <c r="P86" s="14" t="s">
        <v>80</v>
      </c>
      <c r="Q86" s="59">
        <f>N86</f>
        <v>54332.519999999982</v>
      </c>
    </row>
    <row r="87" spans="1:18" ht="15" customHeight="1" x14ac:dyDescent="0.35">
      <c r="A87" s="7">
        <v>61</v>
      </c>
      <c r="B87" s="67">
        <f t="shared" si="0"/>
        <v>328.55</v>
      </c>
      <c r="C87" s="67">
        <f t="shared" si="1"/>
        <v>221.86</v>
      </c>
      <c r="D87" s="67">
        <f t="shared" si="2"/>
        <v>106.69</v>
      </c>
      <c r="E87" s="67">
        <f t="shared" si="3"/>
        <v>54225.82999999998</v>
      </c>
      <c r="J87" s="130">
        <v>61</v>
      </c>
      <c r="K87" s="131">
        <f t="shared" ref="K87:K122" si="8">-$Q$96</f>
        <v>347.34</v>
      </c>
      <c r="L87" s="131">
        <f t="shared" ref="L87:L122" si="9">ROUND(N86*$Q$92,2)</f>
        <v>249.02</v>
      </c>
      <c r="M87" s="131">
        <f t="shared" si="6"/>
        <v>98.319999999999965</v>
      </c>
      <c r="N87" s="131">
        <f t="shared" si="7"/>
        <v>54234.199999999983</v>
      </c>
      <c r="P87" s="14" t="s">
        <v>124</v>
      </c>
      <c r="Q87" s="3">
        <f>28-5</f>
        <v>23</v>
      </c>
    </row>
    <row r="88" spans="1:18" ht="15" customHeight="1" x14ac:dyDescent="0.35">
      <c r="A88" s="7">
        <v>62</v>
      </c>
      <c r="B88" s="67">
        <f t="shared" si="0"/>
        <v>328.55</v>
      </c>
      <c r="C88" s="67">
        <f t="shared" si="1"/>
        <v>221.42</v>
      </c>
      <c r="D88" s="67">
        <f t="shared" si="2"/>
        <v>107.13000000000002</v>
      </c>
      <c r="E88" s="67">
        <f t="shared" si="3"/>
        <v>54118.699999999983</v>
      </c>
      <c r="J88" s="7">
        <v>62</v>
      </c>
      <c r="K88" s="67">
        <f t="shared" si="8"/>
        <v>347.34</v>
      </c>
      <c r="L88" s="67">
        <f t="shared" si="9"/>
        <v>248.57</v>
      </c>
      <c r="M88" s="67">
        <f t="shared" si="6"/>
        <v>98.769999999999982</v>
      </c>
      <c r="N88" s="67">
        <f t="shared" si="7"/>
        <v>54135.429999999986</v>
      </c>
      <c r="P88" s="37" t="s">
        <v>81</v>
      </c>
      <c r="Q88" s="16">
        <f>4.9%+0.6%</f>
        <v>5.5E-2</v>
      </c>
    </row>
    <row r="89" spans="1:18" ht="15" customHeight="1" x14ac:dyDescent="0.35">
      <c r="A89" s="7">
        <v>63</v>
      </c>
      <c r="B89" s="67">
        <f t="shared" si="0"/>
        <v>328.55</v>
      </c>
      <c r="C89" s="67">
        <f t="shared" si="1"/>
        <v>220.98</v>
      </c>
      <c r="D89" s="67">
        <f t="shared" si="2"/>
        <v>107.57000000000002</v>
      </c>
      <c r="E89" s="67">
        <f t="shared" si="3"/>
        <v>54011.129999999983</v>
      </c>
      <c r="J89" s="7">
        <v>63</v>
      </c>
      <c r="K89" s="67">
        <f t="shared" si="8"/>
        <v>347.34</v>
      </c>
      <c r="L89" s="67">
        <f t="shared" si="9"/>
        <v>248.12</v>
      </c>
      <c r="M89" s="67">
        <f t="shared" si="6"/>
        <v>99.21999999999997</v>
      </c>
      <c r="N89" s="67">
        <f t="shared" si="7"/>
        <v>54036.209999999985</v>
      </c>
      <c r="P89" s="14" t="s">
        <v>82</v>
      </c>
      <c r="Q89" s="16">
        <f>1+Q88</f>
        <v>1.0549999999999999</v>
      </c>
    </row>
    <row r="90" spans="1:18" ht="15" customHeight="1" x14ac:dyDescent="0.35">
      <c r="A90" s="7">
        <v>64</v>
      </c>
      <c r="B90" s="67">
        <f t="shared" si="0"/>
        <v>328.55</v>
      </c>
      <c r="C90" s="67">
        <f t="shared" si="1"/>
        <v>220.55</v>
      </c>
      <c r="D90" s="67">
        <f t="shared" si="2"/>
        <v>108</v>
      </c>
      <c r="E90" s="67">
        <f t="shared" si="3"/>
        <v>53903.129999999983</v>
      </c>
      <c r="J90" s="7">
        <v>64</v>
      </c>
      <c r="K90" s="67">
        <f t="shared" si="8"/>
        <v>347.34</v>
      </c>
      <c r="L90" s="67">
        <f t="shared" si="9"/>
        <v>247.67</v>
      </c>
      <c r="M90" s="67">
        <f t="shared" si="6"/>
        <v>99.669999999999987</v>
      </c>
      <c r="N90" s="67">
        <f t="shared" si="7"/>
        <v>53936.539999999986</v>
      </c>
      <c r="P90" s="14" t="s">
        <v>125</v>
      </c>
      <c r="Q90" s="22">
        <v>12</v>
      </c>
    </row>
    <row r="91" spans="1:18" ht="15" customHeight="1" x14ac:dyDescent="0.35">
      <c r="A91" s="7">
        <v>65</v>
      </c>
      <c r="B91" s="67">
        <f t="shared" si="0"/>
        <v>328.55</v>
      </c>
      <c r="C91" s="67">
        <f t="shared" si="1"/>
        <v>220.1</v>
      </c>
      <c r="D91" s="67">
        <f t="shared" si="2"/>
        <v>108.45000000000002</v>
      </c>
      <c r="E91" s="67">
        <f t="shared" si="3"/>
        <v>53794.679999999986</v>
      </c>
      <c r="J91" s="7">
        <v>65</v>
      </c>
      <c r="K91" s="67">
        <f t="shared" si="8"/>
        <v>347.34</v>
      </c>
      <c r="L91" s="67">
        <f t="shared" si="9"/>
        <v>247.21</v>
      </c>
      <c r="M91" s="67">
        <f t="shared" si="6"/>
        <v>100.12999999999997</v>
      </c>
      <c r="N91" s="67">
        <f t="shared" si="7"/>
        <v>53836.409999999989</v>
      </c>
      <c r="P91" s="221" t="s">
        <v>126</v>
      </c>
      <c r="Q91" s="217"/>
    </row>
    <row r="92" spans="1:18" ht="15" customHeight="1" x14ac:dyDescent="0.35">
      <c r="A92" s="7">
        <v>66</v>
      </c>
      <c r="B92" s="67">
        <f t="shared" si="0"/>
        <v>328.55</v>
      </c>
      <c r="C92" s="67">
        <f t="shared" si="1"/>
        <v>219.66</v>
      </c>
      <c r="D92" s="67">
        <f t="shared" si="2"/>
        <v>108.89000000000001</v>
      </c>
      <c r="E92" s="67">
        <f t="shared" si="3"/>
        <v>53685.789999999986</v>
      </c>
      <c r="J92" s="7">
        <v>66</v>
      </c>
      <c r="K92" s="67">
        <f t="shared" si="8"/>
        <v>347.34</v>
      </c>
      <c r="L92" s="67">
        <f t="shared" si="9"/>
        <v>246.75</v>
      </c>
      <c r="M92" s="67">
        <f t="shared" si="6"/>
        <v>100.58999999999997</v>
      </c>
      <c r="N92" s="67">
        <f t="shared" si="7"/>
        <v>53735.819999999992</v>
      </c>
      <c r="P92" s="14" t="s">
        <v>127</v>
      </c>
      <c r="Q92" s="65">
        <f>Q88/Q90</f>
        <v>4.5833333333333334E-3</v>
      </c>
    </row>
    <row r="93" spans="1:18" ht="15" customHeight="1" x14ac:dyDescent="0.35">
      <c r="A93" s="7">
        <v>67</v>
      </c>
      <c r="B93" s="67">
        <f t="shared" si="0"/>
        <v>328.55</v>
      </c>
      <c r="C93" s="67">
        <f t="shared" si="1"/>
        <v>219.22</v>
      </c>
      <c r="D93" s="67">
        <f t="shared" si="2"/>
        <v>109.33000000000001</v>
      </c>
      <c r="E93" s="67">
        <f t="shared" si="3"/>
        <v>53576.459999999985</v>
      </c>
      <c r="J93" s="7">
        <v>67</v>
      </c>
      <c r="K93" s="67">
        <f t="shared" si="8"/>
        <v>347.34</v>
      </c>
      <c r="L93" s="67">
        <f t="shared" si="9"/>
        <v>246.29</v>
      </c>
      <c r="M93" s="67">
        <f t="shared" si="6"/>
        <v>101.04999999999998</v>
      </c>
      <c r="N93" s="67">
        <f t="shared" si="7"/>
        <v>53634.76999999999</v>
      </c>
      <c r="P93" s="14" t="s">
        <v>128</v>
      </c>
      <c r="Q93" s="65">
        <f>1+Q92</f>
        <v>1.0045833333333334</v>
      </c>
    </row>
    <row r="94" spans="1:18" ht="15" customHeight="1" x14ac:dyDescent="0.35">
      <c r="A94" s="7">
        <v>68</v>
      </c>
      <c r="B94" s="67">
        <f t="shared" si="0"/>
        <v>328.55</v>
      </c>
      <c r="C94" s="67">
        <f t="shared" si="1"/>
        <v>218.77</v>
      </c>
      <c r="D94" s="67">
        <f t="shared" si="2"/>
        <v>109.78</v>
      </c>
      <c r="E94" s="67">
        <f t="shared" si="3"/>
        <v>53466.679999999986</v>
      </c>
      <c r="J94" s="7">
        <v>68</v>
      </c>
      <c r="K94" s="67">
        <f t="shared" si="8"/>
        <v>347.34</v>
      </c>
      <c r="L94" s="67">
        <f t="shared" si="9"/>
        <v>245.83</v>
      </c>
      <c r="M94" s="67">
        <f t="shared" si="6"/>
        <v>101.50999999999996</v>
      </c>
      <c r="N94" s="67">
        <f t="shared" si="7"/>
        <v>53533.259999999987</v>
      </c>
      <c r="P94" s="14" t="s">
        <v>129</v>
      </c>
      <c r="Q94" s="3">
        <f>Q87*Q90</f>
        <v>276</v>
      </c>
    </row>
    <row r="95" spans="1:18" ht="15" customHeight="1" x14ac:dyDescent="0.35">
      <c r="A95" s="7">
        <v>69</v>
      </c>
      <c r="B95" s="67">
        <f t="shared" si="0"/>
        <v>328.55</v>
      </c>
      <c r="C95" s="67">
        <f t="shared" si="1"/>
        <v>218.32</v>
      </c>
      <c r="D95" s="67">
        <f t="shared" si="2"/>
        <v>110.23000000000002</v>
      </c>
      <c r="E95" s="67">
        <f t="shared" si="3"/>
        <v>53356.449999999983</v>
      </c>
      <c r="J95" s="7">
        <v>69</v>
      </c>
      <c r="K95" s="67">
        <f t="shared" si="8"/>
        <v>347.34</v>
      </c>
      <c r="L95" s="67">
        <f t="shared" si="9"/>
        <v>245.36</v>
      </c>
      <c r="M95" s="67">
        <f t="shared" si="6"/>
        <v>101.97999999999996</v>
      </c>
      <c r="N95" s="67">
        <f t="shared" si="7"/>
        <v>53431.279999999984</v>
      </c>
      <c r="P95" s="14"/>
    </row>
    <row r="96" spans="1:18" ht="15" customHeight="1" x14ac:dyDescent="0.35">
      <c r="A96" s="7">
        <v>70</v>
      </c>
      <c r="B96" s="67">
        <f t="shared" si="0"/>
        <v>328.55</v>
      </c>
      <c r="C96" s="67">
        <f t="shared" si="1"/>
        <v>217.87</v>
      </c>
      <c r="D96" s="67">
        <f t="shared" si="2"/>
        <v>110.68</v>
      </c>
      <c r="E96" s="67">
        <f t="shared" si="3"/>
        <v>53245.769999999982</v>
      </c>
      <c r="J96" s="7">
        <v>70</v>
      </c>
      <c r="K96" s="67">
        <f t="shared" si="8"/>
        <v>347.34</v>
      </c>
      <c r="L96" s="67">
        <f t="shared" si="9"/>
        <v>244.89</v>
      </c>
      <c r="M96" s="67">
        <f t="shared" si="6"/>
        <v>102.44999999999999</v>
      </c>
      <c r="N96" s="67">
        <f t="shared" si="7"/>
        <v>53328.829999999987</v>
      </c>
      <c r="P96" s="14" t="s">
        <v>130</v>
      </c>
      <c r="Q96" s="47">
        <f>ROUND(PMT(Q92,Q94,Q86,0,0),2)</f>
        <v>-347.34</v>
      </c>
      <c r="R96" s="75" t="s">
        <v>30</v>
      </c>
    </row>
    <row r="97" spans="1:19" ht="15" customHeight="1" x14ac:dyDescent="0.35">
      <c r="A97" s="7">
        <v>71</v>
      </c>
      <c r="B97" s="67">
        <f t="shared" si="0"/>
        <v>328.55</v>
      </c>
      <c r="C97" s="67">
        <f t="shared" si="1"/>
        <v>217.42</v>
      </c>
      <c r="D97" s="67">
        <f t="shared" si="2"/>
        <v>111.13000000000002</v>
      </c>
      <c r="E97" s="67">
        <f t="shared" si="3"/>
        <v>53134.639999999985</v>
      </c>
      <c r="J97" s="7">
        <v>71</v>
      </c>
      <c r="K97" s="67">
        <f t="shared" si="8"/>
        <v>347.34</v>
      </c>
      <c r="L97" s="67">
        <f t="shared" si="9"/>
        <v>244.42</v>
      </c>
      <c r="M97" s="67">
        <f t="shared" si="6"/>
        <v>102.91999999999999</v>
      </c>
      <c r="N97" s="67">
        <f t="shared" si="7"/>
        <v>53225.909999999989</v>
      </c>
    </row>
    <row r="98" spans="1:19" ht="15" customHeight="1" x14ac:dyDescent="0.35">
      <c r="A98" s="7">
        <v>72</v>
      </c>
      <c r="B98" s="67">
        <f t="shared" si="0"/>
        <v>328.55</v>
      </c>
      <c r="C98" s="67">
        <f t="shared" si="1"/>
        <v>216.97</v>
      </c>
      <c r="D98" s="67">
        <f t="shared" si="2"/>
        <v>111.58000000000001</v>
      </c>
      <c r="E98" s="67">
        <f t="shared" si="3"/>
        <v>53023.059999999983</v>
      </c>
      <c r="J98" s="7">
        <v>72</v>
      </c>
      <c r="K98" s="67">
        <f t="shared" si="8"/>
        <v>347.34</v>
      </c>
      <c r="L98" s="67">
        <f t="shared" si="9"/>
        <v>243.95</v>
      </c>
      <c r="M98" s="67">
        <f t="shared" si="6"/>
        <v>103.38999999999999</v>
      </c>
      <c r="N98" s="67">
        <f t="shared" si="7"/>
        <v>53122.51999999999</v>
      </c>
    </row>
    <row r="99" spans="1:19" ht="15" customHeight="1" x14ac:dyDescent="0.35">
      <c r="A99" s="7">
        <v>73</v>
      </c>
      <c r="B99" s="67">
        <f t="shared" si="0"/>
        <v>328.55</v>
      </c>
      <c r="C99" s="67">
        <f t="shared" si="1"/>
        <v>216.51</v>
      </c>
      <c r="D99" s="67">
        <f t="shared" si="2"/>
        <v>112.04000000000002</v>
      </c>
      <c r="E99" s="67">
        <f t="shared" si="3"/>
        <v>52911.019999999982</v>
      </c>
      <c r="J99" s="7">
        <v>73</v>
      </c>
      <c r="K99" s="67">
        <f t="shared" si="8"/>
        <v>347.34</v>
      </c>
      <c r="L99" s="67">
        <f t="shared" si="9"/>
        <v>243.48</v>
      </c>
      <c r="M99" s="67">
        <f t="shared" si="6"/>
        <v>103.85999999999999</v>
      </c>
      <c r="N99" s="67">
        <f t="shared" si="7"/>
        <v>53018.659999999989</v>
      </c>
    </row>
    <row r="100" spans="1:19" ht="15" customHeight="1" x14ac:dyDescent="0.35">
      <c r="A100" s="7">
        <v>74</v>
      </c>
      <c r="B100" s="67">
        <f t="shared" si="0"/>
        <v>328.55</v>
      </c>
      <c r="C100" s="67">
        <f t="shared" si="1"/>
        <v>216.05</v>
      </c>
      <c r="D100" s="67">
        <f t="shared" si="2"/>
        <v>112.5</v>
      </c>
      <c r="E100" s="67">
        <f t="shared" si="3"/>
        <v>52798.519999999982</v>
      </c>
      <c r="J100" s="7">
        <v>74</v>
      </c>
      <c r="K100" s="67">
        <f t="shared" si="8"/>
        <v>347.34</v>
      </c>
      <c r="L100" s="67">
        <f t="shared" si="9"/>
        <v>243</v>
      </c>
      <c r="M100" s="67">
        <f t="shared" si="6"/>
        <v>104.33999999999997</v>
      </c>
      <c r="N100" s="67">
        <f t="shared" si="7"/>
        <v>52914.319999999992</v>
      </c>
    </row>
    <row r="101" spans="1:19" ht="15" customHeight="1" x14ac:dyDescent="0.35">
      <c r="A101" s="7">
        <v>75</v>
      </c>
      <c r="B101" s="67">
        <f t="shared" si="0"/>
        <v>328.55</v>
      </c>
      <c r="C101" s="67">
        <f t="shared" si="1"/>
        <v>215.59</v>
      </c>
      <c r="D101" s="67">
        <f t="shared" si="2"/>
        <v>112.96000000000001</v>
      </c>
      <c r="E101" s="67">
        <f t="shared" si="3"/>
        <v>52685.559999999983</v>
      </c>
      <c r="J101" s="7">
        <v>75</v>
      </c>
      <c r="K101" s="67">
        <f t="shared" si="8"/>
        <v>347.34</v>
      </c>
      <c r="L101" s="67">
        <f t="shared" si="9"/>
        <v>242.52</v>
      </c>
      <c r="M101" s="67">
        <f t="shared" si="6"/>
        <v>104.81999999999996</v>
      </c>
      <c r="N101" s="67">
        <f t="shared" si="7"/>
        <v>52809.499999999993</v>
      </c>
    </row>
    <row r="102" spans="1:19" ht="15" customHeight="1" x14ac:dyDescent="0.35">
      <c r="A102" s="7">
        <v>76</v>
      </c>
      <c r="B102" s="67">
        <f t="shared" si="0"/>
        <v>328.55</v>
      </c>
      <c r="C102" s="67">
        <f t="shared" si="1"/>
        <v>215.13</v>
      </c>
      <c r="D102" s="67">
        <f t="shared" si="2"/>
        <v>113.42000000000002</v>
      </c>
      <c r="E102" s="67">
        <f t="shared" si="3"/>
        <v>52572.139999999985</v>
      </c>
      <c r="J102" s="7">
        <v>76</v>
      </c>
      <c r="K102" s="67">
        <f t="shared" si="8"/>
        <v>347.34</v>
      </c>
      <c r="L102" s="67">
        <f t="shared" si="9"/>
        <v>242.04</v>
      </c>
      <c r="M102" s="67">
        <f t="shared" si="6"/>
        <v>105.29999999999998</v>
      </c>
      <c r="N102" s="67">
        <f t="shared" si="7"/>
        <v>52704.19999999999</v>
      </c>
    </row>
    <row r="103" spans="1:19" ht="15" customHeight="1" x14ac:dyDescent="0.35">
      <c r="A103" s="7">
        <v>77</v>
      </c>
      <c r="B103" s="67">
        <f t="shared" si="0"/>
        <v>328.55</v>
      </c>
      <c r="C103" s="67">
        <f t="shared" si="1"/>
        <v>214.67</v>
      </c>
      <c r="D103" s="67">
        <f t="shared" si="2"/>
        <v>113.88000000000002</v>
      </c>
      <c r="E103" s="67">
        <f t="shared" si="3"/>
        <v>52458.259999999987</v>
      </c>
      <c r="J103" s="7">
        <v>77</v>
      </c>
      <c r="K103" s="67">
        <f t="shared" si="8"/>
        <v>347.34</v>
      </c>
      <c r="L103" s="67">
        <f t="shared" si="9"/>
        <v>241.56</v>
      </c>
      <c r="M103" s="67">
        <f t="shared" si="6"/>
        <v>105.77999999999997</v>
      </c>
      <c r="N103" s="67">
        <f t="shared" si="7"/>
        <v>52598.419999999991</v>
      </c>
    </row>
    <row r="104" spans="1:19" ht="15" customHeight="1" x14ac:dyDescent="0.35">
      <c r="A104" s="7">
        <v>78</v>
      </c>
      <c r="B104" s="67">
        <f t="shared" si="0"/>
        <v>328.55</v>
      </c>
      <c r="C104" s="67">
        <f t="shared" si="1"/>
        <v>214.2</v>
      </c>
      <c r="D104" s="67">
        <f t="shared" si="2"/>
        <v>114.35000000000002</v>
      </c>
      <c r="E104" s="67">
        <f t="shared" si="3"/>
        <v>52343.909999999989</v>
      </c>
      <c r="J104" s="7">
        <v>78</v>
      </c>
      <c r="K104" s="67">
        <f t="shared" si="8"/>
        <v>347.34</v>
      </c>
      <c r="L104" s="67">
        <f t="shared" si="9"/>
        <v>241.08</v>
      </c>
      <c r="M104" s="67">
        <f t="shared" si="6"/>
        <v>106.25999999999996</v>
      </c>
      <c r="N104" s="67">
        <f t="shared" si="7"/>
        <v>52492.159999999989</v>
      </c>
    </row>
    <row r="105" spans="1:19" ht="15" customHeight="1" x14ac:dyDescent="0.35">
      <c r="A105" s="7">
        <v>79</v>
      </c>
      <c r="B105" s="67">
        <f t="shared" si="0"/>
        <v>328.55</v>
      </c>
      <c r="C105" s="67">
        <f t="shared" si="1"/>
        <v>213.74</v>
      </c>
      <c r="D105" s="67">
        <f t="shared" si="2"/>
        <v>114.81</v>
      </c>
      <c r="E105" s="67">
        <f t="shared" si="3"/>
        <v>52229.099999999991</v>
      </c>
      <c r="J105" s="7">
        <v>79</v>
      </c>
      <c r="K105" s="67">
        <f t="shared" si="8"/>
        <v>347.34</v>
      </c>
      <c r="L105" s="67">
        <f t="shared" si="9"/>
        <v>240.59</v>
      </c>
      <c r="M105" s="67">
        <f t="shared" si="6"/>
        <v>106.74999999999997</v>
      </c>
      <c r="N105" s="67">
        <f t="shared" si="7"/>
        <v>52385.409999999989</v>
      </c>
    </row>
    <row r="106" spans="1:19" ht="15" customHeight="1" x14ac:dyDescent="0.35">
      <c r="A106" s="7">
        <v>80</v>
      </c>
      <c r="B106" s="67">
        <f t="shared" si="0"/>
        <v>328.55</v>
      </c>
      <c r="C106" s="67">
        <f t="shared" si="1"/>
        <v>213.27</v>
      </c>
      <c r="D106" s="67">
        <f t="shared" si="2"/>
        <v>115.28</v>
      </c>
      <c r="E106" s="67">
        <f t="shared" si="3"/>
        <v>52113.819999999992</v>
      </c>
      <c r="J106" s="7">
        <v>80</v>
      </c>
      <c r="K106" s="67">
        <f t="shared" si="8"/>
        <v>347.34</v>
      </c>
      <c r="L106" s="67">
        <f t="shared" si="9"/>
        <v>240.1</v>
      </c>
      <c r="M106" s="67">
        <f t="shared" si="6"/>
        <v>107.23999999999998</v>
      </c>
      <c r="N106" s="67">
        <f t="shared" si="7"/>
        <v>52278.169999999991</v>
      </c>
    </row>
    <row r="107" spans="1:19" ht="15" customHeight="1" x14ac:dyDescent="0.35">
      <c r="A107" s="7">
        <v>81</v>
      </c>
      <c r="B107" s="67">
        <f t="shared" si="0"/>
        <v>328.55</v>
      </c>
      <c r="C107" s="67">
        <f t="shared" si="1"/>
        <v>212.8</v>
      </c>
      <c r="D107" s="67">
        <f t="shared" si="2"/>
        <v>115.75</v>
      </c>
      <c r="E107" s="67">
        <f t="shared" si="3"/>
        <v>51998.069999999992</v>
      </c>
      <c r="J107" s="7">
        <v>81</v>
      </c>
      <c r="K107" s="67">
        <f t="shared" si="8"/>
        <v>347.34</v>
      </c>
      <c r="L107" s="67">
        <f t="shared" si="9"/>
        <v>239.61</v>
      </c>
      <c r="M107" s="67">
        <f t="shared" si="6"/>
        <v>107.72999999999996</v>
      </c>
      <c r="N107" s="67">
        <f t="shared" si="7"/>
        <v>52170.439999999988</v>
      </c>
    </row>
    <row r="108" spans="1:19" ht="15" customHeight="1" x14ac:dyDescent="0.35">
      <c r="A108" s="7">
        <v>82</v>
      </c>
      <c r="B108" s="67">
        <f t="shared" si="0"/>
        <v>328.55</v>
      </c>
      <c r="C108" s="67">
        <f t="shared" si="1"/>
        <v>212.33</v>
      </c>
      <c r="D108" s="67">
        <f t="shared" si="2"/>
        <v>116.22</v>
      </c>
      <c r="E108" s="67">
        <f t="shared" si="3"/>
        <v>51881.849999999991</v>
      </c>
      <c r="J108" s="7">
        <v>82</v>
      </c>
      <c r="K108" s="67">
        <f t="shared" si="8"/>
        <v>347.34</v>
      </c>
      <c r="L108" s="67">
        <f t="shared" si="9"/>
        <v>239.11</v>
      </c>
      <c r="M108" s="67">
        <f t="shared" si="6"/>
        <v>108.22999999999996</v>
      </c>
      <c r="N108" s="67">
        <f t="shared" si="7"/>
        <v>52062.209999999985</v>
      </c>
    </row>
    <row r="109" spans="1:19" ht="15" customHeight="1" x14ac:dyDescent="0.35">
      <c r="A109" s="7">
        <v>83</v>
      </c>
      <c r="B109" s="67">
        <f t="shared" si="0"/>
        <v>328.55</v>
      </c>
      <c r="C109" s="67">
        <f t="shared" si="1"/>
        <v>211.85</v>
      </c>
      <c r="D109" s="67">
        <f t="shared" si="2"/>
        <v>116.70000000000002</v>
      </c>
      <c r="E109" s="67">
        <f t="shared" si="3"/>
        <v>51765.149999999994</v>
      </c>
      <c r="J109" s="7">
        <v>83</v>
      </c>
      <c r="K109" s="67">
        <f t="shared" si="8"/>
        <v>347.34</v>
      </c>
      <c r="L109" s="67">
        <f t="shared" si="9"/>
        <v>238.62</v>
      </c>
      <c r="M109" s="67">
        <f t="shared" si="6"/>
        <v>108.71999999999997</v>
      </c>
      <c r="N109" s="67">
        <f t="shared" si="7"/>
        <v>51953.489999999983</v>
      </c>
    </row>
    <row r="110" spans="1:19" ht="15" customHeight="1" x14ac:dyDescent="0.35">
      <c r="A110" s="7">
        <v>84</v>
      </c>
      <c r="B110" s="67">
        <f t="shared" si="0"/>
        <v>328.55</v>
      </c>
      <c r="C110" s="67">
        <f t="shared" si="1"/>
        <v>211.37</v>
      </c>
      <c r="D110" s="67">
        <f t="shared" si="2"/>
        <v>117.18</v>
      </c>
      <c r="E110" s="67">
        <f t="shared" si="3"/>
        <v>51647.969999999994</v>
      </c>
      <c r="J110" s="7">
        <v>84</v>
      </c>
      <c r="K110" s="67">
        <f t="shared" si="8"/>
        <v>347.34</v>
      </c>
      <c r="L110" s="67">
        <f t="shared" si="9"/>
        <v>238.12</v>
      </c>
      <c r="M110" s="67">
        <f t="shared" si="6"/>
        <v>109.21999999999997</v>
      </c>
      <c r="N110" s="67">
        <f t="shared" si="7"/>
        <v>51844.269999999982</v>
      </c>
      <c r="P110" s="26"/>
      <c r="Q110" s="26"/>
      <c r="R110" s="76"/>
      <c r="S110" s="26"/>
    </row>
    <row r="111" spans="1:19" ht="15" customHeight="1" x14ac:dyDescent="0.35">
      <c r="A111" s="7">
        <v>85</v>
      </c>
      <c r="B111" s="67">
        <f t="shared" si="0"/>
        <v>328.55</v>
      </c>
      <c r="C111" s="67">
        <f t="shared" si="1"/>
        <v>210.9</v>
      </c>
      <c r="D111" s="67">
        <f t="shared" si="2"/>
        <v>117.65</v>
      </c>
      <c r="E111" s="67">
        <f t="shared" si="3"/>
        <v>51530.319999999992</v>
      </c>
      <c r="J111" s="7">
        <v>85</v>
      </c>
      <c r="K111" s="67">
        <f t="shared" si="8"/>
        <v>347.34</v>
      </c>
      <c r="L111" s="67">
        <f t="shared" si="9"/>
        <v>237.62</v>
      </c>
      <c r="M111" s="67">
        <f t="shared" si="6"/>
        <v>109.71999999999997</v>
      </c>
      <c r="N111" s="67">
        <f t="shared" si="7"/>
        <v>51734.549999999981</v>
      </c>
      <c r="P111" s="22"/>
      <c r="Q111" s="22"/>
      <c r="R111" s="15"/>
      <c r="S111" s="25"/>
    </row>
    <row r="112" spans="1:19" ht="15" customHeight="1" x14ac:dyDescent="0.35">
      <c r="A112" s="7">
        <v>86</v>
      </c>
      <c r="B112" s="67">
        <f t="shared" si="0"/>
        <v>328.55</v>
      </c>
      <c r="C112" s="67">
        <f t="shared" si="1"/>
        <v>210.42</v>
      </c>
      <c r="D112" s="67">
        <f t="shared" si="2"/>
        <v>118.13000000000002</v>
      </c>
      <c r="E112" s="67">
        <f t="shared" si="3"/>
        <v>51412.189999999995</v>
      </c>
      <c r="J112" s="7">
        <v>86</v>
      </c>
      <c r="K112" s="67">
        <f t="shared" si="8"/>
        <v>347.34</v>
      </c>
      <c r="L112" s="67">
        <f t="shared" si="9"/>
        <v>237.12</v>
      </c>
      <c r="M112" s="67">
        <f t="shared" si="6"/>
        <v>110.21999999999997</v>
      </c>
      <c r="N112" s="67">
        <f t="shared" si="7"/>
        <v>51624.32999999998</v>
      </c>
      <c r="P112" s="22"/>
      <c r="R112" s="15"/>
      <c r="S112" s="22"/>
    </row>
    <row r="113" spans="1:19" ht="15" customHeight="1" x14ac:dyDescent="0.35">
      <c r="A113" s="7">
        <v>87</v>
      </c>
      <c r="B113" s="67">
        <f t="shared" si="0"/>
        <v>328.55</v>
      </c>
      <c r="C113" s="67">
        <f t="shared" si="1"/>
        <v>209.93</v>
      </c>
      <c r="D113" s="67">
        <f t="shared" si="2"/>
        <v>118.62</v>
      </c>
      <c r="E113" s="67">
        <f t="shared" si="3"/>
        <v>51293.569999999992</v>
      </c>
      <c r="J113" s="7">
        <v>87</v>
      </c>
      <c r="K113" s="67">
        <f t="shared" si="8"/>
        <v>347.34</v>
      </c>
      <c r="L113" s="67">
        <f t="shared" si="9"/>
        <v>236.61</v>
      </c>
      <c r="M113" s="67">
        <f t="shared" si="6"/>
        <v>110.72999999999996</v>
      </c>
      <c r="N113" s="67">
        <f t="shared" si="7"/>
        <v>51513.599999999977</v>
      </c>
      <c r="P113" s="22"/>
      <c r="Q113" s="16"/>
      <c r="R113" s="15"/>
      <c r="S113" s="72"/>
    </row>
    <row r="114" spans="1:19" ht="15" customHeight="1" x14ac:dyDescent="0.35">
      <c r="A114" s="7">
        <v>88</v>
      </c>
      <c r="B114" s="67">
        <f t="shared" si="0"/>
        <v>328.55</v>
      </c>
      <c r="C114" s="67">
        <f t="shared" si="1"/>
        <v>209.45</v>
      </c>
      <c r="D114" s="67">
        <f t="shared" si="2"/>
        <v>119.10000000000002</v>
      </c>
      <c r="E114" s="67">
        <f t="shared" si="3"/>
        <v>51174.469999999994</v>
      </c>
      <c r="J114" s="7">
        <v>88</v>
      </c>
      <c r="K114" s="67">
        <f t="shared" si="8"/>
        <v>347.34</v>
      </c>
      <c r="L114" s="67">
        <f t="shared" si="9"/>
        <v>236.1</v>
      </c>
      <c r="M114" s="67">
        <f t="shared" si="6"/>
        <v>111.23999999999998</v>
      </c>
      <c r="N114" s="67">
        <f t="shared" si="7"/>
        <v>51402.359999999979</v>
      </c>
      <c r="P114" s="22"/>
      <c r="Q114" s="73"/>
      <c r="R114" s="15"/>
      <c r="S114" s="72"/>
    </row>
    <row r="115" spans="1:19" ht="15" customHeight="1" x14ac:dyDescent="0.35">
      <c r="A115" s="7">
        <v>89</v>
      </c>
      <c r="B115" s="67">
        <f t="shared" si="0"/>
        <v>328.55</v>
      </c>
      <c r="C115" s="67">
        <f t="shared" si="1"/>
        <v>208.96</v>
      </c>
      <c r="D115" s="67">
        <f t="shared" si="2"/>
        <v>119.59</v>
      </c>
      <c r="E115" s="67">
        <f t="shared" si="3"/>
        <v>51054.879999999997</v>
      </c>
      <c r="J115" s="7">
        <v>89</v>
      </c>
      <c r="K115" s="67">
        <f t="shared" si="8"/>
        <v>347.34</v>
      </c>
      <c r="L115" s="67">
        <f t="shared" si="9"/>
        <v>235.59</v>
      </c>
      <c r="M115" s="67">
        <f t="shared" si="6"/>
        <v>111.74999999999997</v>
      </c>
      <c r="N115" s="67">
        <f t="shared" si="7"/>
        <v>51290.609999999979</v>
      </c>
    </row>
    <row r="116" spans="1:19" ht="15" customHeight="1" x14ac:dyDescent="0.35">
      <c r="A116" s="7">
        <v>90</v>
      </c>
      <c r="B116" s="67">
        <f t="shared" si="0"/>
        <v>328.55</v>
      </c>
      <c r="C116" s="67">
        <f t="shared" si="1"/>
        <v>208.47</v>
      </c>
      <c r="D116" s="67">
        <f t="shared" si="2"/>
        <v>120.08000000000001</v>
      </c>
      <c r="E116" s="67">
        <f t="shared" si="3"/>
        <v>50934.799999999996</v>
      </c>
      <c r="J116" s="7">
        <v>90</v>
      </c>
      <c r="K116" s="67">
        <f t="shared" si="8"/>
        <v>347.34</v>
      </c>
      <c r="L116" s="67">
        <f t="shared" si="9"/>
        <v>235.08</v>
      </c>
      <c r="M116" s="67">
        <f t="shared" si="6"/>
        <v>112.25999999999996</v>
      </c>
      <c r="N116" s="67">
        <f t="shared" si="7"/>
        <v>51178.349999999977</v>
      </c>
    </row>
    <row r="117" spans="1:19" ht="15" customHeight="1" x14ac:dyDescent="0.35">
      <c r="A117" s="7">
        <v>91</v>
      </c>
      <c r="B117" s="67">
        <f t="shared" si="0"/>
        <v>328.55</v>
      </c>
      <c r="C117" s="67">
        <f t="shared" si="1"/>
        <v>207.98</v>
      </c>
      <c r="D117" s="67">
        <f t="shared" si="2"/>
        <v>120.57000000000002</v>
      </c>
      <c r="E117" s="67">
        <f t="shared" si="3"/>
        <v>50814.229999999996</v>
      </c>
      <c r="J117" s="7">
        <v>91</v>
      </c>
      <c r="K117" s="67">
        <f t="shared" si="8"/>
        <v>347.34</v>
      </c>
      <c r="L117" s="67">
        <f t="shared" si="9"/>
        <v>234.57</v>
      </c>
      <c r="M117" s="67">
        <f t="shared" si="6"/>
        <v>112.76999999999998</v>
      </c>
      <c r="N117" s="67">
        <f t="shared" si="7"/>
        <v>51065.57999999998</v>
      </c>
    </row>
    <row r="118" spans="1:19" ht="15" customHeight="1" x14ac:dyDescent="0.35">
      <c r="A118" s="7">
        <v>92</v>
      </c>
      <c r="B118" s="67">
        <f t="shared" si="0"/>
        <v>328.55</v>
      </c>
      <c r="C118" s="67">
        <f t="shared" si="1"/>
        <v>207.49</v>
      </c>
      <c r="D118" s="67">
        <f t="shared" si="2"/>
        <v>121.06</v>
      </c>
      <c r="E118" s="67">
        <f t="shared" si="3"/>
        <v>50693.17</v>
      </c>
      <c r="J118" s="7">
        <v>92</v>
      </c>
      <c r="K118" s="67">
        <f t="shared" si="8"/>
        <v>347.34</v>
      </c>
      <c r="L118" s="67">
        <f t="shared" si="9"/>
        <v>234.05</v>
      </c>
      <c r="M118" s="67">
        <f t="shared" si="6"/>
        <v>113.28999999999996</v>
      </c>
      <c r="N118" s="67">
        <f t="shared" si="7"/>
        <v>50952.289999999979</v>
      </c>
    </row>
    <row r="119" spans="1:19" ht="15" customHeight="1" x14ac:dyDescent="0.35">
      <c r="A119" s="7">
        <v>93</v>
      </c>
      <c r="B119" s="67">
        <f t="shared" si="0"/>
        <v>328.55</v>
      </c>
      <c r="C119" s="67">
        <f t="shared" si="1"/>
        <v>207</v>
      </c>
      <c r="D119" s="67">
        <f t="shared" si="2"/>
        <v>121.55000000000001</v>
      </c>
      <c r="E119" s="67">
        <f t="shared" si="3"/>
        <v>50571.619999999995</v>
      </c>
      <c r="J119" s="7">
        <v>93</v>
      </c>
      <c r="K119" s="67">
        <f t="shared" si="8"/>
        <v>347.34</v>
      </c>
      <c r="L119" s="67">
        <f t="shared" si="9"/>
        <v>233.53</v>
      </c>
      <c r="M119" s="67">
        <f t="shared" si="6"/>
        <v>113.80999999999997</v>
      </c>
      <c r="N119" s="67">
        <f t="shared" si="7"/>
        <v>50838.479999999981</v>
      </c>
      <c r="Q119" s="74"/>
      <c r="R119" s="18"/>
    </row>
    <row r="120" spans="1:19" ht="15" customHeight="1" x14ac:dyDescent="0.35">
      <c r="A120" s="7">
        <v>94</v>
      </c>
      <c r="B120" s="67">
        <f t="shared" si="0"/>
        <v>328.55</v>
      </c>
      <c r="C120" s="67">
        <f t="shared" si="1"/>
        <v>206.5</v>
      </c>
      <c r="D120" s="67">
        <f t="shared" si="2"/>
        <v>122.05000000000001</v>
      </c>
      <c r="E120" s="67">
        <f t="shared" si="3"/>
        <v>50449.569999999992</v>
      </c>
      <c r="J120" s="7">
        <v>94</v>
      </c>
      <c r="K120" s="67">
        <f t="shared" si="8"/>
        <v>347.34</v>
      </c>
      <c r="L120" s="67">
        <f t="shared" si="9"/>
        <v>233.01</v>
      </c>
      <c r="M120" s="67">
        <f t="shared" si="6"/>
        <v>114.32999999999998</v>
      </c>
      <c r="N120" s="67">
        <f t="shared" si="7"/>
        <v>50724.14999999998</v>
      </c>
    </row>
    <row r="121" spans="1:19" ht="15" customHeight="1" x14ac:dyDescent="0.35">
      <c r="A121" s="7">
        <v>95</v>
      </c>
      <c r="B121" s="67">
        <f t="shared" si="0"/>
        <v>328.55</v>
      </c>
      <c r="C121" s="67">
        <f t="shared" si="1"/>
        <v>206</v>
      </c>
      <c r="D121" s="67">
        <f t="shared" si="2"/>
        <v>122.55000000000001</v>
      </c>
      <c r="E121" s="67">
        <f t="shared" si="3"/>
        <v>50327.01999999999</v>
      </c>
      <c r="J121" s="7">
        <v>95</v>
      </c>
      <c r="K121" s="67">
        <f t="shared" si="8"/>
        <v>347.34</v>
      </c>
      <c r="L121" s="67">
        <f t="shared" si="9"/>
        <v>232.49</v>
      </c>
      <c r="M121" s="67">
        <f t="shared" si="6"/>
        <v>114.84999999999997</v>
      </c>
      <c r="N121" s="67">
        <f t="shared" si="7"/>
        <v>50609.299999999981</v>
      </c>
    </row>
    <row r="122" spans="1:19" ht="15" customHeight="1" x14ac:dyDescent="0.35">
      <c r="A122" s="7">
        <v>96</v>
      </c>
      <c r="B122" s="67">
        <f t="shared" si="0"/>
        <v>328.55</v>
      </c>
      <c r="C122" s="67">
        <f t="shared" si="1"/>
        <v>205.5</v>
      </c>
      <c r="D122" s="67">
        <f t="shared" si="2"/>
        <v>123.05000000000001</v>
      </c>
      <c r="E122" s="67">
        <f t="shared" si="3"/>
        <v>50203.969999999987</v>
      </c>
      <c r="J122" s="7">
        <v>96</v>
      </c>
      <c r="K122" s="67">
        <f t="shared" si="8"/>
        <v>347.34</v>
      </c>
      <c r="L122" s="67">
        <f t="shared" si="9"/>
        <v>231.96</v>
      </c>
      <c r="M122" s="67">
        <f t="shared" si="6"/>
        <v>115.37999999999997</v>
      </c>
      <c r="N122" s="77">
        <f t="shared" si="7"/>
        <v>50493.919999999984</v>
      </c>
      <c r="P122" s="14" t="s">
        <v>80</v>
      </c>
      <c r="Q122" s="59">
        <f>N122</f>
        <v>50493.919999999984</v>
      </c>
      <c r="R122" s="76"/>
      <c r="S122" s="26"/>
    </row>
    <row r="123" spans="1:19" ht="15" customHeight="1" x14ac:dyDescent="0.35">
      <c r="A123" s="7">
        <v>97</v>
      </c>
      <c r="B123" s="67">
        <f t="shared" si="0"/>
        <v>328.55</v>
      </c>
      <c r="C123" s="67">
        <f t="shared" si="1"/>
        <v>205</v>
      </c>
      <c r="D123" s="67">
        <f t="shared" si="2"/>
        <v>123.55000000000001</v>
      </c>
      <c r="E123" s="67">
        <f t="shared" si="3"/>
        <v>50080.419999999984</v>
      </c>
      <c r="J123" s="78">
        <v>97</v>
      </c>
      <c r="K123" s="77">
        <f t="shared" ref="K123:K377" si="10">-$Q$132</f>
        <v>331.23</v>
      </c>
      <c r="L123" s="77">
        <f t="shared" ref="L123:L377" si="11">ROUND(N122*$Q$128,2)</f>
        <v>252.47</v>
      </c>
      <c r="M123" s="77">
        <f t="shared" si="6"/>
        <v>78.760000000000019</v>
      </c>
      <c r="N123" s="77">
        <f t="shared" si="7"/>
        <v>50415.159999999982</v>
      </c>
      <c r="P123" s="14" t="s">
        <v>124</v>
      </c>
      <c r="Q123" s="3">
        <f>28-8+4</f>
        <v>24</v>
      </c>
      <c r="R123" s="15"/>
      <c r="S123" s="25"/>
    </row>
    <row r="124" spans="1:19" ht="15" customHeight="1" x14ac:dyDescent="0.35">
      <c r="A124" s="7">
        <v>98</v>
      </c>
      <c r="B124" s="67">
        <f t="shared" si="0"/>
        <v>328.55</v>
      </c>
      <c r="C124" s="67">
        <f t="shared" si="1"/>
        <v>204.5</v>
      </c>
      <c r="D124" s="67">
        <f t="shared" si="2"/>
        <v>124.05000000000001</v>
      </c>
      <c r="E124" s="67">
        <f t="shared" si="3"/>
        <v>49956.369999999981</v>
      </c>
      <c r="J124" s="7">
        <v>98</v>
      </c>
      <c r="K124" s="67">
        <f t="shared" si="10"/>
        <v>331.23</v>
      </c>
      <c r="L124" s="67">
        <f t="shared" si="11"/>
        <v>252.08</v>
      </c>
      <c r="M124" s="67">
        <f t="shared" si="6"/>
        <v>79.150000000000006</v>
      </c>
      <c r="N124" s="67">
        <f t="shared" si="7"/>
        <v>50336.00999999998</v>
      </c>
      <c r="P124" s="37" t="s">
        <v>81</v>
      </c>
      <c r="Q124" s="16">
        <f>4.9%+0.6%+0.5%</f>
        <v>0.06</v>
      </c>
      <c r="R124" s="15"/>
    </row>
    <row r="125" spans="1:19" ht="15" customHeight="1" x14ac:dyDescent="0.35">
      <c r="A125" s="7">
        <v>99</v>
      </c>
      <c r="B125" s="67">
        <f t="shared" si="0"/>
        <v>328.55</v>
      </c>
      <c r="C125" s="67">
        <f t="shared" si="1"/>
        <v>203.99</v>
      </c>
      <c r="D125" s="67">
        <f t="shared" si="2"/>
        <v>124.56</v>
      </c>
      <c r="E125" s="67">
        <f t="shared" si="3"/>
        <v>49831.809999999983</v>
      </c>
      <c r="J125" s="7">
        <v>99</v>
      </c>
      <c r="K125" s="67">
        <f t="shared" si="10"/>
        <v>331.23</v>
      </c>
      <c r="L125" s="67">
        <f t="shared" si="11"/>
        <v>251.68</v>
      </c>
      <c r="M125" s="67">
        <f t="shared" si="6"/>
        <v>79.550000000000011</v>
      </c>
      <c r="N125" s="67">
        <f t="shared" si="7"/>
        <v>50256.459999999977</v>
      </c>
      <c r="P125" s="14" t="s">
        <v>82</v>
      </c>
      <c r="Q125" s="16">
        <f>1+Q124</f>
        <v>1.06</v>
      </c>
      <c r="R125" s="15"/>
      <c r="S125" s="72"/>
    </row>
    <row r="126" spans="1:19" ht="15" customHeight="1" x14ac:dyDescent="0.35">
      <c r="A126" s="7">
        <v>100</v>
      </c>
      <c r="B126" s="67">
        <f t="shared" si="0"/>
        <v>328.55</v>
      </c>
      <c r="C126" s="67">
        <f t="shared" si="1"/>
        <v>203.48</v>
      </c>
      <c r="D126" s="67">
        <f t="shared" si="2"/>
        <v>125.07000000000002</v>
      </c>
      <c r="E126" s="67">
        <f t="shared" si="3"/>
        <v>49706.739999999983</v>
      </c>
      <c r="J126" s="7">
        <v>100</v>
      </c>
      <c r="K126" s="67">
        <f t="shared" si="10"/>
        <v>331.23</v>
      </c>
      <c r="L126" s="67">
        <f t="shared" si="11"/>
        <v>251.28</v>
      </c>
      <c r="M126" s="67">
        <f t="shared" si="6"/>
        <v>79.950000000000017</v>
      </c>
      <c r="N126" s="67">
        <f t="shared" si="7"/>
        <v>50176.50999999998</v>
      </c>
      <c r="P126" s="14" t="s">
        <v>125</v>
      </c>
      <c r="Q126" s="22">
        <v>12</v>
      </c>
      <c r="R126" s="15"/>
      <c r="S126" s="72"/>
    </row>
    <row r="127" spans="1:19" ht="15" customHeight="1" x14ac:dyDescent="0.35">
      <c r="A127" s="7">
        <v>101</v>
      </c>
      <c r="B127" s="67">
        <f t="shared" si="0"/>
        <v>328.55</v>
      </c>
      <c r="C127" s="67">
        <f t="shared" si="1"/>
        <v>202.97</v>
      </c>
      <c r="D127" s="67">
        <f t="shared" si="2"/>
        <v>125.58000000000001</v>
      </c>
      <c r="E127" s="67">
        <f t="shared" si="3"/>
        <v>49581.159999999982</v>
      </c>
      <c r="J127" s="7">
        <v>101</v>
      </c>
      <c r="K127" s="67">
        <f t="shared" si="10"/>
        <v>331.23</v>
      </c>
      <c r="L127" s="67">
        <f t="shared" si="11"/>
        <v>250.88</v>
      </c>
      <c r="M127" s="67">
        <f t="shared" si="6"/>
        <v>80.350000000000023</v>
      </c>
      <c r="N127" s="67">
        <f t="shared" si="7"/>
        <v>50096.159999999982</v>
      </c>
      <c r="P127" s="221" t="s">
        <v>126</v>
      </c>
      <c r="Q127" s="217"/>
    </row>
    <row r="128" spans="1:19" ht="15" customHeight="1" x14ac:dyDescent="0.35">
      <c r="A128" s="7">
        <v>102</v>
      </c>
      <c r="B128" s="67">
        <f t="shared" si="0"/>
        <v>328.55</v>
      </c>
      <c r="C128" s="67">
        <f t="shared" si="1"/>
        <v>202.46</v>
      </c>
      <c r="D128" s="67">
        <f t="shared" si="2"/>
        <v>126.09</v>
      </c>
      <c r="E128" s="67">
        <f t="shared" si="3"/>
        <v>49455.069999999985</v>
      </c>
      <c r="J128" s="7">
        <v>102</v>
      </c>
      <c r="K128" s="67">
        <f t="shared" si="10"/>
        <v>331.23</v>
      </c>
      <c r="L128" s="67">
        <f t="shared" si="11"/>
        <v>250.48</v>
      </c>
      <c r="M128" s="67">
        <f t="shared" si="6"/>
        <v>80.750000000000028</v>
      </c>
      <c r="N128" s="67">
        <f t="shared" si="7"/>
        <v>50015.409999999982</v>
      </c>
      <c r="P128" s="14" t="s">
        <v>127</v>
      </c>
      <c r="Q128" s="65">
        <f>Q124/Q126</f>
        <v>5.0000000000000001E-3</v>
      </c>
    </row>
    <row r="129" spans="1:18" ht="15" customHeight="1" x14ac:dyDescent="0.35">
      <c r="A129" s="7">
        <v>103</v>
      </c>
      <c r="B129" s="67">
        <f t="shared" si="0"/>
        <v>328.55</v>
      </c>
      <c r="C129" s="67">
        <f t="shared" si="1"/>
        <v>201.94</v>
      </c>
      <c r="D129" s="67">
        <f t="shared" si="2"/>
        <v>126.61000000000001</v>
      </c>
      <c r="E129" s="67">
        <f t="shared" si="3"/>
        <v>49328.459999999985</v>
      </c>
      <c r="J129" s="7">
        <v>103</v>
      </c>
      <c r="K129" s="67">
        <f t="shared" si="10"/>
        <v>331.23</v>
      </c>
      <c r="L129" s="67">
        <f t="shared" si="11"/>
        <v>250.08</v>
      </c>
      <c r="M129" s="67">
        <f t="shared" si="6"/>
        <v>81.150000000000006</v>
      </c>
      <c r="N129" s="67">
        <f t="shared" si="7"/>
        <v>49934.25999999998</v>
      </c>
      <c r="P129" s="14" t="s">
        <v>128</v>
      </c>
      <c r="Q129" s="65">
        <f>1+Q128</f>
        <v>1.0049999999999999</v>
      </c>
    </row>
    <row r="130" spans="1:18" ht="15" customHeight="1" x14ac:dyDescent="0.35">
      <c r="A130" s="7">
        <v>104</v>
      </c>
      <c r="B130" s="67">
        <f t="shared" si="0"/>
        <v>328.55</v>
      </c>
      <c r="C130" s="67">
        <f t="shared" si="1"/>
        <v>201.42</v>
      </c>
      <c r="D130" s="67">
        <f t="shared" si="2"/>
        <v>127.13000000000002</v>
      </c>
      <c r="E130" s="67">
        <f t="shared" si="3"/>
        <v>49201.329999999987</v>
      </c>
      <c r="J130" s="7">
        <v>104</v>
      </c>
      <c r="K130" s="67">
        <f t="shared" si="10"/>
        <v>331.23</v>
      </c>
      <c r="L130" s="67">
        <f t="shared" si="11"/>
        <v>249.67</v>
      </c>
      <c r="M130" s="67">
        <f t="shared" si="6"/>
        <v>81.560000000000031</v>
      </c>
      <c r="N130" s="67">
        <f t="shared" si="7"/>
        <v>49852.699999999983</v>
      </c>
      <c r="P130" s="14" t="s">
        <v>129</v>
      </c>
      <c r="Q130" s="3">
        <f>Q123*Q126</f>
        <v>288</v>
      </c>
    </row>
    <row r="131" spans="1:18" ht="15" customHeight="1" x14ac:dyDescent="0.35">
      <c r="A131" s="7">
        <v>105</v>
      </c>
      <c r="B131" s="67">
        <f t="shared" si="0"/>
        <v>328.55</v>
      </c>
      <c r="C131" s="67">
        <f t="shared" si="1"/>
        <v>200.91</v>
      </c>
      <c r="D131" s="67">
        <f t="shared" si="2"/>
        <v>127.64000000000001</v>
      </c>
      <c r="E131" s="67">
        <f t="shared" si="3"/>
        <v>49073.689999999988</v>
      </c>
      <c r="J131" s="7">
        <v>105</v>
      </c>
      <c r="K131" s="67">
        <f t="shared" si="10"/>
        <v>331.23</v>
      </c>
      <c r="L131" s="67">
        <f t="shared" si="11"/>
        <v>249.26</v>
      </c>
      <c r="M131" s="67">
        <f t="shared" si="6"/>
        <v>81.970000000000027</v>
      </c>
      <c r="N131" s="67">
        <f t="shared" si="7"/>
        <v>49770.729999999981</v>
      </c>
      <c r="P131" s="14"/>
      <c r="R131" s="18"/>
    </row>
    <row r="132" spans="1:18" ht="15" customHeight="1" x14ac:dyDescent="0.35">
      <c r="A132" s="7">
        <v>106</v>
      </c>
      <c r="B132" s="67">
        <f t="shared" si="0"/>
        <v>328.55</v>
      </c>
      <c r="C132" s="67">
        <f t="shared" si="1"/>
        <v>200.38</v>
      </c>
      <c r="D132" s="67">
        <f t="shared" si="2"/>
        <v>128.17000000000002</v>
      </c>
      <c r="E132" s="67">
        <f t="shared" si="3"/>
        <v>48945.51999999999</v>
      </c>
      <c r="J132" s="7">
        <v>106</v>
      </c>
      <c r="K132" s="67">
        <f t="shared" si="10"/>
        <v>331.23</v>
      </c>
      <c r="L132" s="67">
        <f t="shared" si="11"/>
        <v>248.85</v>
      </c>
      <c r="M132" s="67">
        <f t="shared" si="6"/>
        <v>82.380000000000024</v>
      </c>
      <c r="N132" s="67">
        <f t="shared" si="7"/>
        <v>49688.349999999984</v>
      </c>
      <c r="P132" s="14" t="s">
        <v>130</v>
      </c>
      <c r="Q132" s="47">
        <f>ROUND(PMT(Q128,Q130,Q122,0,0),2)</f>
        <v>-331.23</v>
      </c>
    </row>
    <row r="133" spans="1:18" ht="15" customHeight="1" x14ac:dyDescent="0.35">
      <c r="A133" s="7">
        <v>107</v>
      </c>
      <c r="B133" s="67">
        <f t="shared" si="0"/>
        <v>328.55</v>
      </c>
      <c r="C133" s="67">
        <f t="shared" si="1"/>
        <v>199.86</v>
      </c>
      <c r="D133" s="67">
        <f t="shared" si="2"/>
        <v>128.69</v>
      </c>
      <c r="E133" s="67">
        <f t="shared" si="3"/>
        <v>48816.829999999987</v>
      </c>
      <c r="J133" s="7">
        <v>107</v>
      </c>
      <c r="K133" s="67">
        <f t="shared" si="10"/>
        <v>331.23</v>
      </c>
      <c r="L133" s="67">
        <f t="shared" si="11"/>
        <v>248.44</v>
      </c>
      <c r="M133" s="67">
        <f t="shared" si="6"/>
        <v>82.79000000000002</v>
      </c>
      <c r="N133" s="67">
        <f t="shared" si="7"/>
        <v>49605.559999999983</v>
      </c>
    </row>
    <row r="134" spans="1:18" ht="15" customHeight="1" x14ac:dyDescent="0.35">
      <c r="A134" s="7">
        <v>108</v>
      </c>
      <c r="B134" s="67">
        <f t="shared" si="0"/>
        <v>328.55</v>
      </c>
      <c r="C134" s="67">
        <f t="shared" si="1"/>
        <v>199.34</v>
      </c>
      <c r="D134" s="67">
        <f t="shared" si="2"/>
        <v>129.21</v>
      </c>
      <c r="E134" s="67">
        <f t="shared" si="3"/>
        <v>48687.619999999988</v>
      </c>
      <c r="J134" s="7">
        <v>108</v>
      </c>
      <c r="K134" s="67">
        <f t="shared" si="10"/>
        <v>331.23</v>
      </c>
      <c r="L134" s="67">
        <f t="shared" si="11"/>
        <v>248.03</v>
      </c>
      <c r="M134" s="67">
        <f t="shared" si="6"/>
        <v>83.200000000000017</v>
      </c>
      <c r="N134" s="67">
        <f t="shared" si="7"/>
        <v>49522.359999999986</v>
      </c>
    </row>
    <row r="135" spans="1:18" ht="15" customHeight="1" x14ac:dyDescent="0.35">
      <c r="A135" s="7">
        <v>109</v>
      </c>
      <c r="B135" s="67">
        <f t="shared" si="0"/>
        <v>328.55</v>
      </c>
      <c r="C135" s="67">
        <f t="shared" si="1"/>
        <v>198.81</v>
      </c>
      <c r="D135" s="67">
        <f t="shared" si="2"/>
        <v>129.74</v>
      </c>
      <c r="E135" s="67">
        <f t="shared" si="3"/>
        <v>48557.87999999999</v>
      </c>
      <c r="J135" s="7">
        <v>109</v>
      </c>
      <c r="K135" s="67">
        <f t="shared" si="10"/>
        <v>331.23</v>
      </c>
      <c r="L135" s="67">
        <f t="shared" si="11"/>
        <v>247.61</v>
      </c>
      <c r="M135" s="67">
        <f t="shared" si="6"/>
        <v>83.62</v>
      </c>
      <c r="N135" s="67">
        <f t="shared" si="7"/>
        <v>49438.739999999983</v>
      </c>
    </row>
    <row r="136" spans="1:18" ht="15" customHeight="1" x14ac:dyDescent="0.35">
      <c r="A136" s="7">
        <v>110</v>
      </c>
      <c r="B136" s="67">
        <f t="shared" si="0"/>
        <v>328.55</v>
      </c>
      <c r="C136" s="67">
        <f t="shared" si="1"/>
        <v>198.28</v>
      </c>
      <c r="D136" s="67">
        <f t="shared" si="2"/>
        <v>130.27000000000001</v>
      </c>
      <c r="E136" s="67">
        <f t="shared" si="3"/>
        <v>48427.609999999993</v>
      </c>
      <c r="J136" s="7">
        <v>110</v>
      </c>
      <c r="K136" s="67">
        <f t="shared" si="10"/>
        <v>331.23</v>
      </c>
      <c r="L136" s="67">
        <f t="shared" si="11"/>
        <v>247.19</v>
      </c>
      <c r="M136" s="67">
        <f t="shared" si="6"/>
        <v>84.04000000000002</v>
      </c>
      <c r="N136" s="67">
        <f t="shared" si="7"/>
        <v>49354.699999999983</v>
      </c>
    </row>
    <row r="137" spans="1:18" ht="15" customHeight="1" x14ac:dyDescent="0.35">
      <c r="A137" s="7">
        <v>111</v>
      </c>
      <c r="B137" s="67">
        <f t="shared" si="0"/>
        <v>328.55</v>
      </c>
      <c r="C137" s="67">
        <f t="shared" si="1"/>
        <v>197.75</v>
      </c>
      <c r="D137" s="67">
        <f t="shared" si="2"/>
        <v>130.80000000000001</v>
      </c>
      <c r="E137" s="67">
        <f t="shared" si="3"/>
        <v>48296.80999999999</v>
      </c>
      <c r="J137" s="7">
        <v>111</v>
      </c>
      <c r="K137" s="67">
        <f t="shared" si="10"/>
        <v>331.23</v>
      </c>
      <c r="L137" s="67">
        <f t="shared" si="11"/>
        <v>246.77</v>
      </c>
      <c r="M137" s="67">
        <f t="shared" si="6"/>
        <v>84.460000000000008</v>
      </c>
      <c r="N137" s="67">
        <f t="shared" si="7"/>
        <v>49270.239999999983</v>
      </c>
    </row>
    <row r="138" spans="1:18" ht="15" customHeight="1" x14ac:dyDescent="0.35">
      <c r="A138" s="7">
        <v>112</v>
      </c>
      <c r="B138" s="67">
        <f t="shared" si="0"/>
        <v>328.55</v>
      </c>
      <c r="C138" s="67">
        <f t="shared" si="1"/>
        <v>197.21</v>
      </c>
      <c r="D138" s="67">
        <f t="shared" si="2"/>
        <v>131.34</v>
      </c>
      <c r="E138" s="67">
        <f t="shared" si="3"/>
        <v>48165.469999999994</v>
      </c>
      <c r="J138" s="7">
        <v>112</v>
      </c>
      <c r="K138" s="67">
        <f t="shared" si="10"/>
        <v>331.23</v>
      </c>
      <c r="L138" s="67">
        <f t="shared" si="11"/>
        <v>246.35</v>
      </c>
      <c r="M138" s="67">
        <f t="shared" si="6"/>
        <v>84.880000000000024</v>
      </c>
      <c r="N138" s="67">
        <f t="shared" si="7"/>
        <v>49185.359999999986</v>
      </c>
    </row>
    <row r="139" spans="1:18" ht="15" customHeight="1" x14ac:dyDescent="0.35">
      <c r="A139" s="7">
        <v>113</v>
      </c>
      <c r="B139" s="67">
        <f t="shared" si="0"/>
        <v>328.55</v>
      </c>
      <c r="C139" s="67">
        <f t="shared" si="1"/>
        <v>196.68</v>
      </c>
      <c r="D139" s="67">
        <f t="shared" si="2"/>
        <v>131.87</v>
      </c>
      <c r="E139" s="67">
        <f t="shared" si="3"/>
        <v>48033.599999999991</v>
      </c>
      <c r="J139" s="7">
        <v>113</v>
      </c>
      <c r="K139" s="67">
        <f t="shared" si="10"/>
        <v>331.23</v>
      </c>
      <c r="L139" s="67">
        <f t="shared" si="11"/>
        <v>245.93</v>
      </c>
      <c r="M139" s="67">
        <f t="shared" si="6"/>
        <v>85.300000000000011</v>
      </c>
      <c r="N139" s="67">
        <f t="shared" si="7"/>
        <v>49100.059999999983</v>
      </c>
    </row>
    <row r="140" spans="1:18" ht="15" customHeight="1" x14ac:dyDescent="0.35">
      <c r="A140" s="7">
        <v>114</v>
      </c>
      <c r="B140" s="67">
        <f t="shared" si="0"/>
        <v>328.55</v>
      </c>
      <c r="C140" s="67">
        <f t="shared" si="1"/>
        <v>196.14</v>
      </c>
      <c r="D140" s="67">
        <f t="shared" si="2"/>
        <v>132.41000000000003</v>
      </c>
      <c r="E140" s="67">
        <f t="shared" si="3"/>
        <v>47901.189999999988</v>
      </c>
      <c r="J140" s="7">
        <v>114</v>
      </c>
      <c r="K140" s="67">
        <f t="shared" si="10"/>
        <v>331.23</v>
      </c>
      <c r="L140" s="67">
        <f t="shared" si="11"/>
        <v>245.5</v>
      </c>
      <c r="M140" s="67">
        <f t="shared" si="6"/>
        <v>85.730000000000018</v>
      </c>
      <c r="N140" s="67">
        <f t="shared" si="7"/>
        <v>49014.32999999998</v>
      </c>
    </row>
    <row r="141" spans="1:18" ht="15" customHeight="1" x14ac:dyDescent="0.35">
      <c r="A141" s="7">
        <v>115</v>
      </c>
      <c r="B141" s="67">
        <f t="shared" si="0"/>
        <v>328.55</v>
      </c>
      <c r="C141" s="67">
        <f t="shared" si="1"/>
        <v>195.6</v>
      </c>
      <c r="D141" s="67">
        <f t="shared" si="2"/>
        <v>132.95000000000002</v>
      </c>
      <c r="E141" s="67">
        <f t="shared" si="3"/>
        <v>47768.239999999991</v>
      </c>
      <c r="J141" s="7">
        <v>115</v>
      </c>
      <c r="K141" s="67">
        <f t="shared" si="10"/>
        <v>331.23</v>
      </c>
      <c r="L141" s="67">
        <f t="shared" si="11"/>
        <v>245.07</v>
      </c>
      <c r="M141" s="67">
        <f t="shared" si="6"/>
        <v>86.160000000000025</v>
      </c>
      <c r="N141" s="67">
        <f t="shared" si="7"/>
        <v>48928.169999999976</v>
      </c>
    </row>
    <row r="142" spans="1:18" ht="15" customHeight="1" x14ac:dyDescent="0.35">
      <c r="A142" s="7">
        <v>116</v>
      </c>
      <c r="B142" s="67">
        <f t="shared" si="0"/>
        <v>328.55</v>
      </c>
      <c r="C142" s="67">
        <f t="shared" si="1"/>
        <v>195.05</v>
      </c>
      <c r="D142" s="67">
        <f t="shared" si="2"/>
        <v>133.5</v>
      </c>
      <c r="E142" s="67">
        <f t="shared" si="3"/>
        <v>47634.739999999991</v>
      </c>
      <c r="J142" s="7">
        <v>116</v>
      </c>
      <c r="K142" s="67">
        <f t="shared" si="10"/>
        <v>331.23</v>
      </c>
      <c r="L142" s="67">
        <f t="shared" si="11"/>
        <v>244.64</v>
      </c>
      <c r="M142" s="67">
        <f t="shared" si="6"/>
        <v>86.590000000000032</v>
      </c>
      <c r="N142" s="67">
        <f t="shared" si="7"/>
        <v>48841.57999999998</v>
      </c>
    </row>
    <row r="143" spans="1:18" ht="15" customHeight="1" x14ac:dyDescent="0.35">
      <c r="A143" s="7">
        <v>117</v>
      </c>
      <c r="B143" s="67">
        <f t="shared" si="0"/>
        <v>328.55</v>
      </c>
      <c r="C143" s="67">
        <f t="shared" si="1"/>
        <v>194.51</v>
      </c>
      <c r="D143" s="67">
        <f t="shared" si="2"/>
        <v>134.04000000000002</v>
      </c>
      <c r="E143" s="67">
        <f t="shared" si="3"/>
        <v>47500.69999999999</v>
      </c>
      <c r="J143" s="7">
        <v>117</v>
      </c>
      <c r="K143" s="67">
        <f t="shared" si="10"/>
        <v>331.23</v>
      </c>
      <c r="L143" s="67">
        <f t="shared" si="11"/>
        <v>244.21</v>
      </c>
      <c r="M143" s="67">
        <f t="shared" si="6"/>
        <v>87.02000000000001</v>
      </c>
      <c r="N143" s="67">
        <f t="shared" si="7"/>
        <v>48754.559999999983</v>
      </c>
    </row>
    <row r="144" spans="1:18" ht="15" customHeight="1" x14ac:dyDescent="0.35">
      <c r="A144" s="7">
        <v>118</v>
      </c>
      <c r="B144" s="67">
        <f t="shared" si="0"/>
        <v>328.55</v>
      </c>
      <c r="C144" s="67">
        <f t="shared" si="1"/>
        <v>193.96</v>
      </c>
      <c r="D144" s="67">
        <f t="shared" si="2"/>
        <v>134.59</v>
      </c>
      <c r="E144" s="67">
        <f t="shared" si="3"/>
        <v>47366.109999999993</v>
      </c>
      <c r="J144" s="7">
        <v>118</v>
      </c>
      <c r="K144" s="67">
        <f t="shared" si="10"/>
        <v>331.23</v>
      </c>
      <c r="L144" s="67">
        <f t="shared" si="11"/>
        <v>243.77</v>
      </c>
      <c r="M144" s="67">
        <f t="shared" si="6"/>
        <v>87.460000000000008</v>
      </c>
      <c r="N144" s="67">
        <f t="shared" si="7"/>
        <v>48667.099999999984</v>
      </c>
    </row>
    <row r="145" spans="1:14" ht="15" customHeight="1" x14ac:dyDescent="0.35">
      <c r="A145" s="7">
        <v>119</v>
      </c>
      <c r="B145" s="67">
        <f t="shared" si="0"/>
        <v>328.55</v>
      </c>
      <c r="C145" s="67">
        <f t="shared" si="1"/>
        <v>193.41</v>
      </c>
      <c r="D145" s="67">
        <f t="shared" si="2"/>
        <v>135.14000000000001</v>
      </c>
      <c r="E145" s="67">
        <f t="shared" si="3"/>
        <v>47230.969999999994</v>
      </c>
      <c r="J145" s="7">
        <v>119</v>
      </c>
      <c r="K145" s="67">
        <f t="shared" si="10"/>
        <v>331.23</v>
      </c>
      <c r="L145" s="67">
        <f t="shared" si="11"/>
        <v>243.34</v>
      </c>
      <c r="M145" s="67">
        <f t="shared" si="6"/>
        <v>87.890000000000015</v>
      </c>
      <c r="N145" s="67">
        <f t="shared" si="7"/>
        <v>48579.209999999985</v>
      </c>
    </row>
    <row r="146" spans="1:14" ht="15" customHeight="1" x14ac:dyDescent="0.35">
      <c r="A146" s="7">
        <v>120</v>
      </c>
      <c r="B146" s="67">
        <f t="shared" si="0"/>
        <v>328.55</v>
      </c>
      <c r="C146" s="67">
        <f t="shared" si="1"/>
        <v>192.86</v>
      </c>
      <c r="D146" s="67">
        <f t="shared" si="2"/>
        <v>135.69</v>
      </c>
      <c r="E146" s="67">
        <f t="shared" si="3"/>
        <v>47095.279999999992</v>
      </c>
      <c r="J146" s="7">
        <v>120</v>
      </c>
      <c r="K146" s="67">
        <f t="shared" si="10"/>
        <v>331.23</v>
      </c>
      <c r="L146" s="67">
        <f t="shared" si="11"/>
        <v>242.9</v>
      </c>
      <c r="M146" s="67">
        <f t="shared" si="6"/>
        <v>88.330000000000013</v>
      </c>
      <c r="N146" s="67">
        <f t="shared" si="7"/>
        <v>48490.879999999983</v>
      </c>
    </row>
    <row r="147" spans="1:14" ht="15" customHeight="1" x14ac:dyDescent="0.35">
      <c r="A147" s="7">
        <v>121</v>
      </c>
      <c r="B147" s="67">
        <f t="shared" si="0"/>
        <v>328.55</v>
      </c>
      <c r="C147" s="67">
        <f t="shared" si="1"/>
        <v>192.31</v>
      </c>
      <c r="D147" s="67">
        <f t="shared" si="2"/>
        <v>136.24</v>
      </c>
      <c r="E147" s="67">
        <f t="shared" si="3"/>
        <v>46959.039999999994</v>
      </c>
      <c r="J147" s="7">
        <v>121</v>
      </c>
      <c r="K147" s="67">
        <f t="shared" si="10"/>
        <v>331.23</v>
      </c>
      <c r="L147" s="67">
        <f t="shared" si="11"/>
        <v>242.45</v>
      </c>
      <c r="M147" s="67">
        <f t="shared" si="6"/>
        <v>88.78000000000003</v>
      </c>
      <c r="N147" s="67">
        <f t="shared" si="7"/>
        <v>48402.099999999984</v>
      </c>
    </row>
    <row r="148" spans="1:14" ht="15" customHeight="1" x14ac:dyDescent="0.35">
      <c r="A148" s="7">
        <v>122</v>
      </c>
      <c r="B148" s="67">
        <f t="shared" si="0"/>
        <v>328.55</v>
      </c>
      <c r="C148" s="67">
        <f t="shared" si="1"/>
        <v>191.75</v>
      </c>
      <c r="D148" s="67">
        <f t="shared" si="2"/>
        <v>136.80000000000001</v>
      </c>
      <c r="E148" s="67">
        <f t="shared" si="3"/>
        <v>46822.239999999991</v>
      </c>
      <c r="J148" s="7">
        <v>122</v>
      </c>
      <c r="K148" s="67">
        <f t="shared" si="10"/>
        <v>331.23</v>
      </c>
      <c r="L148" s="67">
        <f t="shared" si="11"/>
        <v>242.01</v>
      </c>
      <c r="M148" s="67">
        <f t="shared" si="6"/>
        <v>89.220000000000027</v>
      </c>
      <c r="N148" s="67">
        <f t="shared" si="7"/>
        <v>48312.879999999983</v>
      </c>
    </row>
    <row r="149" spans="1:14" ht="15" customHeight="1" x14ac:dyDescent="0.35">
      <c r="A149" s="7">
        <v>123</v>
      </c>
      <c r="B149" s="67">
        <f t="shared" si="0"/>
        <v>328.55</v>
      </c>
      <c r="C149" s="67">
        <f t="shared" si="1"/>
        <v>191.19</v>
      </c>
      <c r="D149" s="67">
        <f t="shared" si="2"/>
        <v>137.36000000000001</v>
      </c>
      <c r="E149" s="67">
        <f t="shared" si="3"/>
        <v>46684.87999999999</v>
      </c>
      <c r="J149" s="7">
        <v>123</v>
      </c>
      <c r="K149" s="67">
        <f t="shared" si="10"/>
        <v>331.23</v>
      </c>
      <c r="L149" s="67">
        <f t="shared" si="11"/>
        <v>241.56</v>
      </c>
      <c r="M149" s="67">
        <f t="shared" si="6"/>
        <v>89.670000000000016</v>
      </c>
      <c r="N149" s="67">
        <f t="shared" si="7"/>
        <v>48223.209999999985</v>
      </c>
    </row>
    <row r="150" spans="1:14" ht="15" customHeight="1" x14ac:dyDescent="0.35">
      <c r="A150" s="7">
        <v>124</v>
      </c>
      <c r="B150" s="67">
        <f t="shared" si="0"/>
        <v>328.55</v>
      </c>
      <c r="C150" s="67">
        <f t="shared" si="1"/>
        <v>190.63</v>
      </c>
      <c r="D150" s="67">
        <f t="shared" si="2"/>
        <v>137.92000000000002</v>
      </c>
      <c r="E150" s="67">
        <f t="shared" si="3"/>
        <v>46546.959999999992</v>
      </c>
      <c r="J150" s="7">
        <v>124</v>
      </c>
      <c r="K150" s="67">
        <f t="shared" si="10"/>
        <v>331.23</v>
      </c>
      <c r="L150" s="67">
        <f t="shared" si="11"/>
        <v>241.12</v>
      </c>
      <c r="M150" s="67">
        <f t="shared" si="6"/>
        <v>90.110000000000014</v>
      </c>
      <c r="N150" s="67">
        <f t="shared" si="7"/>
        <v>48133.099999999984</v>
      </c>
    </row>
    <row r="151" spans="1:14" ht="15" customHeight="1" x14ac:dyDescent="0.35">
      <c r="A151" s="7">
        <v>125</v>
      </c>
      <c r="B151" s="67">
        <f t="shared" si="0"/>
        <v>328.55</v>
      </c>
      <c r="C151" s="67">
        <f t="shared" si="1"/>
        <v>190.07</v>
      </c>
      <c r="D151" s="67">
        <f t="shared" si="2"/>
        <v>138.48000000000002</v>
      </c>
      <c r="E151" s="67">
        <f t="shared" si="3"/>
        <v>46408.479999999989</v>
      </c>
      <c r="J151" s="7">
        <v>125</v>
      </c>
      <c r="K151" s="67">
        <f t="shared" si="10"/>
        <v>331.23</v>
      </c>
      <c r="L151" s="67">
        <f t="shared" si="11"/>
        <v>240.67</v>
      </c>
      <c r="M151" s="67">
        <f t="shared" si="6"/>
        <v>90.560000000000031</v>
      </c>
      <c r="N151" s="67">
        <f t="shared" si="7"/>
        <v>48042.539999999986</v>
      </c>
    </row>
    <row r="152" spans="1:14" ht="15" customHeight="1" x14ac:dyDescent="0.35">
      <c r="A152" s="7">
        <v>126</v>
      </c>
      <c r="B152" s="67">
        <f t="shared" si="0"/>
        <v>328.55</v>
      </c>
      <c r="C152" s="67">
        <f t="shared" si="1"/>
        <v>189.5</v>
      </c>
      <c r="D152" s="67">
        <f t="shared" si="2"/>
        <v>139.05000000000001</v>
      </c>
      <c r="E152" s="67">
        <f t="shared" si="3"/>
        <v>46269.429999999986</v>
      </c>
      <c r="J152" s="7">
        <v>126</v>
      </c>
      <c r="K152" s="67">
        <f t="shared" si="10"/>
        <v>331.23</v>
      </c>
      <c r="L152" s="67">
        <f t="shared" si="11"/>
        <v>240.21</v>
      </c>
      <c r="M152" s="67">
        <f t="shared" si="6"/>
        <v>91.02000000000001</v>
      </c>
      <c r="N152" s="67">
        <f t="shared" si="7"/>
        <v>47951.51999999999</v>
      </c>
    </row>
    <row r="153" spans="1:14" ht="15" customHeight="1" x14ac:dyDescent="0.35">
      <c r="A153" s="7">
        <v>127</v>
      </c>
      <c r="B153" s="67">
        <f t="shared" si="0"/>
        <v>328.55</v>
      </c>
      <c r="C153" s="67">
        <f t="shared" si="1"/>
        <v>188.93</v>
      </c>
      <c r="D153" s="67">
        <f t="shared" si="2"/>
        <v>139.62</v>
      </c>
      <c r="E153" s="67">
        <f t="shared" si="3"/>
        <v>46129.809999999983</v>
      </c>
      <c r="J153" s="7">
        <v>127</v>
      </c>
      <c r="K153" s="67">
        <f t="shared" si="10"/>
        <v>331.23</v>
      </c>
      <c r="L153" s="67">
        <f t="shared" si="11"/>
        <v>239.76</v>
      </c>
      <c r="M153" s="67">
        <f t="shared" si="6"/>
        <v>91.470000000000027</v>
      </c>
      <c r="N153" s="67">
        <f t="shared" si="7"/>
        <v>47860.049999999988</v>
      </c>
    </row>
    <row r="154" spans="1:14" ht="15" customHeight="1" x14ac:dyDescent="0.35">
      <c r="A154" s="7">
        <v>128</v>
      </c>
      <c r="B154" s="67">
        <f t="shared" si="0"/>
        <v>328.55</v>
      </c>
      <c r="C154" s="67">
        <f t="shared" si="1"/>
        <v>188.36</v>
      </c>
      <c r="D154" s="67">
        <f t="shared" si="2"/>
        <v>140.19</v>
      </c>
      <c r="E154" s="67">
        <f t="shared" si="3"/>
        <v>45989.619999999981</v>
      </c>
      <c r="J154" s="7">
        <v>128</v>
      </c>
      <c r="K154" s="67">
        <f t="shared" si="10"/>
        <v>331.23</v>
      </c>
      <c r="L154" s="67">
        <f t="shared" si="11"/>
        <v>239.3</v>
      </c>
      <c r="M154" s="67">
        <f t="shared" si="6"/>
        <v>91.93</v>
      </c>
      <c r="N154" s="67">
        <f t="shared" si="7"/>
        <v>47768.119999999988</v>
      </c>
    </row>
    <row r="155" spans="1:14" ht="15" customHeight="1" x14ac:dyDescent="0.35">
      <c r="A155" s="7">
        <v>129</v>
      </c>
      <c r="B155" s="67">
        <f t="shared" si="0"/>
        <v>328.55</v>
      </c>
      <c r="C155" s="67">
        <f t="shared" si="1"/>
        <v>187.79</v>
      </c>
      <c r="D155" s="67">
        <f t="shared" si="2"/>
        <v>140.76000000000002</v>
      </c>
      <c r="E155" s="67">
        <f t="shared" si="3"/>
        <v>45848.859999999979</v>
      </c>
      <c r="J155" s="7">
        <v>129</v>
      </c>
      <c r="K155" s="67">
        <f t="shared" si="10"/>
        <v>331.23</v>
      </c>
      <c r="L155" s="67">
        <f t="shared" si="11"/>
        <v>238.84</v>
      </c>
      <c r="M155" s="67">
        <f t="shared" si="6"/>
        <v>92.390000000000015</v>
      </c>
      <c r="N155" s="67">
        <f t="shared" si="7"/>
        <v>47675.729999999989</v>
      </c>
    </row>
    <row r="156" spans="1:14" ht="15" customHeight="1" x14ac:dyDescent="0.35">
      <c r="A156" s="7">
        <v>130</v>
      </c>
      <c r="B156" s="67">
        <f t="shared" si="0"/>
        <v>328.55</v>
      </c>
      <c r="C156" s="67">
        <f t="shared" si="1"/>
        <v>187.22</v>
      </c>
      <c r="D156" s="67">
        <f t="shared" si="2"/>
        <v>141.33000000000001</v>
      </c>
      <c r="E156" s="67">
        <f t="shared" si="3"/>
        <v>45707.529999999977</v>
      </c>
      <c r="J156" s="7">
        <v>130</v>
      </c>
      <c r="K156" s="67">
        <f t="shared" si="10"/>
        <v>331.23</v>
      </c>
      <c r="L156" s="67">
        <f t="shared" si="11"/>
        <v>238.38</v>
      </c>
      <c r="M156" s="67">
        <f t="shared" si="6"/>
        <v>92.850000000000023</v>
      </c>
      <c r="N156" s="67">
        <f t="shared" si="7"/>
        <v>47582.87999999999</v>
      </c>
    </row>
    <row r="157" spans="1:14" ht="15" customHeight="1" x14ac:dyDescent="0.35">
      <c r="A157" s="7">
        <v>131</v>
      </c>
      <c r="B157" s="67">
        <f t="shared" si="0"/>
        <v>328.55</v>
      </c>
      <c r="C157" s="67">
        <f t="shared" si="1"/>
        <v>186.64</v>
      </c>
      <c r="D157" s="67">
        <f t="shared" si="2"/>
        <v>141.91000000000003</v>
      </c>
      <c r="E157" s="67">
        <f t="shared" si="3"/>
        <v>45565.619999999974</v>
      </c>
      <c r="J157" s="7">
        <v>131</v>
      </c>
      <c r="K157" s="67">
        <f t="shared" si="10"/>
        <v>331.23</v>
      </c>
      <c r="L157" s="67">
        <f t="shared" si="11"/>
        <v>237.91</v>
      </c>
      <c r="M157" s="67">
        <f t="shared" si="6"/>
        <v>93.320000000000022</v>
      </c>
      <c r="N157" s="67">
        <f t="shared" si="7"/>
        <v>47489.55999999999</v>
      </c>
    </row>
    <row r="158" spans="1:14" ht="15" customHeight="1" x14ac:dyDescent="0.35">
      <c r="A158" s="7">
        <v>132</v>
      </c>
      <c r="B158" s="67">
        <f t="shared" si="0"/>
        <v>328.55</v>
      </c>
      <c r="C158" s="67">
        <f t="shared" si="1"/>
        <v>186.06</v>
      </c>
      <c r="D158" s="67">
        <f t="shared" si="2"/>
        <v>142.49</v>
      </c>
      <c r="E158" s="67">
        <f t="shared" si="3"/>
        <v>45423.129999999976</v>
      </c>
      <c r="J158" s="7">
        <v>132</v>
      </c>
      <c r="K158" s="67">
        <f t="shared" si="10"/>
        <v>331.23</v>
      </c>
      <c r="L158" s="67">
        <f t="shared" si="11"/>
        <v>237.45</v>
      </c>
      <c r="M158" s="67">
        <f t="shared" si="6"/>
        <v>93.78000000000003</v>
      </c>
      <c r="N158" s="67">
        <f t="shared" si="7"/>
        <v>47395.779999999992</v>
      </c>
    </row>
    <row r="159" spans="1:14" ht="15" customHeight="1" x14ac:dyDescent="0.35">
      <c r="A159" s="7">
        <v>133</v>
      </c>
      <c r="B159" s="67">
        <f t="shared" si="0"/>
        <v>328.55</v>
      </c>
      <c r="C159" s="67">
        <f t="shared" si="1"/>
        <v>185.48</v>
      </c>
      <c r="D159" s="67">
        <f t="shared" si="2"/>
        <v>143.07000000000002</v>
      </c>
      <c r="E159" s="67">
        <f t="shared" si="3"/>
        <v>45280.059999999976</v>
      </c>
      <c r="J159" s="7">
        <v>133</v>
      </c>
      <c r="K159" s="67">
        <f t="shared" si="10"/>
        <v>331.23</v>
      </c>
      <c r="L159" s="67">
        <f t="shared" si="11"/>
        <v>236.98</v>
      </c>
      <c r="M159" s="67">
        <f t="shared" si="6"/>
        <v>94.250000000000028</v>
      </c>
      <c r="N159" s="67">
        <f t="shared" si="7"/>
        <v>47301.529999999992</v>
      </c>
    </row>
    <row r="160" spans="1:14" ht="15" customHeight="1" x14ac:dyDescent="0.35">
      <c r="A160" s="7">
        <v>134</v>
      </c>
      <c r="B160" s="67">
        <f t="shared" si="0"/>
        <v>328.55</v>
      </c>
      <c r="C160" s="67">
        <f t="shared" si="1"/>
        <v>184.89</v>
      </c>
      <c r="D160" s="67">
        <f t="shared" si="2"/>
        <v>143.66000000000003</v>
      </c>
      <c r="E160" s="67">
        <f t="shared" si="3"/>
        <v>45136.399999999972</v>
      </c>
      <c r="J160" s="7">
        <v>134</v>
      </c>
      <c r="K160" s="67">
        <f t="shared" si="10"/>
        <v>331.23</v>
      </c>
      <c r="L160" s="67">
        <f t="shared" si="11"/>
        <v>236.51</v>
      </c>
      <c r="M160" s="67">
        <f t="shared" si="6"/>
        <v>94.720000000000027</v>
      </c>
      <c r="N160" s="67">
        <f t="shared" si="7"/>
        <v>47206.80999999999</v>
      </c>
    </row>
    <row r="161" spans="1:14" ht="15" customHeight="1" x14ac:dyDescent="0.35">
      <c r="A161" s="7">
        <v>135</v>
      </c>
      <c r="B161" s="67">
        <f t="shared" si="0"/>
        <v>328.55</v>
      </c>
      <c r="C161" s="67">
        <f t="shared" si="1"/>
        <v>184.31</v>
      </c>
      <c r="D161" s="67">
        <f t="shared" si="2"/>
        <v>144.24</v>
      </c>
      <c r="E161" s="67">
        <f t="shared" si="3"/>
        <v>44992.159999999974</v>
      </c>
      <c r="J161" s="7">
        <v>135</v>
      </c>
      <c r="K161" s="67">
        <f t="shared" si="10"/>
        <v>331.23</v>
      </c>
      <c r="L161" s="67">
        <f t="shared" si="11"/>
        <v>236.03</v>
      </c>
      <c r="M161" s="67">
        <f t="shared" si="6"/>
        <v>95.200000000000017</v>
      </c>
      <c r="N161" s="67">
        <f t="shared" si="7"/>
        <v>47111.609999999993</v>
      </c>
    </row>
    <row r="162" spans="1:14" ht="15" customHeight="1" x14ac:dyDescent="0.35">
      <c r="A162" s="7">
        <v>136</v>
      </c>
      <c r="B162" s="67">
        <f t="shared" si="0"/>
        <v>328.55</v>
      </c>
      <c r="C162" s="67">
        <f t="shared" si="1"/>
        <v>183.72</v>
      </c>
      <c r="D162" s="67">
        <f t="shared" si="2"/>
        <v>144.83000000000001</v>
      </c>
      <c r="E162" s="67">
        <f t="shared" si="3"/>
        <v>44847.329999999973</v>
      </c>
      <c r="J162" s="7">
        <v>136</v>
      </c>
      <c r="K162" s="67">
        <f t="shared" si="10"/>
        <v>331.23</v>
      </c>
      <c r="L162" s="67">
        <f t="shared" si="11"/>
        <v>235.56</v>
      </c>
      <c r="M162" s="67">
        <f t="shared" si="6"/>
        <v>95.670000000000016</v>
      </c>
      <c r="N162" s="67">
        <f t="shared" si="7"/>
        <v>47015.939999999995</v>
      </c>
    </row>
    <row r="163" spans="1:14" ht="15" customHeight="1" x14ac:dyDescent="0.35">
      <c r="A163" s="7">
        <v>137</v>
      </c>
      <c r="B163" s="67">
        <f t="shared" si="0"/>
        <v>328.55</v>
      </c>
      <c r="C163" s="67">
        <f t="shared" si="1"/>
        <v>183.13</v>
      </c>
      <c r="D163" s="67">
        <f t="shared" si="2"/>
        <v>145.42000000000002</v>
      </c>
      <c r="E163" s="67">
        <f t="shared" si="3"/>
        <v>44701.909999999974</v>
      </c>
      <c r="J163" s="7">
        <v>137</v>
      </c>
      <c r="K163" s="67">
        <f t="shared" si="10"/>
        <v>331.23</v>
      </c>
      <c r="L163" s="67">
        <f t="shared" si="11"/>
        <v>235.08</v>
      </c>
      <c r="M163" s="67">
        <f t="shared" si="6"/>
        <v>96.15</v>
      </c>
      <c r="N163" s="67">
        <f t="shared" si="7"/>
        <v>46919.789999999994</v>
      </c>
    </row>
    <row r="164" spans="1:14" ht="15" customHeight="1" x14ac:dyDescent="0.35">
      <c r="A164" s="7">
        <v>138</v>
      </c>
      <c r="B164" s="67">
        <f t="shared" si="0"/>
        <v>328.55</v>
      </c>
      <c r="C164" s="67">
        <f t="shared" si="1"/>
        <v>182.53</v>
      </c>
      <c r="D164" s="67">
        <f t="shared" si="2"/>
        <v>146.02000000000001</v>
      </c>
      <c r="E164" s="67">
        <f t="shared" si="3"/>
        <v>44555.889999999978</v>
      </c>
      <c r="J164" s="7">
        <v>138</v>
      </c>
      <c r="K164" s="67">
        <f t="shared" si="10"/>
        <v>331.23</v>
      </c>
      <c r="L164" s="67">
        <f t="shared" si="11"/>
        <v>234.6</v>
      </c>
      <c r="M164" s="67">
        <f t="shared" si="6"/>
        <v>96.630000000000024</v>
      </c>
      <c r="N164" s="67">
        <f t="shared" si="7"/>
        <v>46823.159999999996</v>
      </c>
    </row>
    <row r="165" spans="1:14" ht="15" customHeight="1" x14ac:dyDescent="0.35">
      <c r="A165" s="7">
        <v>139</v>
      </c>
      <c r="B165" s="67">
        <f t="shared" si="0"/>
        <v>328.55</v>
      </c>
      <c r="C165" s="67">
        <f t="shared" si="1"/>
        <v>181.94</v>
      </c>
      <c r="D165" s="67">
        <f t="shared" si="2"/>
        <v>146.61000000000001</v>
      </c>
      <c r="E165" s="67">
        <f t="shared" si="3"/>
        <v>44409.279999999977</v>
      </c>
      <c r="J165" s="7">
        <v>139</v>
      </c>
      <c r="K165" s="67">
        <f t="shared" si="10"/>
        <v>331.23</v>
      </c>
      <c r="L165" s="67">
        <f t="shared" si="11"/>
        <v>234.12</v>
      </c>
      <c r="M165" s="67">
        <f t="shared" si="6"/>
        <v>97.110000000000014</v>
      </c>
      <c r="N165" s="67">
        <f t="shared" si="7"/>
        <v>46726.049999999996</v>
      </c>
    </row>
    <row r="166" spans="1:14" ht="15" customHeight="1" x14ac:dyDescent="0.35">
      <c r="A166" s="7">
        <v>140</v>
      </c>
      <c r="B166" s="67">
        <f t="shared" si="0"/>
        <v>328.55</v>
      </c>
      <c r="C166" s="67">
        <f t="shared" si="1"/>
        <v>181.34</v>
      </c>
      <c r="D166" s="67">
        <f t="shared" si="2"/>
        <v>147.21</v>
      </c>
      <c r="E166" s="67">
        <f t="shared" si="3"/>
        <v>44262.069999999978</v>
      </c>
      <c r="J166" s="7">
        <v>140</v>
      </c>
      <c r="K166" s="67">
        <f t="shared" si="10"/>
        <v>331.23</v>
      </c>
      <c r="L166" s="67">
        <f t="shared" si="11"/>
        <v>233.63</v>
      </c>
      <c r="M166" s="67">
        <f t="shared" si="6"/>
        <v>97.600000000000023</v>
      </c>
      <c r="N166" s="67">
        <f t="shared" si="7"/>
        <v>46628.45</v>
      </c>
    </row>
    <row r="167" spans="1:14" ht="15" customHeight="1" x14ac:dyDescent="0.35">
      <c r="A167" s="7">
        <v>141</v>
      </c>
      <c r="B167" s="67">
        <f t="shared" si="0"/>
        <v>328.55</v>
      </c>
      <c r="C167" s="67">
        <f t="shared" si="1"/>
        <v>180.74</v>
      </c>
      <c r="D167" s="67">
        <f t="shared" si="2"/>
        <v>147.81</v>
      </c>
      <c r="E167" s="67">
        <f t="shared" si="3"/>
        <v>44114.25999999998</v>
      </c>
      <c r="J167" s="7">
        <v>141</v>
      </c>
      <c r="K167" s="67">
        <f t="shared" si="10"/>
        <v>331.23</v>
      </c>
      <c r="L167" s="67">
        <f t="shared" si="11"/>
        <v>233.14</v>
      </c>
      <c r="M167" s="67">
        <f t="shared" si="6"/>
        <v>98.090000000000032</v>
      </c>
      <c r="N167" s="67">
        <f t="shared" si="7"/>
        <v>46530.36</v>
      </c>
    </row>
    <row r="168" spans="1:14" ht="15" customHeight="1" x14ac:dyDescent="0.35">
      <c r="A168" s="7">
        <v>142</v>
      </c>
      <c r="B168" s="67">
        <f t="shared" si="0"/>
        <v>328.55</v>
      </c>
      <c r="C168" s="67">
        <f t="shared" si="1"/>
        <v>180.13</v>
      </c>
      <c r="D168" s="67">
        <f t="shared" si="2"/>
        <v>148.42000000000002</v>
      </c>
      <c r="E168" s="67">
        <f t="shared" si="3"/>
        <v>43965.839999999982</v>
      </c>
      <c r="J168" s="7">
        <v>142</v>
      </c>
      <c r="K168" s="67">
        <f t="shared" si="10"/>
        <v>331.23</v>
      </c>
      <c r="L168" s="67">
        <f t="shared" si="11"/>
        <v>232.65</v>
      </c>
      <c r="M168" s="67">
        <f t="shared" si="6"/>
        <v>98.580000000000013</v>
      </c>
      <c r="N168" s="67">
        <f t="shared" si="7"/>
        <v>46431.78</v>
      </c>
    </row>
    <row r="169" spans="1:14" ht="15" customHeight="1" x14ac:dyDescent="0.35">
      <c r="A169" s="7">
        <v>143</v>
      </c>
      <c r="B169" s="67">
        <f t="shared" si="0"/>
        <v>328.55</v>
      </c>
      <c r="C169" s="67">
        <f t="shared" si="1"/>
        <v>179.53</v>
      </c>
      <c r="D169" s="67">
        <f t="shared" si="2"/>
        <v>149.02000000000001</v>
      </c>
      <c r="E169" s="67">
        <f t="shared" si="3"/>
        <v>43816.819999999985</v>
      </c>
      <c r="J169" s="7">
        <v>143</v>
      </c>
      <c r="K169" s="67">
        <f t="shared" si="10"/>
        <v>331.23</v>
      </c>
      <c r="L169" s="67">
        <f t="shared" si="11"/>
        <v>232.16</v>
      </c>
      <c r="M169" s="67">
        <f t="shared" si="6"/>
        <v>99.070000000000022</v>
      </c>
      <c r="N169" s="67">
        <f t="shared" si="7"/>
        <v>46332.71</v>
      </c>
    </row>
    <row r="170" spans="1:14" ht="15" customHeight="1" x14ac:dyDescent="0.35">
      <c r="A170" s="7">
        <v>144</v>
      </c>
      <c r="B170" s="67">
        <f t="shared" si="0"/>
        <v>328.55</v>
      </c>
      <c r="C170" s="67">
        <f t="shared" si="1"/>
        <v>178.92</v>
      </c>
      <c r="D170" s="67">
        <f t="shared" si="2"/>
        <v>149.63000000000002</v>
      </c>
      <c r="E170" s="67">
        <f t="shared" si="3"/>
        <v>43667.189999999988</v>
      </c>
      <c r="J170" s="7">
        <v>144</v>
      </c>
      <c r="K170" s="67">
        <f t="shared" si="10"/>
        <v>331.23</v>
      </c>
      <c r="L170" s="67">
        <f t="shared" si="11"/>
        <v>231.66</v>
      </c>
      <c r="M170" s="67">
        <f t="shared" si="6"/>
        <v>99.570000000000022</v>
      </c>
      <c r="N170" s="67">
        <f t="shared" si="7"/>
        <v>46233.14</v>
      </c>
    </row>
    <row r="171" spans="1:14" ht="15" customHeight="1" x14ac:dyDescent="0.35">
      <c r="A171" s="7">
        <v>145</v>
      </c>
      <c r="B171" s="67">
        <f t="shared" si="0"/>
        <v>328.55</v>
      </c>
      <c r="C171" s="67">
        <f t="shared" si="1"/>
        <v>178.31</v>
      </c>
      <c r="D171" s="67">
        <f t="shared" si="2"/>
        <v>150.24</v>
      </c>
      <c r="E171" s="67">
        <f t="shared" si="3"/>
        <v>43516.94999999999</v>
      </c>
      <c r="J171" s="7">
        <v>145</v>
      </c>
      <c r="K171" s="67">
        <f t="shared" si="10"/>
        <v>331.23</v>
      </c>
      <c r="L171" s="67">
        <f t="shared" si="11"/>
        <v>231.17</v>
      </c>
      <c r="M171" s="67">
        <f t="shared" si="6"/>
        <v>100.06000000000003</v>
      </c>
      <c r="N171" s="67">
        <f t="shared" si="7"/>
        <v>46133.08</v>
      </c>
    </row>
    <row r="172" spans="1:14" ht="15" customHeight="1" x14ac:dyDescent="0.35">
      <c r="A172" s="7">
        <v>146</v>
      </c>
      <c r="B172" s="67">
        <f t="shared" si="0"/>
        <v>328.55</v>
      </c>
      <c r="C172" s="67">
        <f t="shared" si="1"/>
        <v>177.69</v>
      </c>
      <c r="D172" s="67">
        <f t="shared" si="2"/>
        <v>150.86000000000001</v>
      </c>
      <c r="E172" s="67">
        <f t="shared" si="3"/>
        <v>43366.089999999989</v>
      </c>
      <c r="J172" s="7">
        <v>146</v>
      </c>
      <c r="K172" s="67">
        <f t="shared" si="10"/>
        <v>331.23</v>
      </c>
      <c r="L172" s="67">
        <f t="shared" si="11"/>
        <v>230.67</v>
      </c>
      <c r="M172" s="67">
        <f t="shared" si="6"/>
        <v>100.56000000000003</v>
      </c>
      <c r="N172" s="67">
        <f t="shared" si="7"/>
        <v>46032.520000000004</v>
      </c>
    </row>
    <row r="173" spans="1:14" ht="15" customHeight="1" x14ac:dyDescent="0.35">
      <c r="A173" s="7">
        <v>147</v>
      </c>
      <c r="B173" s="67">
        <f t="shared" si="0"/>
        <v>328.55</v>
      </c>
      <c r="C173" s="67">
        <f t="shared" si="1"/>
        <v>177.08</v>
      </c>
      <c r="D173" s="67">
        <f t="shared" si="2"/>
        <v>151.47</v>
      </c>
      <c r="E173" s="67">
        <f t="shared" si="3"/>
        <v>43214.619999999988</v>
      </c>
      <c r="J173" s="7">
        <v>147</v>
      </c>
      <c r="K173" s="67">
        <f t="shared" si="10"/>
        <v>331.23</v>
      </c>
      <c r="L173" s="67">
        <f t="shared" si="11"/>
        <v>230.16</v>
      </c>
      <c r="M173" s="67">
        <f t="shared" si="6"/>
        <v>101.07000000000002</v>
      </c>
      <c r="N173" s="67">
        <f t="shared" si="7"/>
        <v>45931.450000000004</v>
      </c>
    </row>
    <row r="174" spans="1:14" ht="15" customHeight="1" x14ac:dyDescent="0.35">
      <c r="A174" s="7">
        <v>148</v>
      </c>
      <c r="B174" s="67">
        <f t="shared" si="0"/>
        <v>328.55</v>
      </c>
      <c r="C174" s="67">
        <f t="shared" si="1"/>
        <v>176.46</v>
      </c>
      <c r="D174" s="67">
        <f t="shared" si="2"/>
        <v>152.09</v>
      </c>
      <c r="E174" s="67">
        <f t="shared" si="3"/>
        <v>43062.529999999992</v>
      </c>
      <c r="J174" s="7">
        <v>148</v>
      </c>
      <c r="K174" s="67">
        <f t="shared" si="10"/>
        <v>331.23</v>
      </c>
      <c r="L174" s="67">
        <f t="shared" si="11"/>
        <v>229.66</v>
      </c>
      <c r="M174" s="67">
        <f t="shared" si="6"/>
        <v>101.57000000000002</v>
      </c>
      <c r="N174" s="67">
        <f t="shared" si="7"/>
        <v>45829.880000000005</v>
      </c>
    </row>
    <row r="175" spans="1:14" ht="15" customHeight="1" x14ac:dyDescent="0.35">
      <c r="A175" s="7">
        <v>149</v>
      </c>
      <c r="B175" s="67">
        <f t="shared" si="0"/>
        <v>328.55</v>
      </c>
      <c r="C175" s="67">
        <f t="shared" si="1"/>
        <v>175.84</v>
      </c>
      <c r="D175" s="67">
        <f t="shared" si="2"/>
        <v>152.71</v>
      </c>
      <c r="E175" s="67">
        <f t="shared" si="3"/>
        <v>42909.819999999992</v>
      </c>
      <c r="J175" s="7">
        <v>149</v>
      </c>
      <c r="K175" s="67">
        <f t="shared" si="10"/>
        <v>331.23</v>
      </c>
      <c r="L175" s="67">
        <f t="shared" si="11"/>
        <v>229.15</v>
      </c>
      <c r="M175" s="67">
        <f t="shared" si="6"/>
        <v>102.08000000000001</v>
      </c>
      <c r="N175" s="67">
        <f t="shared" si="7"/>
        <v>45727.8</v>
      </c>
    </row>
    <row r="176" spans="1:14" ht="15" customHeight="1" x14ac:dyDescent="0.35">
      <c r="A176" s="7">
        <v>150</v>
      </c>
      <c r="B176" s="67">
        <f t="shared" si="0"/>
        <v>328.55</v>
      </c>
      <c r="C176" s="67">
        <f t="shared" si="1"/>
        <v>175.22</v>
      </c>
      <c r="D176" s="67">
        <f t="shared" si="2"/>
        <v>153.33000000000001</v>
      </c>
      <c r="E176" s="67">
        <f t="shared" si="3"/>
        <v>42756.489999999991</v>
      </c>
      <c r="J176" s="7">
        <v>150</v>
      </c>
      <c r="K176" s="67">
        <f t="shared" si="10"/>
        <v>331.23</v>
      </c>
      <c r="L176" s="67">
        <f t="shared" si="11"/>
        <v>228.64</v>
      </c>
      <c r="M176" s="67">
        <f t="shared" si="6"/>
        <v>102.59000000000003</v>
      </c>
      <c r="N176" s="67">
        <f t="shared" si="7"/>
        <v>45625.210000000006</v>
      </c>
    </row>
    <row r="177" spans="1:14" ht="15" customHeight="1" x14ac:dyDescent="0.35">
      <c r="A177" s="7">
        <v>151</v>
      </c>
      <c r="B177" s="67">
        <f t="shared" si="0"/>
        <v>328.55</v>
      </c>
      <c r="C177" s="67">
        <f t="shared" si="1"/>
        <v>174.59</v>
      </c>
      <c r="D177" s="67">
        <f t="shared" si="2"/>
        <v>153.96</v>
      </c>
      <c r="E177" s="67">
        <f t="shared" si="3"/>
        <v>42602.529999999992</v>
      </c>
      <c r="J177" s="7">
        <v>151</v>
      </c>
      <c r="K177" s="67">
        <f t="shared" si="10"/>
        <v>331.23</v>
      </c>
      <c r="L177" s="67">
        <f t="shared" si="11"/>
        <v>228.13</v>
      </c>
      <c r="M177" s="67">
        <f t="shared" si="6"/>
        <v>103.10000000000002</v>
      </c>
      <c r="N177" s="67">
        <f t="shared" si="7"/>
        <v>45522.110000000008</v>
      </c>
    </row>
    <row r="178" spans="1:14" ht="15" customHeight="1" x14ac:dyDescent="0.35">
      <c r="A178" s="7">
        <v>152</v>
      </c>
      <c r="B178" s="67">
        <f t="shared" si="0"/>
        <v>328.55</v>
      </c>
      <c r="C178" s="67">
        <f t="shared" si="1"/>
        <v>173.96</v>
      </c>
      <c r="D178" s="67">
        <f t="shared" si="2"/>
        <v>154.59</v>
      </c>
      <c r="E178" s="67">
        <f t="shared" si="3"/>
        <v>42447.939999999995</v>
      </c>
      <c r="J178" s="7">
        <v>152</v>
      </c>
      <c r="K178" s="67">
        <f t="shared" si="10"/>
        <v>331.23</v>
      </c>
      <c r="L178" s="67">
        <f t="shared" si="11"/>
        <v>227.61</v>
      </c>
      <c r="M178" s="67">
        <f t="shared" si="6"/>
        <v>103.62</v>
      </c>
      <c r="N178" s="67">
        <f t="shared" si="7"/>
        <v>45418.490000000005</v>
      </c>
    </row>
    <row r="179" spans="1:14" ht="15" customHeight="1" x14ac:dyDescent="0.35">
      <c r="A179" s="7">
        <v>153</v>
      </c>
      <c r="B179" s="67">
        <f t="shared" si="0"/>
        <v>328.55</v>
      </c>
      <c r="C179" s="67">
        <f t="shared" si="1"/>
        <v>173.33</v>
      </c>
      <c r="D179" s="67">
        <f t="shared" si="2"/>
        <v>155.22</v>
      </c>
      <c r="E179" s="67">
        <f t="shared" si="3"/>
        <v>42292.719999999994</v>
      </c>
      <c r="J179" s="7">
        <v>153</v>
      </c>
      <c r="K179" s="67">
        <f t="shared" si="10"/>
        <v>331.23</v>
      </c>
      <c r="L179" s="67">
        <f t="shared" si="11"/>
        <v>227.09</v>
      </c>
      <c r="M179" s="67">
        <f t="shared" si="6"/>
        <v>104.14000000000001</v>
      </c>
      <c r="N179" s="67">
        <f t="shared" si="7"/>
        <v>45314.350000000006</v>
      </c>
    </row>
    <row r="180" spans="1:14" ht="15" customHeight="1" x14ac:dyDescent="0.35">
      <c r="A180" s="7">
        <v>154</v>
      </c>
      <c r="B180" s="67">
        <f t="shared" si="0"/>
        <v>328.55</v>
      </c>
      <c r="C180" s="67">
        <f t="shared" si="1"/>
        <v>172.7</v>
      </c>
      <c r="D180" s="67">
        <f t="shared" si="2"/>
        <v>155.85000000000002</v>
      </c>
      <c r="E180" s="67">
        <f t="shared" si="3"/>
        <v>42136.869999999995</v>
      </c>
      <c r="J180" s="7">
        <v>154</v>
      </c>
      <c r="K180" s="67">
        <f t="shared" si="10"/>
        <v>331.23</v>
      </c>
      <c r="L180" s="67">
        <f t="shared" si="11"/>
        <v>226.57</v>
      </c>
      <c r="M180" s="67">
        <f t="shared" si="6"/>
        <v>104.66000000000003</v>
      </c>
      <c r="N180" s="67">
        <f t="shared" si="7"/>
        <v>45209.69</v>
      </c>
    </row>
    <row r="181" spans="1:14" ht="15" customHeight="1" x14ac:dyDescent="0.35">
      <c r="A181" s="7">
        <v>155</v>
      </c>
      <c r="B181" s="67">
        <f t="shared" si="0"/>
        <v>328.55</v>
      </c>
      <c r="C181" s="67">
        <f t="shared" si="1"/>
        <v>172.06</v>
      </c>
      <c r="D181" s="67">
        <f t="shared" si="2"/>
        <v>156.49</v>
      </c>
      <c r="E181" s="67">
        <f t="shared" si="3"/>
        <v>41980.38</v>
      </c>
      <c r="J181" s="7">
        <v>155</v>
      </c>
      <c r="K181" s="67">
        <f t="shared" si="10"/>
        <v>331.23</v>
      </c>
      <c r="L181" s="67">
        <f t="shared" si="11"/>
        <v>226.05</v>
      </c>
      <c r="M181" s="67">
        <f t="shared" si="6"/>
        <v>105.18</v>
      </c>
      <c r="N181" s="67">
        <f t="shared" si="7"/>
        <v>45104.51</v>
      </c>
    </row>
    <row r="182" spans="1:14" ht="15" customHeight="1" x14ac:dyDescent="0.35">
      <c r="A182" s="7">
        <v>156</v>
      </c>
      <c r="B182" s="67">
        <f t="shared" si="0"/>
        <v>328.55</v>
      </c>
      <c r="C182" s="67">
        <f t="shared" si="1"/>
        <v>171.42</v>
      </c>
      <c r="D182" s="67">
        <f t="shared" si="2"/>
        <v>157.13000000000002</v>
      </c>
      <c r="E182" s="67">
        <f t="shared" si="3"/>
        <v>41823.25</v>
      </c>
      <c r="J182" s="7">
        <v>156</v>
      </c>
      <c r="K182" s="67">
        <f t="shared" si="10"/>
        <v>331.23</v>
      </c>
      <c r="L182" s="67">
        <f t="shared" si="11"/>
        <v>225.52</v>
      </c>
      <c r="M182" s="67">
        <f t="shared" si="6"/>
        <v>105.71000000000001</v>
      </c>
      <c r="N182" s="67">
        <f t="shared" si="7"/>
        <v>44998.8</v>
      </c>
    </row>
    <row r="183" spans="1:14" ht="15" customHeight="1" x14ac:dyDescent="0.35">
      <c r="A183" s="7">
        <v>157</v>
      </c>
      <c r="B183" s="67">
        <f t="shared" si="0"/>
        <v>328.55</v>
      </c>
      <c r="C183" s="67">
        <f t="shared" si="1"/>
        <v>170.78</v>
      </c>
      <c r="D183" s="67">
        <f t="shared" si="2"/>
        <v>157.77000000000001</v>
      </c>
      <c r="E183" s="67">
        <f t="shared" si="3"/>
        <v>41665.480000000003</v>
      </c>
      <c r="J183" s="7">
        <v>157</v>
      </c>
      <c r="K183" s="67">
        <f t="shared" si="10"/>
        <v>331.23</v>
      </c>
      <c r="L183" s="67">
        <f t="shared" si="11"/>
        <v>224.99</v>
      </c>
      <c r="M183" s="67">
        <f t="shared" si="6"/>
        <v>106.24000000000001</v>
      </c>
      <c r="N183" s="67">
        <f t="shared" si="7"/>
        <v>44892.560000000005</v>
      </c>
    </row>
    <row r="184" spans="1:14" ht="15" customHeight="1" x14ac:dyDescent="0.35">
      <c r="A184" s="7">
        <v>158</v>
      </c>
      <c r="B184" s="67">
        <f t="shared" si="0"/>
        <v>328.55</v>
      </c>
      <c r="C184" s="67">
        <f t="shared" si="1"/>
        <v>170.13</v>
      </c>
      <c r="D184" s="67">
        <f t="shared" si="2"/>
        <v>158.42000000000002</v>
      </c>
      <c r="E184" s="67">
        <f t="shared" si="3"/>
        <v>41507.060000000005</v>
      </c>
      <c r="J184" s="7">
        <v>158</v>
      </c>
      <c r="K184" s="67">
        <f t="shared" si="10"/>
        <v>331.23</v>
      </c>
      <c r="L184" s="67">
        <f t="shared" si="11"/>
        <v>224.46</v>
      </c>
      <c r="M184" s="67">
        <f t="shared" si="6"/>
        <v>106.77000000000001</v>
      </c>
      <c r="N184" s="67">
        <f t="shared" si="7"/>
        <v>44785.790000000008</v>
      </c>
    </row>
    <row r="185" spans="1:14" ht="15" customHeight="1" x14ac:dyDescent="0.35">
      <c r="A185" s="7">
        <v>159</v>
      </c>
      <c r="B185" s="67">
        <f t="shared" si="0"/>
        <v>328.55</v>
      </c>
      <c r="C185" s="67">
        <f t="shared" si="1"/>
        <v>169.49</v>
      </c>
      <c r="D185" s="67">
        <f t="shared" si="2"/>
        <v>159.06</v>
      </c>
      <c r="E185" s="67">
        <f t="shared" si="3"/>
        <v>41348.000000000007</v>
      </c>
      <c r="J185" s="7">
        <v>159</v>
      </c>
      <c r="K185" s="67">
        <f t="shared" si="10"/>
        <v>331.23</v>
      </c>
      <c r="L185" s="67">
        <f t="shared" si="11"/>
        <v>223.93</v>
      </c>
      <c r="M185" s="67">
        <f t="shared" si="6"/>
        <v>107.30000000000001</v>
      </c>
      <c r="N185" s="67">
        <f t="shared" si="7"/>
        <v>44678.490000000005</v>
      </c>
    </row>
    <row r="186" spans="1:14" ht="15" customHeight="1" x14ac:dyDescent="0.35">
      <c r="A186" s="7">
        <v>160</v>
      </c>
      <c r="B186" s="67">
        <f t="shared" si="0"/>
        <v>328.55</v>
      </c>
      <c r="C186" s="67">
        <f t="shared" si="1"/>
        <v>168.84</v>
      </c>
      <c r="D186" s="67">
        <f t="shared" si="2"/>
        <v>159.71</v>
      </c>
      <c r="E186" s="67">
        <f t="shared" si="3"/>
        <v>41188.290000000008</v>
      </c>
      <c r="J186" s="7">
        <v>160</v>
      </c>
      <c r="K186" s="67">
        <f t="shared" si="10"/>
        <v>331.23</v>
      </c>
      <c r="L186" s="67">
        <f t="shared" si="11"/>
        <v>223.39</v>
      </c>
      <c r="M186" s="67">
        <f t="shared" si="6"/>
        <v>107.84000000000003</v>
      </c>
      <c r="N186" s="67">
        <f t="shared" si="7"/>
        <v>44570.650000000009</v>
      </c>
    </row>
    <row r="187" spans="1:14" ht="15" customHeight="1" x14ac:dyDescent="0.35">
      <c r="A187" s="7">
        <v>161</v>
      </c>
      <c r="B187" s="67">
        <f t="shared" si="0"/>
        <v>328.55</v>
      </c>
      <c r="C187" s="67">
        <f t="shared" si="1"/>
        <v>168.19</v>
      </c>
      <c r="D187" s="67">
        <f t="shared" si="2"/>
        <v>160.36000000000001</v>
      </c>
      <c r="E187" s="67">
        <f t="shared" si="3"/>
        <v>41027.930000000008</v>
      </c>
      <c r="J187" s="7">
        <v>161</v>
      </c>
      <c r="K187" s="67">
        <f t="shared" si="10"/>
        <v>331.23</v>
      </c>
      <c r="L187" s="67">
        <f t="shared" si="11"/>
        <v>222.85</v>
      </c>
      <c r="M187" s="67">
        <f t="shared" si="6"/>
        <v>108.38000000000002</v>
      </c>
      <c r="N187" s="67">
        <f t="shared" si="7"/>
        <v>44462.270000000011</v>
      </c>
    </row>
    <row r="188" spans="1:14" ht="15" customHeight="1" x14ac:dyDescent="0.35">
      <c r="A188" s="7">
        <v>162</v>
      </c>
      <c r="B188" s="67">
        <f t="shared" si="0"/>
        <v>328.55</v>
      </c>
      <c r="C188" s="67">
        <f t="shared" si="1"/>
        <v>167.53</v>
      </c>
      <c r="D188" s="67">
        <f t="shared" si="2"/>
        <v>161.02000000000001</v>
      </c>
      <c r="E188" s="67">
        <f t="shared" si="3"/>
        <v>40866.910000000011</v>
      </c>
      <c r="J188" s="7">
        <v>162</v>
      </c>
      <c r="K188" s="67">
        <f t="shared" si="10"/>
        <v>331.23</v>
      </c>
      <c r="L188" s="67">
        <f t="shared" si="11"/>
        <v>222.31</v>
      </c>
      <c r="M188" s="67">
        <f t="shared" si="6"/>
        <v>108.92000000000002</v>
      </c>
      <c r="N188" s="67">
        <f t="shared" si="7"/>
        <v>44353.350000000013</v>
      </c>
    </row>
    <row r="189" spans="1:14" ht="15" customHeight="1" x14ac:dyDescent="0.35">
      <c r="A189" s="7">
        <v>163</v>
      </c>
      <c r="B189" s="67">
        <f t="shared" si="0"/>
        <v>328.55</v>
      </c>
      <c r="C189" s="67">
        <f t="shared" si="1"/>
        <v>166.87</v>
      </c>
      <c r="D189" s="67">
        <f t="shared" si="2"/>
        <v>161.68</v>
      </c>
      <c r="E189" s="67">
        <f t="shared" si="3"/>
        <v>40705.23000000001</v>
      </c>
      <c r="J189" s="7">
        <v>163</v>
      </c>
      <c r="K189" s="67">
        <f t="shared" si="10"/>
        <v>331.23</v>
      </c>
      <c r="L189" s="67">
        <f t="shared" si="11"/>
        <v>221.77</v>
      </c>
      <c r="M189" s="67">
        <f t="shared" si="6"/>
        <v>109.46000000000001</v>
      </c>
      <c r="N189" s="67">
        <f t="shared" si="7"/>
        <v>44243.890000000014</v>
      </c>
    </row>
    <row r="190" spans="1:14" ht="15" customHeight="1" x14ac:dyDescent="0.35">
      <c r="A190" s="7">
        <v>164</v>
      </c>
      <c r="B190" s="67">
        <f t="shared" si="0"/>
        <v>328.55</v>
      </c>
      <c r="C190" s="67">
        <f t="shared" si="1"/>
        <v>166.21</v>
      </c>
      <c r="D190" s="67">
        <f t="shared" si="2"/>
        <v>162.34</v>
      </c>
      <c r="E190" s="67">
        <f t="shared" si="3"/>
        <v>40542.890000000014</v>
      </c>
      <c r="J190" s="7">
        <v>164</v>
      </c>
      <c r="K190" s="67">
        <f t="shared" si="10"/>
        <v>331.23</v>
      </c>
      <c r="L190" s="67">
        <f t="shared" si="11"/>
        <v>221.22</v>
      </c>
      <c r="M190" s="67">
        <f t="shared" si="6"/>
        <v>110.01000000000002</v>
      </c>
      <c r="N190" s="67">
        <f t="shared" si="7"/>
        <v>44133.880000000012</v>
      </c>
    </row>
    <row r="191" spans="1:14" ht="15" customHeight="1" x14ac:dyDescent="0.35">
      <c r="A191" s="7">
        <v>165</v>
      </c>
      <c r="B191" s="67">
        <f t="shared" si="0"/>
        <v>328.55</v>
      </c>
      <c r="C191" s="67">
        <f t="shared" si="1"/>
        <v>165.55</v>
      </c>
      <c r="D191" s="67">
        <f t="shared" si="2"/>
        <v>163</v>
      </c>
      <c r="E191" s="67">
        <f t="shared" si="3"/>
        <v>40379.890000000014</v>
      </c>
      <c r="J191" s="7">
        <v>165</v>
      </c>
      <c r="K191" s="67">
        <f t="shared" si="10"/>
        <v>331.23</v>
      </c>
      <c r="L191" s="67">
        <f t="shared" si="11"/>
        <v>220.67</v>
      </c>
      <c r="M191" s="67">
        <f t="shared" si="6"/>
        <v>110.56000000000003</v>
      </c>
      <c r="N191" s="67">
        <f t="shared" si="7"/>
        <v>44023.320000000014</v>
      </c>
    </row>
    <row r="192" spans="1:14" ht="15" customHeight="1" x14ac:dyDescent="0.35">
      <c r="A192" s="7">
        <v>166</v>
      </c>
      <c r="B192" s="67">
        <f t="shared" si="0"/>
        <v>328.55</v>
      </c>
      <c r="C192" s="67">
        <f t="shared" si="1"/>
        <v>164.88</v>
      </c>
      <c r="D192" s="67">
        <f t="shared" si="2"/>
        <v>163.67000000000002</v>
      </c>
      <c r="E192" s="67">
        <f t="shared" si="3"/>
        <v>40216.220000000016</v>
      </c>
      <c r="J192" s="7">
        <v>166</v>
      </c>
      <c r="K192" s="67">
        <f t="shared" si="10"/>
        <v>331.23</v>
      </c>
      <c r="L192" s="67">
        <f t="shared" si="11"/>
        <v>220.12</v>
      </c>
      <c r="M192" s="67">
        <f t="shared" si="6"/>
        <v>111.11000000000001</v>
      </c>
      <c r="N192" s="67">
        <f t="shared" si="7"/>
        <v>43912.210000000014</v>
      </c>
    </row>
    <row r="193" spans="1:14" ht="15" customHeight="1" x14ac:dyDescent="0.35">
      <c r="A193" s="7">
        <v>167</v>
      </c>
      <c r="B193" s="67">
        <f t="shared" si="0"/>
        <v>328.55</v>
      </c>
      <c r="C193" s="67">
        <f t="shared" si="1"/>
        <v>164.22</v>
      </c>
      <c r="D193" s="67">
        <f t="shared" si="2"/>
        <v>164.33</v>
      </c>
      <c r="E193" s="67">
        <f t="shared" si="3"/>
        <v>40051.890000000014</v>
      </c>
      <c r="J193" s="7">
        <v>167</v>
      </c>
      <c r="K193" s="67">
        <f t="shared" si="10"/>
        <v>331.23</v>
      </c>
      <c r="L193" s="67">
        <f t="shared" si="11"/>
        <v>219.56</v>
      </c>
      <c r="M193" s="67">
        <f t="shared" si="6"/>
        <v>111.67000000000002</v>
      </c>
      <c r="N193" s="67">
        <f t="shared" si="7"/>
        <v>43800.540000000015</v>
      </c>
    </row>
    <row r="194" spans="1:14" ht="15" customHeight="1" x14ac:dyDescent="0.35">
      <c r="A194" s="7">
        <v>168</v>
      </c>
      <c r="B194" s="67">
        <f t="shared" si="0"/>
        <v>328.55</v>
      </c>
      <c r="C194" s="67">
        <f t="shared" si="1"/>
        <v>163.55000000000001</v>
      </c>
      <c r="D194" s="67">
        <f t="shared" si="2"/>
        <v>165</v>
      </c>
      <c r="E194" s="67">
        <f t="shared" si="3"/>
        <v>39886.890000000014</v>
      </c>
      <c r="J194" s="7">
        <v>168</v>
      </c>
      <c r="K194" s="67">
        <f t="shared" si="10"/>
        <v>331.23</v>
      </c>
      <c r="L194" s="67">
        <f t="shared" si="11"/>
        <v>219</v>
      </c>
      <c r="M194" s="67">
        <f t="shared" si="6"/>
        <v>112.23000000000002</v>
      </c>
      <c r="N194" s="67">
        <f t="shared" si="7"/>
        <v>43688.310000000012</v>
      </c>
    </row>
    <row r="195" spans="1:14" ht="15" customHeight="1" x14ac:dyDescent="0.35">
      <c r="A195" s="7">
        <v>169</v>
      </c>
      <c r="B195" s="67">
        <f t="shared" si="0"/>
        <v>328.55</v>
      </c>
      <c r="C195" s="67">
        <f t="shared" si="1"/>
        <v>162.87</v>
      </c>
      <c r="D195" s="67">
        <f t="shared" si="2"/>
        <v>165.68</v>
      </c>
      <c r="E195" s="67">
        <f t="shared" si="3"/>
        <v>39721.210000000014</v>
      </c>
      <c r="J195" s="7">
        <v>169</v>
      </c>
      <c r="K195" s="67">
        <f t="shared" si="10"/>
        <v>331.23</v>
      </c>
      <c r="L195" s="67">
        <f t="shared" si="11"/>
        <v>218.44</v>
      </c>
      <c r="M195" s="67">
        <f t="shared" si="6"/>
        <v>112.79000000000002</v>
      </c>
      <c r="N195" s="67">
        <f t="shared" si="7"/>
        <v>43575.520000000011</v>
      </c>
    </row>
    <row r="196" spans="1:14" ht="15" customHeight="1" x14ac:dyDescent="0.35">
      <c r="A196" s="7">
        <v>170</v>
      </c>
      <c r="B196" s="67">
        <f t="shared" si="0"/>
        <v>328.55</v>
      </c>
      <c r="C196" s="67">
        <f t="shared" si="1"/>
        <v>162.19</v>
      </c>
      <c r="D196" s="67">
        <f t="shared" si="2"/>
        <v>166.36</v>
      </c>
      <c r="E196" s="67">
        <f t="shared" si="3"/>
        <v>39554.850000000013</v>
      </c>
      <c r="J196" s="7">
        <v>170</v>
      </c>
      <c r="K196" s="67">
        <f t="shared" si="10"/>
        <v>331.23</v>
      </c>
      <c r="L196" s="67">
        <f t="shared" si="11"/>
        <v>217.88</v>
      </c>
      <c r="M196" s="67">
        <f t="shared" si="6"/>
        <v>113.35000000000002</v>
      </c>
      <c r="N196" s="67">
        <f t="shared" si="7"/>
        <v>43462.170000000013</v>
      </c>
    </row>
    <row r="197" spans="1:14" ht="15" customHeight="1" x14ac:dyDescent="0.35">
      <c r="A197" s="7">
        <v>171</v>
      </c>
      <c r="B197" s="67">
        <f t="shared" si="0"/>
        <v>328.55</v>
      </c>
      <c r="C197" s="67">
        <f t="shared" si="1"/>
        <v>161.52000000000001</v>
      </c>
      <c r="D197" s="67">
        <f t="shared" si="2"/>
        <v>167.03</v>
      </c>
      <c r="E197" s="67">
        <f t="shared" si="3"/>
        <v>39387.820000000014</v>
      </c>
      <c r="J197" s="7">
        <v>171</v>
      </c>
      <c r="K197" s="67">
        <f t="shared" si="10"/>
        <v>331.23</v>
      </c>
      <c r="L197" s="67">
        <f t="shared" si="11"/>
        <v>217.31</v>
      </c>
      <c r="M197" s="67">
        <f t="shared" si="6"/>
        <v>113.92000000000002</v>
      </c>
      <c r="N197" s="67">
        <f t="shared" si="7"/>
        <v>43348.250000000015</v>
      </c>
    </row>
    <row r="198" spans="1:14" ht="15" customHeight="1" x14ac:dyDescent="0.35">
      <c r="A198" s="7">
        <v>172</v>
      </c>
      <c r="B198" s="67">
        <f t="shared" si="0"/>
        <v>328.55</v>
      </c>
      <c r="C198" s="67">
        <f t="shared" si="1"/>
        <v>160.83000000000001</v>
      </c>
      <c r="D198" s="67">
        <f t="shared" si="2"/>
        <v>167.72</v>
      </c>
      <c r="E198" s="67">
        <f t="shared" si="3"/>
        <v>39220.100000000013</v>
      </c>
      <c r="J198" s="7">
        <v>172</v>
      </c>
      <c r="K198" s="67">
        <f t="shared" si="10"/>
        <v>331.23</v>
      </c>
      <c r="L198" s="67">
        <f t="shared" si="11"/>
        <v>216.74</v>
      </c>
      <c r="M198" s="67">
        <f t="shared" si="6"/>
        <v>114.49000000000001</v>
      </c>
      <c r="N198" s="67">
        <f t="shared" si="7"/>
        <v>43233.760000000017</v>
      </c>
    </row>
    <row r="199" spans="1:14" ht="15" customHeight="1" x14ac:dyDescent="0.35">
      <c r="A199" s="7">
        <v>173</v>
      </c>
      <c r="B199" s="67">
        <f t="shared" si="0"/>
        <v>328.55</v>
      </c>
      <c r="C199" s="67">
        <f t="shared" si="1"/>
        <v>160.15</v>
      </c>
      <c r="D199" s="67">
        <f t="shared" si="2"/>
        <v>168.4</v>
      </c>
      <c r="E199" s="67">
        <f t="shared" si="3"/>
        <v>39051.700000000012</v>
      </c>
      <c r="J199" s="7">
        <v>173</v>
      </c>
      <c r="K199" s="67">
        <f t="shared" si="10"/>
        <v>331.23</v>
      </c>
      <c r="L199" s="67">
        <f t="shared" si="11"/>
        <v>216.17</v>
      </c>
      <c r="M199" s="67">
        <f t="shared" si="6"/>
        <v>115.06000000000003</v>
      </c>
      <c r="N199" s="67">
        <f t="shared" si="7"/>
        <v>43118.700000000019</v>
      </c>
    </row>
    <row r="200" spans="1:14" ht="15" customHeight="1" x14ac:dyDescent="0.35">
      <c r="A200" s="7">
        <v>174</v>
      </c>
      <c r="B200" s="67">
        <f t="shared" si="0"/>
        <v>328.55</v>
      </c>
      <c r="C200" s="67">
        <f t="shared" si="1"/>
        <v>159.46</v>
      </c>
      <c r="D200" s="67">
        <f t="shared" si="2"/>
        <v>169.09</v>
      </c>
      <c r="E200" s="67">
        <f t="shared" si="3"/>
        <v>38882.610000000015</v>
      </c>
      <c r="J200" s="7">
        <v>174</v>
      </c>
      <c r="K200" s="67">
        <f t="shared" si="10"/>
        <v>331.23</v>
      </c>
      <c r="L200" s="67">
        <f t="shared" si="11"/>
        <v>215.59</v>
      </c>
      <c r="M200" s="67">
        <f t="shared" si="6"/>
        <v>115.64000000000001</v>
      </c>
      <c r="N200" s="67">
        <f t="shared" si="7"/>
        <v>43003.060000000019</v>
      </c>
    </row>
    <row r="201" spans="1:14" ht="15" customHeight="1" x14ac:dyDescent="0.35">
      <c r="A201" s="7">
        <v>175</v>
      </c>
      <c r="B201" s="67">
        <f t="shared" si="0"/>
        <v>328.55</v>
      </c>
      <c r="C201" s="67">
        <f t="shared" si="1"/>
        <v>158.77000000000001</v>
      </c>
      <c r="D201" s="67">
        <f t="shared" si="2"/>
        <v>169.78</v>
      </c>
      <c r="E201" s="67">
        <f t="shared" si="3"/>
        <v>38712.830000000016</v>
      </c>
      <c r="J201" s="7">
        <v>175</v>
      </c>
      <c r="K201" s="67">
        <f t="shared" si="10"/>
        <v>331.23</v>
      </c>
      <c r="L201" s="67">
        <f t="shared" si="11"/>
        <v>215.02</v>
      </c>
      <c r="M201" s="67">
        <f t="shared" si="6"/>
        <v>116.21000000000001</v>
      </c>
      <c r="N201" s="67">
        <f t="shared" si="7"/>
        <v>42886.85000000002</v>
      </c>
    </row>
    <row r="202" spans="1:14" ht="15" customHeight="1" x14ac:dyDescent="0.35">
      <c r="A202" s="7">
        <v>176</v>
      </c>
      <c r="B202" s="67">
        <f t="shared" si="0"/>
        <v>328.55</v>
      </c>
      <c r="C202" s="67">
        <f t="shared" si="1"/>
        <v>158.08000000000001</v>
      </c>
      <c r="D202" s="67">
        <f t="shared" si="2"/>
        <v>170.47</v>
      </c>
      <c r="E202" s="67">
        <f t="shared" si="3"/>
        <v>38542.360000000015</v>
      </c>
      <c r="J202" s="7">
        <v>176</v>
      </c>
      <c r="K202" s="67">
        <f t="shared" si="10"/>
        <v>331.23</v>
      </c>
      <c r="L202" s="67">
        <f t="shared" si="11"/>
        <v>214.43</v>
      </c>
      <c r="M202" s="67">
        <f t="shared" si="6"/>
        <v>116.80000000000001</v>
      </c>
      <c r="N202" s="67">
        <f t="shared" si="7"/>
        <v>42770.050000000017</v>
      </c>
    </row>
    <row r="203" spans="1:14" ht="15" customHeight="1" x14ac:dyDescent="0.35">
      <c r="A203" s="7">
        <v>177</v>
      </c>
      <c r="B203" s="67">
        <f t="shared" si="0"/>
        <v>328.55</v>
      </c>
      <c r="C203" s="67">
        <f t="shared" si="1"/>
        <v>157.38</v>
      </c>
      <c r="D203" s="67">
        <f t="shared" si="2"/>
        <v>171.17000000000002</v>
      </c>
      <c r="E203" s="67">
        <f t="shared" si="3"/>
        <v>38371.190000000017</v>
      </c>
      <c r="J203" s="7">
        <v>177</v>
      </c>
      <c r="K203" s="67">
        <f t="shared" si="10"/>
        <v>331.23</v>
      </c>
      <c r="L203" s="67">
        <f t="shared" si="11"/>
        <v>213.85</v>
      </c>
      <c r="M203" s="67">
        <f t="shared" si="6"/>
        <v>117.38000000000002</v>
      </c>
      <c r="N203" s="67">
        <f t="shared" si="7"/>
        <v>42652.67000000002</v>
      </c>
    </row>
    <row r="204" spans="1:14" ht="15" customHeight="1" x14ac:dyDescent="0.35">
      <c r="A204" s="7">
        <v>178</v>
      </c>
      <c r="B204" s="67">
        <f t="shared" si="0"/>
        <v>328.55</v>
      </c>
      <c r="C204" s="67">
        <f t="shared" si="1"/>
        <v>156.68</v>
      </c>
      <c r="D204" s="67">
        <f t="shared" si="2"/>
        <v>171.87</v>
      </c>
      <c r="E204" s="67">
        <f t="shared" si="3"/>
        <v>38199.320000000014</v>
      </c>
      <c r="J204" s="7">
        <v>178</v>
      </c>
      <c r="K204" s="67">
        <f t="shared" si="10"/>
        <v>331.23</v>
      </c>
      <c r="L204" s="67">
        <f t="shared" si="11"/>
        <v>213.26</v>
      </c>
      <c r="M204" s="67">
        <f t="shared" si="6"/>
        <v>117.97000000000003</v>
      </c>
      <c r="N204" s="67">
        <f t="shared" si="7"/>
        <v>42534.700000000019</v>
      </c>
    </row>
    <row r="205" spans="1:14" ht="15" customHeight="1" x14ac:dyDescent="0.35">
      <c r="A205" s="7">
        <v>179</v>
      </c>
      <c r="B205" s="67">
        <f t="shared" si="0"/>
        <v>328.55</v>
      </c>
      <c r="C205" s="67">
        <f t="shared" si="1"/>
        <v>155.97999999999999</v>
      </c>
      <c r="D205" s="67">
        <f t="shared" si="2"/>
        <v>172.57000000000002</v>
      </c>
      <c r="E205" s="67">
        <f t="shared" si="3"/>
        <v>38026.750000000015</v>
      </c>
      <c r="J205" s="7">
        <v>179</v>
      </c>
      <c r="K205" s="67">
        <f t="shared" si="10"/>
        <v>331.23</v>
      </c>
      <c r="L205" s="67">
        <f t="shared" si="11"/>
        <v>212.67</v>
      </c>
      <c r="M205" s="67">
        <f t="shared" si="6"/>
        <v>118.56000000000003</v>
      </c>
      <c r="N205" s="67">
        <f t="shared" si="7"/>
        <v>42416.140000000021</v>
      </c>
    </row>
    <row r="206" spans="1:14" ht="15" customHeight="1" x14ac:dyDescent="0.35">
      <c r="A206" s="7">
        <v>180</v>
      </c>
      <c r="B206" s="67">
        <f t="shared" si="0"/>
        <v>328.55</v>
      </c>
      <c r="C206" s="67">
        <f t="shared" si="1"/>
        <v>155.28</v>
      </c>
      <c r="D206" s="67">
        <f t="shared" si="2"/>
        <v>173.27</v>
      </c>
      <c r="E206" s="67">
        <f t="shared" si="3"/>
        <v>37853.480000000018</v>
      </c>
      <c r="J206" s="7">
        <v>180</v>
      </c>
      <c r="K206" s="67">
        <f t="shared" si="10"/>
        <v>331.23</v>
      </c>
      <c r="L206" s="67">
        <f t="shared" si="11"/>
        <v>212.08</v>
      </c>
      <c r="M206" s="67">
        <f t="shared" si="6"/>
        <v>119.15</v>
      </c>
      <c r="N206" s="67">
        <f t="shared" si="7"/>
        <v>42296.99000000002</v>
      </c>
    </row>
    <row r="207" spans="1:14" ht="15" customHeight="1" x14ac:dyDescent="0.35">
      <c r="A207" s="7">
        <v>181</v>
      </c>
      <c r="B207" s="67">
        <f t="shared" si="0"/>
        <v>328.55</v>
      </c>
      <c r="C207" s="67">
        <f t="shared" si="1"/>
        <v>154.57</v>
      </c>
      <c r="D207" s="67">
        <f t="shared" si="2"/>
        <v>173.98000000000002</v>
      </c>
      <c r="E207" s="67">
        <f t="shared" si="3"/>
        <v>37679.500000000015</v>
      </c>
      <c r="J207" s="7">
        <v>181</v>
      </c>
      <c r="K207" s="67">
        <f t="shared" si="10"/>
        <v>331.23</v>
      </c>
      <c r="L207" s="67">
        <f t="shared" si="11"/>
        <v>211.48</v>
      </c>
      <c r="M207" s="67">
        <f t="shared" si="6"/>
        <v>119.75000000000003</v>
      </c>
      <c r="N207" s="67">
        <f t="shared" si="7"/>
        <v>42177.24000000002</v>
      </c>
    </row>
    <row r="208" spans="1:14" ht="15" customHeight="1" x14ac:dyDescent="0.35">
      <c r="A208" s="7">
        <v>182</v>
      </c>
      <c r="B208" s="67">
        <f t="shared" si="0"/>
        <v>328.55</v>
      </c>
      <c r="C208" s="67">
        <f t="shared" si="1"/>
        <v>153.86000000000001</v>
      </c>
      <c r="D208" s="67">
        <f t="shared" si="2"/>
        <v>174.69</v>
      </c>
      <c r="E208" s="67">
        <f t="shared" si="3"/>
        <v>37504.810000000012</v>
      </c>
      <c r="J208" s="7">
        <v>182</v>
      </c>
      <c r="K208" s="67">
        <f t="shared" si="10"/>
        <v>331.23</v>
      </c>
      <c r="L208" s="67">
        <f t="shared" si="11"/>
        <v>210.89</v>
      </c>
      <c r="M208" s="67">
        <f t="shared" si="6"/>
        <v>120.34000000000003</v>
      </c>
      <c r="N208" s="67">
        <f t="shared" si="7"/>
        <v>42056.900000000023</v>
      </c>
    </row>
    <row r="209" spans="1:14" ht="15" customHeight="1" x14ac:dyDescent="0.35">
      <c r="A209" s="7">
        <v>183</v>
      </c>
      <c r="B209" s="67">
        <f t="shared" si="0"/>
        <v>328.55</v>
      </c>
      <c r="C209" s="67">
        <f t="shared" si="1"/>
        <v>153.13999999999999</v>
      </c>
      <c r="D209" s="67">
        <f t="shared" si="2"/>
        <v>175.41000000000003</v>
      </c>
      <c r="E209" s="67">
        <f t="shared" si="3"/>
        <v>37329.400000000009</v>
      </c>
      <c r="J209" s="7">
        <v>183</v>
      </c>
      <c r="K209" s="67">
        <f t="shared" si="10"/>
        <v>331.23</v>
      </c>
      <c r="L209" s="67">
        <f t="shared" si="11"/>
        <v>210.28</v>
      </c>
      <c r="M209" s="67">
        <f t="shared" si="6"/>
        <v>120.95000000000002</v>
      </c>
      <c r="N209" s="67">
        <f t="shared" si="7"/>
        <v>41935.950000000026</v>
      </c>
    </row>
    <row r="210" spans="1:14" ht="15" customHeight="1" x14ac:dyDescent="0.35">
      <c r="A210" s="7">
        <v>184</v>
      </c>
      <c r="B210" s="67">
        <f t="shared" si="0"/>
        <v>328.55</v>
      </c>
      <c r="C210" s="67">
        <f t="shared" si="1"/>
        <v>152.43</v>
      </c>
      <c r="D210" s="67">
        <f t="shared" si="2"/>
        <v>176.12</v>
      </c>
      <c r="E210" s="67">
        <f t="shared" si="3"/>
        <v>37153.280000000006</v>
      </c>
      <c r="J210" s="7">
        <v>184</v>
      </c>
      <c r="K210" s="67">
        <f t="shared" si="10"/>
        <v>331.23</v>
      </c>
      <c r="L210" s="67">
        <f t="shared" si="11"/>
        <v>209.68</v>
      </c>
      <c r="M210" s="67">
        <f t="shared" si="6"/>
        <v>121.55000000000001</v>
      </c>
      <c r="N210" s="67">
        <f t="shared" si="7"/>
        <v>41814.400000000023</v>
      </c>
    </row>
    <row r="211" spans="1:14" ht="15" customHeight="1" x14ac:dyDescent="0.35">
      <c r="A211" s="7">
        <v>185</v>
      </c>
      <c r="B211" s="67">
        <f t="shared" si="0"/>
        <v>328.55</v>
      </c>
      <c r="C211" s="67">
        <f t="shared" si="1"/>
        <v>151.71</v>
      </c>
      <c r="D211" s="67">
        <f t="shared" si="2"/>
        <v>176.84</v>
      </c>
      <c r="E211" s="67">
        <f t="shared" si="3"/>
        <v>36976.44000000001</v>
      </c>
      <c r="J211" s="7">
        <v>185</v>
      </c>
      <c r="K211" s="67">
        <f t="shared" si="10"/>
        <v>331.23</v>
      </c>
      <c r="L211" s="67">
        <f t="shared" si="11"/>
        <v>209.07</v>
      </c>
      <c r="M211" s="67">
        <f t="shared" si="6"/>
        <v>122.16000000000003</v>
      </c>
      <c r="N211" s="67">
        <f t="shared" si="7"/>
        <v>41692.24000000002</v>
      </c>
    </row>
    <row r="212" spans="1:14" ht="15" customHeight="1" x14ac:dyDescent="0.35">
      <c r="A212" s="7">
        <v>186</v>
      </c>
      <c r="B212" s="67">
        <f t="shared" si="0"/>
        <v>328.55</v>
      </c>
      <c r="C212" s="67">
        <f t="shared" si="1"/>
        <v>150.99</v>
      </c>
      <c r="D212" s="67">
        <f t="shared" si="2"/>
        <v>177.56</v>
      </c>
      <c r="E212" s="67">
        <f t="shared" si="3"/>
        <v>36798.880000000012</v>
      </c>
      <c r="J212" s="7">
        <v>186</v>
      </c>
      <c r="K212" s="67">
        <f t="shared" si="10"/>
        <v>331.23</v>
      </c>
      <c r="L212" s="67">
        <f t="shared" si="11"/>
        <v>208.46</v>
      </c>
      <c r="M212" s="67">
        <f t="shared" si="6"/>
        <v>122.77000000000001</v>
      </c>
      <c r="N212" s="67">
        <f t="shared" si="7"/>
        <v>41569.470000000023</v>
      </c>
    </row>
    <row r="213" spans="1:14" ht="15" customHeight="1" x14ac:dyDescent="0.35">
      <c r="A213" s="7">
        <v>187</v>
      </c>
      <c r="B213" s="67">
        <f t="shared" si="0"/>
        <v>328.55</v>
      </c>
      <c r="C213" s="67">
        <f t="shared" si="1"/>
        <v>150.26</v>
      </c>
      <c r="D213" s="67">
        <f t="shared" si="2"/>
        <v>178.29000000000002</v>
      </c>
      <c r="E213" s="67">
        <f t="shared" si="3"/>
        <v>36620.590000000011</v>
      </c>
      <c r="J213" s="7">
        <v>187</v>
      </c>
      <c r="K213" s="67">
        <f t="shared" si="10"/>
        <v>331.23</v>
      </c>
      <c r="L213" s="67">
        <f t="shared" si="11"/>
        <v>207.85</v>
      </c>
      <c r="M213" s="67">
        <f t="shared" si="6"/>
        <v>123.38000000000002</v>
      </c>
      <c r="N213" s="67">
        <f t="shared" si="7"/>
        <v>41446.090000000026</v>
      </c>
    </row>
    <row r="214" spans="1:14" ht="15" customHeight="1" x14ac:dyDescent="0.35">
      <c r="A214" s="7">
        <v>188</v>
      </c>
      <c r="B214" s="67">
        <f t="shared" si="0"/>
        <v>328.55</v>
      </c>
      <c r="C214" s="67">
        <f t="shared" si="1"/>
        <v>149.53</v>
      </c>
      <c r="D214" s="67">
        <f t="shared" si="2"/>
        <v>179.02</v>
      </c>
      <c r="E214" s="67">
        <f t="shared" si="3"/>
        <v>36441.570000000014</v>
      </c>
      <c r="J214" s="7">
        <v>188</v>
      </c>
      <c r="K214" s="67">
        <f t="shared" si="10"/>
        <v>331.23</v>
      </c>
      <c r="L214" s="67">
        <f t="shared" si="11"/>
        <v>207.23</v>
      </c>
      <c r="M214" s="67">
        <f t="shared" si="6"/>
        <v>124.00000000000003</v>
      </c>
      <c r="N214" s="67">
        <f t="shared" si="7"/>
        <v>41322.090000000026</v>
      </c>
    </row>
    <row r="215" spans="1:14" ht="15" customHeight="1" x14ac:dyDescent="0.35">
      <c r="A215" s="7">
        <v>189</v>
      </c>
      <c r="B215" s="67">
        <f t="shared" si="0"/>
        <v>328.55</v>
      </c>
      <c r="C215" s="67">
        <f t="shared" si="1"/>
        <v>148.80000000000001</v>
      </c>
      <c r="D215" s="67">
        <f t="shared" si="2"/>
        <v>179.75</v>
      </c>
      <c r="E215" s="67">
        <f t="shared" si="3"/>
        <v>36261.820000000014</v>
      </c>
      <c r="J215" s="7">
        <v>189</v>
      </c>
      <c r="K215" s="67">
        <f t="shared" si="10"/>
        <v>331.23</v>
      </c>
      <c r="L215" s="67">
        <f t="shared" si="11"/>
        <v>206.61</v>
      </c>
      <c r="M215" s="67">
        <f t="shared" si="6"/>
        <v>124.62</v>
      </c>
      <c r="N215" s="67">
        <f t="shared" si="7"/>
        <v>41197.470000000023</v>
      </c>
    </row>
    <row r="216" spans="1:14" ht="15" customHeight="1" x14ac:dyDescent="0.35">
      <c r="A216" s="7">
        <v>190</v>
      </c>
      <c r="B216" s="67">
        <f t="shared" si="0"/>
        <v>328.55</v>
      </c>
      <c r="C216" s="67">
        <f t="shared" si="1"/>
        <v>148.07</v>
      </c>
      <c r="D216" s="67">
        <f t="shared" si="2"/>
        <v>180.48000000000002</v>
      </c>
      <c r="E216" s="67">
        <f t="shared" si="3"/>
        <v>36081.340000000011</v>
      </c>
      <c r="J216" s="7">
        <v>190</v>
      </c>
      <c r="K216" s="67">
        <f t="shared" si="10"/>
        <v>331.23</v>
      </c>
      <c r="L216" s="67">
        <f t="shared" si="11"/>
        <v>205.99</v>
      </c>
      <c r="M216" s="67">
        <f t="shared" si="6"/>
        <v>125.24000000000001</v>
      </c>
      <c r="N216" s="67">
        <f t="shared" si="7"/>
        <v>41072.230000000025</v>
      </c>
    </row>
    <row r="217" spans="1:14" ht="15" customHeight="1" x14ac:dyDescent="0.35">
      <c r="A217" s="7">
        <v>191</v>
      </c>
      <c r="B217" s="67">
        <f t="shared" si="0"/>
        <v>328.55</v>
      </c>
      <c r="C217" s="67">
        <f t="shared" si="1"/>
        <v>147.33000000000001</v>
      </c>
      <c r="D217" s="67">
        <f t="shared" si="2"/>
        <v>181.22</v>
      </c>
      <c r="E217" s="67">
        <f t="shared" si="3"/>
        <v>35900.12000000001</v>
      </c>
      <c r="J217" s="7">
        <v>191</v>
      </c>
      <c r="K217" s="67">
        <f t="shared" si="10"/>
        <v>331.23</v>
      </c>
      <c r="L217" s="67">
        <f t="shared" si="11"/>
        <v>205.36</v>
      </c>
      <c r="M217" s="67">
        <f t="shared" si="6"/>
        <v>125.87</v>
      </c>
      <c r="N217" s="67">
        <f t="shared" si="7"/>
        <v>40946.360000000022</v>
      </c>
    </row>
    <row r="218" spans="1:14" ht="15" customHeight="1" x14ac:dyDescent="0.35">
      <c r="A218" s="7">
        <v>192</v>
      </c>
      <c r="B218" s="67">
        <f t="shared" si="0"/>
        <v>328.55</v>
      </c>
      <c r="C218" s="67">
        <f t="shared" si="1"/>
        <v>146.59</v>
      </c>
      <c r="D218" s="67">
        <f t="shared" si="2"/>
        <v>181.96</v>
      </c>
      <c r="E218" s="67">
        <f t="shared" si="3"/>
        <v>35718.160000000011</v>
      </c>
      <c r="J218" s="7">
        <v>192</v>
      </c>
      <c r="K218" s="67">
        <f t="shared" si="10"/>
        <v>331.23</v>
      </c>
      <c r="L218" s="67">
        <f t="shared" si="11"/>
        <v>204.73</v>
      </c>
      <c r="M218" s="67">
        <f t="shared" si="6"/>
        <v>126.50000000000003</v>
      </c>
      <c r="N218" s="67">
        <f t="shared" si="7"/>
        <v>40819.860000000022</v>
      </c>
    </row>
    <row r="219" spans="1:14" ht="15" customHeight="1" x14ac:dyDescent="0.35">
      <c r="A219" s="7">
        <v>193</v>
      </c>
      <c r="B219" s="67">
        <f t="shared" si="0"/>
        <v>328.55</v>
      </c>
      <c r="C219" s="67">
        <f t="shared" si="1"/>
        <v>145.85</v>
      </c>
      <c r="D219" s="67">
        <f t="shared" si="2"/>
        <v>182.70000000000002</v>
      </c>
      <c r="E219" s="67">
        <f t="shared" si="3"/>
        <v>35535.460000000014</v>
      </c>
      <c r="J219" s="7">
        <v>193</v>
      </c>
      <c r="K219" s="67">
        <f t="shared" si="10"/>
        <v>331.23</v>
      </c>
      <c r="L219" s="67">
        <f t="shared" si="11"/>
        <v>204.1</v>
      </c>
      <c r="M219" s="67">
        <f t="shared" si="6"/>
        <v>127.13000000000002</v>
      </c>
      <c r="N219" s="67">
        <f t="shared" si="7"/>
        <v>40692.730000000025</v>
      </c>
    </row>
    <row r="220" spans="1:14" ht="15" customHeight="1" x14ac:dyDescent="0.35">
      <c r="A220" s="7">
        <v>194</v>
      </c>
      <c r="B220" s="67">
        <f t="shared" si="0"/>
        <v>328.55</v>
      </c>
      <c r="C220" s="67">
        <f t="shared" si="1"/>
        <v>145.1</v>
      </c>
      <c r="D220" s="67">
        <f t="shared" si="2"/>
        <v>183.45000000000002</v>
      </c>
      <c r="E220" s="67">
        <f t="shared" si="3"/>
        <v>35352.010000000017</v>
      </c>
      <c r="J220" s="7">
        <v>194</v>
      </c>
      <c r="K220" s="67">
        <f t="shared" si="10"/>
        <v>331.23</v>
      </c>
      <c r="L220" s="67">
        <f t="shared" si="11"/>
        <v>203.46</v>
      </c>
      <c r="M220" s="67">
        <f t="shared" si="6"/>
        <v>127.77000000000001</v>
      </c>
      <c r="N220" s="67">
        <f t="shared" si="7"/>
        <v>40564.960000000028</v>
      </c>
    </row>
    <row r="221" spans="1:14" ht="15" customHeight="1" x14ac:dyDescent="0.35">
      <c r="A221" s="7">
        <v>195</v>
      </c>
      <c r="B221" s="67">
        <f t="shared" si="0"/>
        <v>328.55</v>
      </c>
      <c r="C221" s="67">
        <f t="shared" si="1"/>
        <v>144.35</v>
      </c>
      <c r="D221" s="67">
        <f t="shared" si="2"/>
        <v>184.20000000000002</v>
      </c>
      <c r="E221" s="67">
        <f t="shared" si="3"/>
        <v>35167.810000000019</v>
      </c>
      <c r="J221" s="7">
        <v>195</v>
      </c>
      <c r="K221" s="67">
        <f t="shared" si="10"/>
        <v>331.23</v>
      </c>
      <c r="L221" s="67">
        <f t="shared" si="11"/>
        <v>202.82</v>
      </c>
      <c r="M221" s="67">
        <f t="shared" si="6"/>
        <v>128.41000000000003</v>
      </c>
      <c r="N221" s="67">
        <f t="shared" si="7"/>
        <v>40436.550000000025</v>
      </c>
    </row>
    <row r="222" spans="1:14" ht="15" customHeight="1" x14ac:dyDescent="0.35">
      <c r="A222" s="7">
        <v>196</v>
      </c>
      <c r="B222" s="67">
        <f t="shared" si="0"/>
        <v>328.55</v>
      </c>
      <c r="C222" s="67">
        <f t="shared" si="1"/>
        <v>143.6</v>
      </c>
      <c r="D222" s="67">
        <f t="shared" si="2"/>
        <v>184.95000000000002</v>
      </c>
      <c r="E222" s="67">
        <f t="shared" si="3"/>
        <v>34982.860000000022</v>
      </c>
      <c r="J222" s="7">
        <v>196</v>
      </c>
      <c r="K222" s="67">
        <f t="shared" si="10"/>
        <v>331.23</v>
      </c>
      <c r="L222" s="67">
        <f t="shared" si="11"/>
        <v>202.18</v>
      </c>
      <c r="M222" s="67">
        <f t="shared" si="6"/>
        <v>129.05000000000001</v>
      </c>
      <c r="N222" s="67">
        <f t="shared" si="7"/>
        <v>40307.500000000022</v>
      </c>
    </row>
    <row r="223" spans="1:14" ht="15" customHeight="1" x14ac:dyDescent="0.35">
      <c r="A223" s="7">
        <v>197</v>
      </c>
      <c r="B223" s="67">
        <f t="shared" si="0"/>
        <v>328.55</v>
      </c>
      <c r="C223" s="67">
        <f t="shared" si="1"/>
        <v>142.85</v>
      </c>
      <c r="D223" s="67">
        <f t="shared" si="2"/>
        <v>185.70000000000002</v>
      </c>
      <c r="E223" s="67">
        <f t="shared" si="3"/>
        <v>34797.160000000025</v>
      </c>
      <c r="J223" s="7">
        <v>197</v>
      </c>
      <c r="K223" s="67">
        <f t="shared" si="10"/>
        <v>331.23</v>
      </c>
      <c r="L223" s="67">
        <f t="shared" si="11"/>
        <v>201.54</v>
      </c>
      <c r="M223" s="67">
        <f t="shared" si="6"/>
        <v>129.69000000000003</v>
      </c>
      <c r="N223" s="67">
        <f t="shared" si="7"/>
        <v>40177.810000000019</v>
      </c>
    </row>
    <row r="224" spans="1:14" ht="15" customHeight="1" x14ac:dyDescent="0.35">
      <c r="A224" s="7">
        <v>198</v>
      </c>
      <c r="B224" s="67">
        <f t="shared" si="0"/>
        <v>328.55</v>
      </c>
      <c r="C224" s="67">
        <f t="shared" si="1"/>
        <v>142.09</v>
      </c>
      <c r="D224" s="67">
        <f t="shared" si="2"/>
        <v>186.46</v>
      </c>
      <c r="E224" s="67">
        <f t="shared" si="3"/>
        <v>34610.700000000026</v>
      </c>
      <c r="J224" s="7">
        <v>198</v>
      </c>
      <c r="K224" s="67">
        <f t="shared" si="10"/>
        <v>331.23</v>
      </c>
      <c r="L224" s="67">
        <f t="shared" si="11"/>
        <v>200.89</v>
      </c>
      <c r="M224" s="67">
        <f t="shared" si="6"/>
        <v>130.34000000000003</v>
      </c>
      <c r="N224" s="67">
        <f t="shared" si="7"/>
        <v>40047.470000000023</v>
      </c>
    </row>
    <row r="225" spans="1:14" ht="15" customHeight="1" x14ac:dyDescent="0.35">
      <c r="A225" s="7">
        <v>199</v>
      </c>
      <c r="B225" s="67">
        <f t="shared" si="0"/>
        <v>328.55</v>
      </c>
      <c r="C225" s="67">
        <f t="shared" si="1"/>
        <v>141.33000000000001</v>
      </c>
      <c r="D225" s="67">
        <f t="shared" si="2"/>
        <v>187.22</v>
      </c>
      <c r="E225" s="67">
        <f t="shared" si="3"/>
        <v>34423.480000000025</v>
      </c>
      <c r="J225" s="7">
        <v>199</v>
      </c>
      <c r="K225" s="67">
        <f t="shared" si="10"/>
        <v>331.23</v>
      </c>
      <c r="L225" s="67">
        <f t="shared" si="11"/>
        <v>200.24</v>
      </c>
      <c r="M225" s="67">
        <f t="shared" si="6"/>
        <v>130.99</v>
      </c>
      <c r="N225" s="67">
        <f t="shared" si="7"/>
        <v>39916.480000000025</v>
      </c>
    </row>
    <row r="226" spans="1:14" ht="15" customHeight="1" x14ac:dyDescent="0.35">
      <c r="A226" s="7">
        <v>200</v>
      </c>
      <c r="B226" s="67">
        <f t="shared" si="0"/>
        <v>328.55</v>
      </c>
      <c r="C226" s="67">
        <f t="shared" si="1"/>
        <v>140.56</v>
      </c>
      <c r="D226" s="67">
        <f t="shared" si="2"/>
        <v>187.99</v>
      </c>
      <c r="E226" s="67">
        <f t="shared" si="3"/>
        <v>34235.490000000027</v>
      </c>
      <c r="J226" s="7">
        <v>200</v>
      </c>
      <c r="K226" s="67">
        <f t="shared" si="10"/>
        <v>331.23</v>
      </c>
      <c r="L226" s="67">
        <f t="shared" si="11"/>
        <v>199.58</v>
      </c>
      <c r="M226" s="67">
        <f t="shared" si="6"/>
        <v>131.65</v>
      </c>
      <c r="N226" s="67">
        <f t="shared" si="7"/>
        <v>39784.830000000024</v>
      </c>
    </row>
    <row r="227" spans="1:14" ht="15" customHeight="1" x14ac:dyDescent="0.35">
      <c r="A227" s="7">
        <v>201</v>
      </c>
      <c r="B227" s="67">
        <f t="shared" si="0"/>
        <v>328.55</v>
      </c>
      <c r="C227" s="67">
        <f t="shared" si="1"/>
        <v>139.79</v>
      </c>
      <c r="D227" s="67">
        <f t="shared" si="2"/>
        <v>188.76000000000002</v>
      </c>
      <c r="E227" s="67">
        <f t="shared" si="3"/>
        <v>34046.730000000025</v>
      </c>
      <c r="J227" s="7">
        <v>201</v>
      </c>
      <c r="K227" s="67">
        <f t="shared" si="10"/>
        <v>331.23</v>
      </c>
      <c r="L227" s="67">
        <f t="shared" si="11"/>
        <v>198.92</v>
      </c>
      <c r="M227" s="67">
        <f t="shared" si="6"/>
        <v>132.31000000000003</v>
      </c>
      <c r="N227" s="67">
        <f t="shared" si="7"/>
        <v>39652.520000000026</v>
      </c>
    </row>
    <row r="228" spans="1:14" ht="15" customHeight="1" x14ac:dyDescent="0.35">
      <c r="A228" s="7">
        <v>202</v>
      </c>
      <c r="B228" s="67">
        <f t="shared" si="0"/>
        <v>328.55</v>
      </c>
      <c r="C228" s="67">
        <f t="shared" si="1"/>
        <v>139.02000000000001</v>
      </c>
      <c r="D228" s="67">
        <f t="shared" si="2"/>
        <v>189.53</v>
      </c>
      <c r="E228" s="67">
        <f t="shared" si="3"/>
        <v>33857.200000000026</v>
      </c>
      <c r="J228" s="7">
        <v>202</v>
      </c>
      <c r="K228" s="67">
        <f t="shared" si="10"/>
        <v>331.23</v>
      </c>
      <c r="L228" s="67">
        <f t="shared" si="11"/>
        <v>198.26</v>
      </c>
      <c r="M228" s="67">
        <f t="shared" si="6"/>
        <v>132.97000000000003</v>
      </c>
      <c r="N228" s="67">
        <f t="shared" si="7"/>
        <v>39519.550000000025</v>
      </c>
    </row>
    <row r="229" spans="1:14" ht="15" customHeight="1" x14ac:dyDescent="0.35">
      <c r="A229" s="7">
        <v>203</v>
      </c>
      <c r="B229" s="67">
        <f t="shared" si="0"/>
        <v>328.55</v>
      </c>
      <c r="C229" s="67">
        <f t="shared" si="1"/>
        <v>138.25</v>
      </c>
      <c r="D229" s="67">
        <f t="shared" si="2"/>
        <v>190.3</v>
      </c>
      <c r="E229" s="67">
        <f t="shared" si="3"/>
        <v>33666.900000000023</v>
      </c>
      <c r="J229" s="7">
        <v>203</v>
      </c>
      <c r="K229" s="67">
        <f t="shared" si="10"/>
        <v>331.23</v>
      </c>
      <c r="L229" s="67">
        <f t="shared" si="11"/>
        <v>197.6</v>
      </c>
      <c r="M229" s="67">
        <f t="shared" si="6"/>
        <v>133.63000000000002</v>
      </c>
      <c r="N229" s="67">
        <f t="shared" si="7"/>
        <v>39385.920000000027</v>
      </c>
    </row>
    <row r="230" spans="1:14" ht="15" customHeight="1" x14ac:dyDescent="0.35">
      <c r="A230" s="7">
        <v>204</v>
      </c>
      <c r="B230" s="67">
        <f t="shared" si="0"/>
        <v>328.55</v>
      </c>
      <c r="C230" s="67">
        <f t="shared" si="1"/>
        <v>137.47</v>
      </c>
      <c r="D230" s="67">
        <f t="shared" si="2"/>
        <v>191.08</v>
      </c>
      <c r="E230" s="67">
        <f t="shared" si="3"/>
        <v>33475.820000000022</v>
      </c>
      <c r="J230" s="7">
        <v>204</v>
      </c>
      <c r="K230" s="67">
        <f t="shared" si="10"/>
        <v>331.23</v>
      </c>
      <c r="L230" s="67">
        <f t="shared" si="11"/>
        <v>196.93</v>
      </c>
      <c r="M230" s="67">
        <f t="shared" si="6"/>
        <v>134.30000000000001</v>
      </c>
      <c r="N230" s="67">
        <f t="shared" si="7"/>
        <v>39251.620000000024</v>
      </c>
    </row>
    <row r="231" spans="1:14" ht="15" customHeight="1" x14ac:dyDescent="0.35">
      <c r="A231" s="7">
        <v>205</v>
      </c>
      <c r="B231" s="67">
        <f t="shared" si="0"/>
        <v>328.55</v>
      </c>
      <c r="C231" s="67">
        <f t="shared" si="1"/>
        <v>136.69</v>
      </c>
      <c r="D231" s="67">
        <f t="shared" si="2"/>
        <v>191.86</v>
      </c>
      <c r="E231" s="67">
        <f t="shared" si="3"/>
        <v>33283.960000000021</v>
      </c>
      <c r="J231" s="7">
        <v>205</v>
      </c>
      <c r="K231" s="67">
        <f t="shared" si="10"/>
        <v>331.23</v>
      </c>
      <c r="L231" s="67">
        <f t="shared" si="11"/>
        <v>196.26</v>
      </c>
      <c r="M231" s="67">
        <f t="shared" si="6"/>
        <v>134.97000000000003</v>
      </c>
      <c r="N231" s="67">
        <f t="shared" si="7"/>
        <v>39116.650000000023</v>
      </c>
    </row>
    <row r="232" spans="1:14" ht="15" customHeight="1" x14ac:dyDescent="0.35">
      <c r="A232" s="7">
        <v>206</v>
      </c>
      <c r="B232" s="67">
        <f t="shared" si="0"/>
        <v>328.55</v>
      </c>
      <c r="C232" s="67">
        <f t="shared" si="1"/>
        <v>135.91</v>
      </c>
      <c r="D232" s="67">
        <f t="shared" si="2"/>
        <v>192.64000000000001</v>
      </c>
      <c r="E232" s="67">
        <f t="shared" si="3"/>
        <v>33091.320000000022</v>
      </c>
      <c r="J232" s="7">
        <v>206</v>
      </c>
      <c r="K232" s="67">
        <f t="shared" si="10"/>
        <v>331.23</v>
      </c>
      <c r="L232" s="67">
        <f t="shared" si="11"/>
        <v>195.58</v>
      </c>
      <c r="M232" s="67">
        <f t="shared" si="6"/>
        <v>135.65</v>
      </c>
      <c r="N232" s="67">
        <f t="shared" si="7"/>
        <v>38981.000000000022</v>
      </c>
    </row>
    <row r="233" spans="1:14" ht="15" customHeight="1" x14ac:dyDescent="0.35">
      <c r="A233" s="7">
        <v>207</v>
      </c>
      <c r="B233" s="67">
        <f t="shared" si="0"/>
        <v>328.55</v>
      </c>
      <c r="C233" s="67">
        <f t="shared" si="1"/>
        <v>135.12</v>
      </c>
      <c r="D233" s="67">
        <f t="shared" si="2"/>
        <v>193.43</v>
      </c>
      <c r="E233" s="67">
        <f t="shared" si="3"/>
        <v>32897.890000000021</v>
      </c>
      <c r="J233" s="7">
        <v>207</v>
      </c>
      <c r="K233" s="67">
        <f t="shared" si="10"/>
        <v>331.23</v>
      </c>
      <c r="L233" s="67">
        <f t="shared" si="11"/>
        <v>194.91</v>
      </c>
      <c r="M233" s="67">
        <f t="shared" si="6"/>
        <v>136.32000000000002</v>
      </c>
      <c r="N233" s="67">
        <f t="shared" si="7"/>
        <v>38844.680000000022</v>
      </c>
    </row>
    <row r="234" spans="1:14" ht="15" customHeight="1" x14ac:dyDescent="0.35">
      <c r="A234" s="7">
        <v>208</v>
      </c>
      <c r="B234" s="67">
        <f t="shared" si="0"/>
        <v>328.55</v>
      </c>
      <c r="C234" s="67">
        <f t="shared" si="1"/>
        <v>134.33000000000001</v>
      </c>
      <c r="D234" s="67">
        <f t="shared" si="2"/>
        <v>194.22</v>
      </c>
      <c r="E234" s="67">
        <f t="shared" si="3"/>
        <v>32703.67000000002</v>
      </c>
      <c r="J234" s="7">
        <v>208</v>
      </c>
      <c r="K234" s="67">
        <f t="shared" si="10"/>
        <v>331.23</v>
      </c>
      <c r="L234" s="67">
        <f t="shared" si="11"/>
        <v>194.22</v>
      </c>
      <c r="M234" s="67">
        <f t="shared" si="6"/>
        <v>137.01000000000002</v>
      </c>
      <c r="N234" s="67">
        <f t="shared" si="7"/>
        <v>38707.67000000002</v>
      </c>
    </row>
    <row r="235" spans="1:14" ht="15" customHeight="1" x14ac:dyDescent="0.35">
      <c r="A235" s="7">
        <v>209</v>
      </c>
      <c r="B235" s="67">
        <f t="shared" si="0"/>
        <v>328.55</v>
      </c>
      <c r="C235" s="67">
        <f t="shared" si="1"/>
        <v>133.54</v>
      </c>
      <c r="D235" s="67">
        <f t="shared" si="2"/>
        <v>195.01000000000002</v>
      </c>
      <c r="E235" s="67">
        <f t="shared" si="3"/>
        <v>32508.660000000022</v>
      </c>
      <c r="J235" s="7">
        <v>209</v>
      </c>
      <c r="K235" s="67">
        <f t="shared" si="10"/>
        <v>331.23</v>
      </c>
      <c r="L235" s="67">
        <f t="shared" si="11"/>
        <v>193.54</v>
      </c>
      <c r="M235" s="67">
        <f t="shared" si="6"/>
        <v>137.69000000000003</v>
      </c>
      <c r="N235" s="67">
        <f t="shared" si="7"/>
        <v>38569.980000000018</v>
      </c>
    </row>
    <row r="236" spans="1:14" ht="15" customHeight="1" x14ac:dyDescent="0.35">
      <c r="A236" s="7">
        <v>210</v>
      </c>
      <c r="B236" s="67">
        <f t="shared" si="0"/>
        <v>328.55</v>
      </c>
      <c r="C236" s="67">
        <f t="shared" si="1"/>
        <v>132.74</v>
      </c>
      <c r="D236" s="67">
        <f t="shared" si="2"/>
        <v>195.81</v>
      </c>
      <c r="E236" s="67">
        <f t="shared" si="3"/>
        <v>32312.85000000002</v>
      </c>
      <c r="J236" s="7">
        <v>210</v>
      </c>
      <c r="K236" s="67">
        <f t="shared" si="10"/>
        <v>331.23</v>
      </c>
      <c r="L236" s="67">
        <f t="shared" si="11"/>
        <v>192.85</v>
      </c>
      <c r="M236" s="67">
        <f t="shared" si="6"/>
        <v>138.38000000000002</v>
      </c>
      <c r="N236" s="67">
        <f t="shared" si="7"/>
        <v>38431.60000000002</v>
      </c>
    </row>
    <row r="237" spans="1:14" ht="15" customHeight="1" x14ac:dyDescent="0.35">
      <c r="A237" s="7">
        <v>211</v>
      </c>
      <c r="B237" s="67">
        <f t="shared" si="0"/>
        <v>328.55</v>
      </c>
      <c r="C237" s="67">
        <f t="shared" si="1"/>
        <v>131.94</v>
      </c>
      <c r="D237" s="67">
        <f t="shared" si="2"/>
        <v>196.61</v>
      </c>
      <c r="E237" s="67">
        <f t="shared" si="3"/>
        <v>32116.24000000002</v>
      </c>
      <c r="J237" s="7">
        <v>211</v>
      </c>
      <c r="K237" s="67">
        <f t="shared" si="10"/>
        <v>331.23</v>
      </c>
      <c r="L237" s="67">
        <f t="shared" si="11"/>
        <v>192.16</v>
      </c>
      <c r="M237" s="67">
        <f t="shared" si="6"/>
        <v>139.07000000000002</v>
      </c>
      <c r="N237" s="67">
        <f t="shared" si="7"/>
        <v>38292.530000000021</v>
      </c>
    </row>
    <row r="238" spans="1:14" ht="15" customHeight="1" x14ac:dyDescent="0.35">
      <c r="A238" s="7">
        <v>212</v>
      </c>
      <c r="B238" s="67">
        <f t="shared" si="0"/>
        <v>328.55</v>
      </c>
      <c r="C238" s="67">
        <f t="shared" si="1"/>
        <v>131.13999999999999</v>
      </c>
      <c r="D238" s="67">
        <f t="shared" si="2"/>
        <v>197.41000000000003</v>
      </c>
      <c r="E238" s="67">
        <f t="shared" si="3"/>
        <v>31918.83000000002</v>
      </c>
      <c r="J238" s="7">
        <v>212</v>
      </c>
      <c r="K238" s="67">
        <f t="shared" si="10"/>
        <v>331.23</v>
      </c>
      <c r="L238" s="67">
        <f t="shared" si="11"/>
        <v>191.46</v>
      </c>
      <c r="M238" s="67">
        <f t="shared" si="6"/>
        <v>139.77000000000001</v>
      </c>
      <c r="N238" s="67">
        <f t="shared" si="7"/>
        <v>38152.760000000024</v>
      </c>
    </row>
    <row r="239" spans="1:14" ht="15" customHeight="1" x14ac:dyDescent="0.35">
      <c r="A239" s="7">
        <v>213</v>
      </c>
      <c r="B239" s="67">
        <f t="shared" si="0"/>
        <v>328.55</v>
      </c>
      <c r="C239" s="67">
        <f t="shared" si="1"/>
        <v>130.34</v>
      </c>
      <c r="D239" s="67">
        <f t="shared" si="2"/>
        <v>198.21</v>
      </c>
      <c r="E239" s="67">
        <f t="shared" si="3"/>
        <v>31720.620000000021</v>
      </c>
      <c r="J239" s="7">
        <v>213</v>
      </c>
      <c r="K239" s="67">
        <f t="shared" si="10"/>
        <v>331.23</v>
      </c>
      <c r="L239" s="67">
        <f t="shared" si="11"/>
        <v>190.76</v>
      </c>
      <c r="M239" s="67">
        <f t="shared" si="6"/>
        <v>140.47000000000003</v>
      </c>
      <c r="N239" s="67">
        <f t="shared" si="7"/>
        <v>38012.290000000023</v>
      </c>
    </row>
    <row r="240" spans="1:14" ht="15" customHeight="1" x14ac:dyDescent="0.35">
      <c r="A240" s="7">
        <v>214</v>
      </c>
      <c r="B240" s="67">
        <f t="shared" si="0"/>
        <v>328.55</v>
      </c>
      <c r="C240" s="67">
        <f t="shared" si="1"/>
        <v>129.53</v>
      </c>
      <c r="D240" s="67">
        <f t="shared" si="2"/>
        <v>199.02</v>
      </c>
      <c r="E240" s="67">
        <f t="shared" si="3"/>
        <v>31521.60000000002</v>
      </c>
      <c r="J240" s="7">
        <v>214</v>
      </c>
      <c r="K240" s="67">
        <f t="shared" si="10"/>
        <v>331.23</v>
      </c>
      <c r="L240" s="67">
        <f t="shared" si="11"/>
        <v>190.06</v>
      </c>
      <c r="M240" s="67">
        <f t="shared" si="6"/>
        <v>141.17000000000002</v>
      </c>
      <c r="N240" s="67">
        <f t="shared" si="7"/>
        <v>37871.120000000024</v>
      </c>
    </row>
    <row r="241" spans="1:14" ht="15" customHeight="1" x14ac:dyDescent="0.35">
      <c r="A241" s="7">
        <v>215</v>
      </c>
      <c r="B241" s="67">
        <f t="shared" si="0"/>
        <v>328.55</v>
      </c>
      <c r="C241" s="67">
        <f t="shared" si="1"/>
        <v>128.71</v>
      </c>
      <c r="D241" s="67">
        <f t="shared" si="2"/>
        <v>199.84</v>
      </c>
      <c r="E241" s="67">
        <f t="shared" si="3"/>
        <v>31321.76000000002</v>
      </c>
      <c r="J241" s="7">
        <v>215</v>
      </c>
      <c r="K241" s="67">
        <f t="shared" si="10"/>
        <v>331.23</v>
      </c>
      <c r="L241" s="67">
        <f t="shared" si="11"/>
        <v>189.36</v>
      </c>
      <c r="M241" s="67">
        <f t="shared" si="6"/>
        <v>141.87</v>
      </c>
      <c r="N241" s="67">
        <f t="shared" si="7"/>
        <v>37729.250000000022</v>
      </c>
    </row>
    <row r="242" spans="1:14" ht="15" customHeight="1" x14ac:dyDescent="0.35">
      <c r="A242" s="7">
        <v>216</v>
      </c>
      <c r="B242" s="67">
        <f t="shared" si="0"/>
        <v>328.55</v>
      </c>
      <c r="C242" s="67">
        <f t="shared" si="1"/>
        <v>127.9</v>
      </c>
      <c r="D242" s="67">
        <f t="shared" si="2"/>
        <v>200.65</v>
      </c>
      <c r="E242" s="67">
        <f t="shared" si="3"/>
        <v>31121.110000000019</v>
      </c>
      <c r="J242" s="7">
        <v>216</v>
      </c>
      <c r="K242" s="67">
        <f t="shared" si="10"/>
        <v>331.23</v>
      </c>
      <c r="L242" s="67">
        <f t="shared" si="11"/>
        <v>188.65</v>
      </c>
      <c r="M242" s="67">
        <f t="shared" si="6"/>
        <v>142.58000000000001</v>
      </c>
      <c r="N242" s="67">
        <f t="shared" si="7"/>
        <v>37586.67000000002</v>
      </c>
    </row>
    <row r="243" spans="1:14" ht="15" customHeight="1" x14ac:dyDescent="0.35">
      <c r="A243" s="7">
        <v>217</v>
      </c>
      <c r="B243" s="67">
        <f t="shared" si="0"/>
        <v>328.55</v>
      </c>
      <c r="C243" s="67">
        <f t="shared" si="1"/>
        <v>127.08</v>
      </c>
      <c r="D243" s="67">
        <f t="shared" si="2"/>
        <v>201.47000000000003</v>
      </c>
      <c r="E243" s="67">
        <f t="shared" si="3"/>
        <v>30919.640000000018</v>
      </c>
      <c r="J243" s="7">
        <v>217</v>
      </c>
      <c r="K243" s="67">
        <f t="shared" si="10"/>
        <v>331.23</v>
      </c>
      <c r="L243" s="67">
        <f t="shared" si="11"/>
        <v>187.93</v>
      </c>
      <c r="M243" s="67">
        <f t="shared" si="6"/>
        <v>143.30000000000001</v>
      </c>
      <c r="N243" s="67">
        <f t="shared" si="7"/>
        <v>37443.370000000017</v>
      </c>
    </row>
    <row r="244" spans="1:14" ht="15" customHeight="1" x14ac:dyDescent="0.35">
      <c r="A244" s="7">
        <v>218</v>
      </c>
      <c r="B244" s="67">
        <f t="shared" si="0"/>
        <v>328.55</v>
      </c>
      <c r="C244" s="67">
        <f t="shared" si="1"/>
        <v>126.26</v>
      </c>
      <c r="D244" s="67">
        <f t="shared" si="2"/>
        <v>202.29000000000002</v>
      </c>
      <c r="E244" s="67">
        <f t="shared" si="3"/>
        <v>30717.350000000017</v>
      </c>
      <c r="J244" s="7">
        <v>218</v>
      </c>
      <c r="K244" s="67">
        <f t="shared" si="10"/>
        <v>331.23</v>
      </c>
      <c r="L244" s="67">
        <f t="shared" si="11"/>
        <v>187.22</v>
      </c>
      <c r="M244" s="67">
        <f t="shared" si="6"/>
        <v>144.01000000000002</v>
      </c>
      <c r="N244" s="67">
        <f t="shared" si="7"/>
        <v>37299.360000000015</v>
      </c>
    </row>
    <row r="245" spans="1:14" ht="15" customHeight="1" x14ac:dyDescent="0.35">
      <c r="A245" s="7">
        <v>219</v>
      </c>
      <c r="B245" s="67">
        <f t="shared" si="0"/>
        <v>328.55</v>
      </c>
      <c r="C245" s="67">
        <f t="shared" si="1"/>
        <v>125.43</v>
      </c>
      <c r="D245" s="67">
        <f t="shared" si="2"/>
        <v>203.12</v>
      </c>
      <c r="E245" s="67">
        <f t="shared" si="3"/>
        <v>30514.230000000018</v>
      </c>
      <c r="J245" s="7">
        <v>219</v>
      </c>
      <c r="K245" s="67">
        <f t="shared" si="10"/>
        <v>331.23</v>
      </c>
      <c r="L245" s="67">
        <f t="shared" si="11"/>
        <v>186.5</v>
      </c>
      <c r="M245" s="67">
        <f t="shared" si="6"/>
        <v>144.73000000000002</v>
      </c>
      <c r="N245" s="67">
        <f t="shared" si="7"/>
        <v>37154.630000000012</v>
      </c>
    </row>
    <row r="246" spans="1:14" ht="15" customHeight="1" x14ac:dyDescent="0.35">
      <c r="A246" s="7">
        <v>220</v>
      </c>
      <c r="B246" s="67">
        <f t="shared" si="0"/>
        <v>328.55</v>
      </c>
      <c r="C246" s="67">
        <f t="shared" si="1"/>
        <v>124.6</v>
      </c>
      <c r="D246" s="67">
        <f t="shared" si="2"/>
        <v>203.95000000000002</v>
      </c>
      <c r="E246" s="67">
        <f t="shared" si="3"/>
        <v>30310.280000000017</v>
      </c>
      <c r="J246" s="7">
        <v>220</v>
      </c>
      <c r="K246" s="67">
        <f t="shared" si="10"/>
        <v>331.23</v>
      </c>
      <c r="L246" s="67">
        <f t="shared" si="11"/>
        <v>185.77</v>
      </c>
      <c r="M246" s="67">
        <f t="shared" si="6"/>
        <v>145.46</v>
      </c>
      <c r="N246" s="67">
        <f t="shared" si="7"/>
        <v>37009.170000000013</v>
      </c>
    </row>
    <row r="247" spans="1:14" ht="15" customHeight="1" x14ac:dyDescent="0.35">
      <c r="A247" s="7">
        <v>221</v>
      </c>
      <c r="B247" s="67">
        <f t="shared" si="0"/>
        <v>328.55</v>
      </c>
      <c r="C247" s="67">
        <f t="shared" si="1"/>
        <v>123.77</v>
      </c>
      <c r="D247" s="67">
        <f t="shared" si="2"/>
        <v>204.78000000000003</v>
      </c>
      <c r="E247" s="67">
        <f t="shared" si="3"/>
        <v>30105.500000000018</v>
      </c>
      <c r="J247" s="7">
        <v>221</v>
      </c>
      <c r="K247" s="67">
        <f t="shared" si="10"/>
        <v>331.23</v>
      </c>
      <c r="L247" s="67">
        <f t="shared" si="11"/>
        <v>185.05</v>
      </c>
      <c r="M247" s="67">
        <f t="shared" si="6"/>
        <v>146.18</v>
      </c>
      <c r="N247" s="67">
        <f t="shared" si="7"/>
        <v>36862.990000000013</v>
      </c>
    </row>
    <row r="248" spans="1:14" ht="15" customHeight="1" x14ac:dyDescent="0.35">
      <c r="A248" s="7">
        <v>222</v>
      </c>
      <c r="B248" s="67">
        <f t="shared" si="0"/>
        <v>328.55</v>
      </c>
      <c r="C248" s="67">
        <f t="shared" si="1"/>
        <v>122.93</v>
      </c>
      <c r="D248" s="67">
        <f t="shared" si="2"/>
        <v>205.62</v>
      </c>
      <c r="E248" s="67">
        <f t="shared" si="3"/>
        <v>29899.880000000019</v>
      </c>
      <c r="J248" s="7">
        <v>222</v>
      </c>
      <c r="K248" s="67">
        <f t="shared" si="10"/>
        <v>331.23</v>
      </c>
      <c r="L248" s="67">
        <f t="shared" si="11"/>
        <v>184.31</v>
      </c>
      <c r="M248" s="67">
        <f t="shared" si="6"/>
        <v>146.92000000000002</v>
      </c>
      <c r="N248" s="67">
        <f t="shared" si="7"/>
        <v>36716.070000000014</v>
      </c>
    </row>
    <row r="249" spans="1:14" ht="15" customHeight="1" x14ac:dyDescent="0.35">
      <c r="A249" s="7">
        <v>223</v>
      </c>
      <c r="B249" s="67">
        <f t="shared" si="0"/>
        <v>328.55</v>
      </c>
      <c r="C249" s="67">
        <f t="shared" si="1"/>
        <v>122.09</v>
      </c>
      <c r="D249" s="67">
        <f t="shared" si="2"/>
        <v>206.46</v>
      </c>
      <c r="E249" s="67">
        <f t="shared" si="3"/>
        <v>29693.42000000002</v>
      </c>
      <c r="J249" s="7">
        <v>223</v>
      </c>
      <c r="K249" s="67">
        <f t="shared" si="10"/>
        <v>331.23</v>
      </c>
      <c r="L249" s="67">
        <f t="shared" si="11"/>
        <v>183.58</v>
      </c>
      <c r="M249" s="67">
        <f t="shared" si="6"/>
        <v>147.65</v>
      </c>
      <c r="N249" s="67">
        <f t="shared" si="7"/>
        <v>36568.420000000013</v>
      </c>
    </row>
    <row r="250" spans="1:14" ht="15" customHeight="1" x14ac:dyDescent="0.35">
      <c r="A250" s="7">
        <v>224</v>
      </c>
      <c r="B250" s="67">
        <f t="shared" si="0"/>
        <v>328.55</v>
      </c>
      <c r="C250" s="67">
        <f t="shared" si="1"/>
        <v>121.25</v>
      </c>
      <c r="D250" s="67">
        <f t="shared" si="2"/>
        <v>207.3</v>
      </c>
      <c r="E250" s="67">
        <f t="shared" si="3"/>
        <v>29486.120000000021</v>
      </c>
      <c r="J250" s="7">
        <v>224</v>
      </c>
      <c r="K250" s="67">
        <f t="shared" si="10"/>
        <v>331.23</v>
      </c>
      <c r="L250" s="67">
        <f t="shared" si="11"/>
        <v>182.84</v>
      </c>
      <c r="M250" s="67">
        <f t="shared" si="6"/>
        <v>148.39000000000001</v>
      </c>
      <c r="N250" s="67">
        <f t="shared" si="7"/>
        <v>36420.030000000013</v>
      </c>
    </row>
    <row r="251" spans="1:14" ht="15" customHeight="1" x14ac:dyDescent="0.35">
      <c r="A251" s="7">
        <v>225</v>
      </c>
      <c r="B251" s="67">
        <f t="shared" si="0"/>
        <v>328.55</v>
      </c>
      <c r="C251" s="67">
        <f t="shared" si="1"/>
        <v>120.4</v>
      </c>
      <c r="D251" s="67">
        <f t="shared" si="2"/>
        <v>208.15</v>
      </c>
      <c r="E251" s="67">
        <f t="shared" si="3"/>
        <v>29277.970000000019</v>
      </c>
      <c r="J251" s="7">
        <v>225</v>
      </c>
      <c r="K251" s="67">
        <f t="shared" si="10"/>
        <v>331.23</v>
      </c>
      <c r="L251" s="67">
        <f t="shared" si="11"/>
        <v>182.1</v>
      </c>
      <c r="M251" s="67">
        <f t="shared" si="6"/>
        <v>149.13000000000002</v>
      </c>
      <c r="N251" s="67">
        <f t="shared" si="7"/>
        <v>36270.900000000016</v>
      </c>
    </row>
    <row r="252" spans="1:14" ht="15" customHeight="1" x14ac:dyDescent="0.35">
      <c r="A252" s="7">
        <v>226</v>
      </c>
      <c r="B252" s="67">
        <f t="shared" si="0"/>
        <v>328.55</v>
      </c>
      <c r="C252" s="67">
        <f t="shared" si="1"/>
        <v>119.55</v>
      </c>
      <c r="D252" s="67">
        <f t="shared" si="2"/>
        <v>209</v>
      </c>
      <c r="E252" s="67">
        <f t="shared" si="3"/>
        <v>29068.970000000019</v>
      </c>
      <c r="J252" s="7">
        <v>226</v>
      </c>
      <c r="K252" s="67">
        <f t="shared" si="10"/>
        <v>331.23</v>
      </c>
      <c r="L252" s="67">
        <f t="shared" si="11"/>
        <v>181.35</v>
      </c>
      <c r="M252" s="67">
        <f t="shared" si="6"/>
        <v>149.88000000000002</v>
      </c>
      <c r="N252" s="67">
        <f t="shared" si="7"/>
        <v>36121.020000000019</v>
      </c>
    </row>
    <row r="253" spans="1:14" ht="15" customHeight="1" x14ac:dyDescent="0.35">
      <c r="A253" s="7">
        <v>227</v>
      </c>
      <c r="B253" s="67">
        <f t="shared" si="0"/>
        <v>328.55</v>
      </c>
      <c r="C253" s="67">
        <f t="shared" si="1"/>
        <v>118.7</v>
      </c>
      <c r="D253" s="67">
        <f t="shared" si="2"/>
        <v>209.85000000000002</v>
      </c>
      <c r="E253" s="67">
        <f t="shared" si="3"/>
        <v>28859.120000000021</v>
      </c>
      <c r="J253" s="7">
        <v>227</v>
      </c>
      <c r="K253" s="67">
        <f t="shared" si="10"/>
        <v>331.23</v>
      </c>
      <c r="L253" s="67">
        <f t="shared" si="11"/>
        <v>180.61</v>
      </c>
      <c r="M253" s="67">
        <f t="shared" si="6"/>
        <v>150.62</v>
      </c>
      <c r="N253" s="67">
        <f t="shared" si="7"/>
        <v>35970.400000000016</v>
      </c>
    </row>
    <row r="254" spans="1:14" ht="15" customHeight="1" x14ac:dyDescent="0.35">
      <c r="A254" s="7">
        <v>228</v>
      </c>
      <c r="B254" s="67">
        <f t="shared" si="0"/>
        <v>328.55</v>
      </c>
      <c r="C254" s="67">
        <f t="shared" si="1"/>
        <v>117.84</v>
      </c>
      <c r="D254" s="67">
        <f t="shared" si="2"/>
        <v>210.71</v>
      </c>
      <c r="E254" s="67">
        <f t="shared" si="3"/>
        <v>28648.410000000022</v>
      </c>
      <c r="J254" s="7">
        <v>228</v>
      </c>
      <c r="K254" s="67">
        <f t="shared" si="10"/>
        <v>331.23</v>
      </c>
      <c r="L254" s="67">
        <f t="shared" si="11"/>
        <v>179.85</v>
      </c>
      <c r="M254" s="67">
        <f t="shared" si="6"/>
        <v>151.38000000000002</v>
      </c>
      <c r="N254" s="67">
        <f t="shared" si="7"/>
        <v>35819.020000000019</v>
      </c>
    </row>
    <row r="255" spans="1:14" ht="15" customHeight="1" x14ac:dyDescent="0.35">
      <c r="A255" s="7">
        <v>229</v>
      </c>
      <c r="B255" s="67">
        <f t="shared" si="0"/>
        <v>328.55</v>
      </c>
      <c r="C255" s="67">
        <f t="shared" si="1"/>
        <v>116.98</v>
      </c>
      <c r="D255" s="67">
        <f t="shared" si="2"/>
        <v>211.57</v>
      </c>
      <c r="E255" s="67">
        <f t="shared" si="3"/>
        <v>28436.840000000022</v>
      </c>
      <c r="J255" s="7">
        <v>229</v>
      </c>
      <c r="K255" s="67">
        <f t="shared" si="10"/>
        <v>331.23</v>
      </c>
      <c r="L255" s="67">
        <f t="shared" si="11"/>
        <v>179.1</v>
      </c>
      <c r="M255" s="67">
        <f t="shared" si="6"/>
        <v>152.13000000000002</v>
      </c>
      <c r="N255" s="67">
        <f t="shared" si="7"/>
        <v>35666.890000000021</v>
      </c>
    </row>
    <row r="256" spans="1:14" ht="15" customHeight="1" x14ac:dyDescent="0.35">
      <c r="A256" s="7">
        <v>230</v>
      </c>
      <c r="B256" s="67">
        <f t="shared" si="0"/>
        <v>328.55</v>
      </c>
      <c r="C256" s="67">
        <f t="shared" si="1"/>
        <v>116.12</v>
      </c>
      <c r="D256" s="67">
        <f t="shared" si="2"/>
        <v>212.43</v>
      </c>
      <c r="E256" s="67">
        <f t="shared" si="3"/>
        <v>28224.410000000022</v>
      </c>
      <c r="J256" s="7">
        <v>230</v>
      </c>
      <c r="K256" s="67">
        <f t="shared" si="10"/>
        <v>331.23</v>
      </c>
      <c r="L256" s="67">
        <f t="shared" si="11"/>
        <v>178.33</v>
      </c>
      <c r="M256" s="67">
        <f t="shared" si="6"/>
        <v>152.9</v>
      </c>
      <c r="N256" s="67">
        <f t="shared" si="7"/>
        <v>35513.99000000002</v>
      </c>
    </row>
    <row r="257" spans="1:14" ht="15" customHeight="1" x14ac:dyDescent="0.35">
      <c r="A257" s="7">
        <v>231</v>
      </c>
      <c r="B257" s="67">
        <f t="shared" si="0"/>
        <v>328.55</v>
      </c>
      <c r="C257" s="67">
        <f t="shared" si="1"/>
        <v>115.25</v>
      </c>
      <c r="D257" s="67">
        <f t="shared" si="2"/>
        <v>213.3</v>
      </c>
      <c r="E257" s="67">
        <f t="shared" si="3"/>
        <v>28011.110000000022</v>
      </c>
      <c r="J257" s="7">
        <v>231</v>
      </c>
      <c r="K257" s="67">
        <f t="shared" si="10"/>
        <v>331.23</v>
      </c>
      <c r="L257" s="67">
        <f t="shared" si="11"/>
        <v>177.57</v>
      </c>
      <c r="M257" s="67">
        <f t="shared" si="6"/>
        <v>153.66000000000003</v>
      </c>
      <c r="N257" s="67">
        <f t="shared" si="7"/>
        <v>35360.330000000016</v>
      </c>
    </row>
    <row r="258" spans="1:14" ht="15" customHeight="1" x14ac:dyDescent="0.35">
      <c r="A258" s="7">
        <v>232</v>
      </c>
      <c r="B258" s="67">
        <f t="shared" si="0"/>
        <v>328.55</v>
      </c>
      <c r="C258" s="67">
        <f t="shared" si="1"/>
        <v>114.38</v>
      </c>
      <c r="D258" s="67">
        <f t="shared" si="2"/>
        <v>214.17000000000002</v>
      </c>
      <c r="E258" s="67">
        <f t="shared" si="3"/>
        <v>27796.940000000024</v>
      </c>
      <c r="J258" s="7">
        <v>232</v>
      </c>
      <c r="K258" s="67">
        <f t="shared" si="10"/>
        <v>331.23</v>
      </c>
      <c r="L258" s="67">
        <f t="shared" si="11"/>
        <v>176.8</v>
      </c>
      <c r="M258" s="67">
        <f t="shared" si="6"/>
        <v>154.43</v>
      </c>
      <c r="N258" s="67">
        <f t="shared" si="7"/>
        <v>35205.900000000016</v>
      </c>
    </row>
    <row r="259" spans="1:14" ht="15" customHeight="1" x14ac:dyDescent="0.35">
      <c r="A259" s="7">
        <v>233</v>
      </c>
      <c r="B259" s="67">
        <f t="shared" si="0"/>
        <v>328.55</v>
      </c>
      <c r="C259" s="67">
        <f t="shared" si="1"/>
        <v>113.5</v>
      </c>
      <c r="D259" s="67">
        <f t="shared" si="2"/>
        <v>215.05</v>
      </c>
      <c r="E259" s="67">
        <f t="shared" si="3"/>
        <v>27581.890000000025</v>
      </c>
      <c r="J259" s="7">
        <v>233</v>
      </c>
      <c r="K259" s="67">
        <f t="shared" si="10"/>
        <v>331.23</v>
      </c>
      <c r="L259" s="67">
        <f t="shared" si="11"/>
        <v>176.03</v>
      </c>
      <c r="M259" s="67">
        <f t="shared" si="6"/>
        <v>155.20000000000002</v>
      </c>
      <c r="N259" s="67">
        <f t="shared" si="7"/>
        <v>35050.700000000019</v>
      </c>
    </row>
    <row r="260" spans="1:14" ht="15" customHeight="1" x14ac:dyDescent="0.35">
      <c r="A260" s="7">
        <v>234</v>
      </c>
      <c r="B260" s="67">
        <f t="shared" si="0"/>
        <v>328.55</v>
      </c>
      <c r="C260" s="67">
        <f t="shared" si="1"/>
        <v>112.63</v>
      </c>
      <c r="D260" s="67">
        <f t="shared" si="2"/>
        <v>215.92000000000002</v>
      </c>
      <c r="E260" s="67">
        <f t="shared" si="3"/>
        <v>27365.970000000027</v>
      </c>
      <c r="J260" s="7">
        <v>234</v>
      </c>
      <c r="K260" s="67">
        <f t="shared" si="10"/>
        <v>331.23</v>
      </c>
      <c r="L260" s="67">
        <f t="shared" si="11"/>
        <v>175.25</v>
      </c>
      <c r="M260" s="67">
        <f t="shared" si="6"/>
        <v>155.98000000000002</v>
      </c>
      <c r="N260" s="67">
        <f t="shared" si="7"/>
        <v>34894.720000000016</v>
      </c>
    </row>
    <row r="261" spans="1:14" ht="15" customHeight="1" x14ac:dyDescent="0.35">
      <c r="A261" s="7">
        <v>235</v>
      </c>
      <c r="B261" s="67">
        <f t="shared" si="0"/>
        <v>328.55</v>
      </c>
      <c r="C261" s="67">
        <f t="shared" si="1"/>
        <v>111.74</v>
      </c>
      <c r="D261" s="67">
        <f t="shared" si="2"/>
        <v>216.81</v>
      </c>
      <c r="E261" s="67">
        <f t="shared" si="3"/>
        <v>27149.160000000025</v>
      </c>
      <c r="J261" s="7">
        <v>235</v>
      </c>
      <c r="K261" s="67">
        <f t="shared" si="10"/>
        <v>331.23</v>
      </c>
      <c r="L261" s="67">
        <f t="shared" si="11"/>
        <v>174.47</v>
      </c>
      <c r="M261" s="67">
        <f t="shared" si="6"/>
        <v>156.76000000000002</v>
      </c>
      <c r="N261" s="67">
        <f t="shared" si="7"/>
        <v>34737.960000000014</v>
      </c>
    </row>
    <row r="262" spans="1:14" ht="15" customHeight="1" x14ac:dyDescent="0.35">
      <c r="A262" s="7">
        <v>236</v>
      </c>
      <c r="B262" s="67">
        <f t="shared" si="0"/>
        <v>328.55</v>
      </c>
      <c r="C262" s="67">
        <f t="shared" si="1"/>
        <v>110.86</v>
      </c>
      <c r="D262" s="67">
        <f t="shared" si="2"/>
        <v>217.69</v>
      </c>
      <c r="E262" s="67">
        <f t="shared" si="3"/>
        <v>26931.470000000027</v>
      </c>
      <c r="J262" s="7">
        <v>236</v>
      </c>
      <c r="K262" s="67">
        <f t="shared" si="10"/>
        <v>331.23</v>
      </c>
      <c r="L262" s="67">
        <f t="shared" si="11"/>
        <v>173.69</v>
      </c>
      <c r="M262" s="67">
        <f t="shared" si="6"/>
        <v>157.54000000000002</v>
      </c>
      <c r="N262" s="67">
        <f t="shared" si="7"/>
        <v>34580.420000000013</v>
      </c>
    </row>
    <row r="263" spans="1:14" ht="15" customHeight="1" x14ac:dyDescent="0.35">
      <c r="A263" s="7">
        <v>237</v>
      </c>
      <c r="B263" s="67">
        <f t="shared" si="0"/>
        <v>328.55</v>
      </c>
      <c r="C263" s="67">
        <f t="shared" si="1"/>
        <v>109.97</v>
      </c>
      <c r="D263" s="67">
        <f t="shared" si="2"/>
        <v>218.58</v>
      </c>
      <c r="E263" s="67">
        <f t="shared" si="3"/>
        <v>26712.890000000025</v>
      </c>
      <c r="J263" s="7">
        <v>237</v>
      </c>
      <c r="K263" s="67">
        <f t="shared" si="10"/>
        <v>331.23</v>
      </c>
      <c r="L263" s="67">
        <f t="shared" si="11"/>
        <v>172.9</v>
      </c>
      <c r="M263" s="67">
        <f t="shared" si="6"/>
        <v>158.33000000000001</v>
      </c>
      <c r="N263" s="67">
        <f t="shared" si="7"/>
        <v>34422.090000000011</v>
      </c>
    </row>
    <row r="264" spans="1:14" ht="15" customHeight="1" x14ac:dyDescent="0.35">
      <c r="A264" s="7">
        <v>238</v>
      </c>
      <c r="B264" s="67">
        <f t="shared" si="0"/>
        <v>328.55</v>
      </c>
      <c r="C264" s="67">
        <f t="shared" si="1"/>
        <v>109.08</v>
      </c>
      <c r="D264" s="67">
        <f t="shared" si="2"/>
        <v>219.47000000000003</v>
      </c>
      <c r="E264" s="67">
        <f t="shared" si="3"/>
        <v>26493.420000000024</v>
      </c>
      <c r="J264" s="7">
        <v>238</v>
      </c>
      <c r="K264" s="67">
        <f t="shared" si="10"/>
        <v>331.23</v>
      </c>
      <c r="L264" s="67">
        <f t="shared" si="11"/>
        <v>172.11</v>
      </c>
      <c r="M264" s="67">
        <f t="shared" si="6"/>
        <v>159.12</v>
      </c>
      <c r="N264" s="67">
        <f t="shared" si="7"/>
        <v>34262.970000000008</v>
      </c>
    </row>
    <row r="265" spans="1:14" ht="15" customHeight="1" x14ac:dyDescent="0.35">
      <c r="A265" s="7">
        <v>239</v>
      </c>
      <c r="B265" s="67">
        <f t="shared" si="0"/>
        <v>328.55</v>
      </c>
      <c r="C265" s="67">
        <f t="shared" si="1"/>
        <v>108.18</v>
      </c>
      <c r="D265" s="67">
        <f t="shared" si="2"/>
        <v>220.37</v>
      </c>
      <c r="E265" s="67">
        <f t="shared" si="3"/>
        <v>26273.050000000025</v>
      </c>
      <c r="J265" s="7">
        <v>239</v>
      </c>
      <c r="K265" s="67">
        <f t="shared" si="10"/>
        <v>331.23</v>
      </c>
      <c r="L265" s="67">
        <f t="shared" si="11"/>
        <v>171.31</v>
      </c>
      <c r="M265" s="67">
        <f t="shared" si="6"/>
        <v>159.92000000000002</v>
      </c>
      <c r="N265" s="67">
        <f t="shared" si="7"/>
        <v>34103.05000000001</v>
      </c>
    </row>
    <row r="266" spans="1:14" ht="15" customHeight="1" x14ac:dyDescent="0.35">
      <c r="A266" s="7">
        <v>240</v>
      </c>
      <c r="B266" s="67">
        <f t="shared" si="0"/>
        <v>328.55</v>
      </c>
      <c r="C266" s="67">
        <f t="shared" si="1"/>
        <v>107.28</v>
      </c>
      <c r="D266" s="67">
        <f t="shared" si="2"/>
        <v>221.27</v>
      </c>
      <c r="E266" s="67">
        <f t="shared" si="3"/>
        <v>26051.780000000024</v>
      </c>
      <c r="J266" s="7">
        <v>240</v>
      </c>
      <c r="K266" s="67">
        <f t="shared" si="10"/>
        <v>331.23</v>
      </c>
      <c r="L266" s="67">
        <f t="shared" si="11"/>
        <v>170.52</v>
      </c>
      <c r="M266" s="67">
        <f t="shared" si="6"/>
        <v>160.71</v>
      </c>
      <c r="N266" s="67">
        <f t="shared" si="7"/>
        <v>33942.340000000011</v>
      </c>
    </row>
    <row r="267" spans="1:14" ht="15" customHeight="1" x14ac:dyDescent="0.35">
      <c r="A267" s="7">
        <v>241</v>
      </c>
      <c r="B267" s="67">
        <f t="shared" si="0"/>
        <v>328.55</v>
      </c>
      <c r="C267" s="67">
        <f t="shared" si="1"/>
        <v>106.38</v>
      </c>
      <c r="D267" s="67">
        <f t="shared" si="2"/>
        <v>222.17000000000002</v>
      </c>
      <c r="E267" s="67">
        <f t="shared" si="3"/>
        <v>25829.610000000026</v>
      </c>
      <c r="J267" s="7">
        <v>241</v>
      </c>
      <c r="K267" s="67">
        <f t="shared" si="10"/>
        <v>331.23</v>
      </c>
      <c r="L267" s="67">
        <f t="shared" si="11"/>
        <v>169.71</v>
      </c>
      <c r="M267" s="67">
        <f t="shared" si="6"/>
        <v>161.52000000000001</v>
      </c>
      <c r="N267" s="67">
        <f t="shared" si="7"/>
        <v>33780.820000000014</v>
      </c>
    </row>
    <row r="268" spans="1:14" ht="15" customHeight="1" x14ac:dyDescent="0.35">
      <c r="A268" s="7">
        <v>242</v>
      </c>
      <c r="B268" s="67">
        <f t="shared" si="0"/>
        <v>328.55</v>
      </c>
      <c r="C268" s="67">
        <f t="shared" si="1"/>
        <v>105.47</v>
      </c>
      <c r="D268" s="67">
        <f t="shared" si="2"/>
        <v>223.08</v>
      </c>
      <c r="E268" s="67">
        <f t="shared" si="3"/>
        <v>25606.530000000024</v>
      </c>
      <c r="J268" s="7">
        <v>242</v>
      </c>
      <c r="K268" s="67">
        <f t="shared" si="10"/>
        <v>331.23</v>
      </c>
      <c r="L268" s="67">
        <f t="shared" si="11"/>
        <v>168.9</v>
      </c>
      <c r="M268" s="67">
        <f t="shared" si="6"/>
        <v>162.33000000000001</v>
      </c>
      <c r="N268" s="67">
        <f t="shared" si="7"/>
        <v>33618.490000000013</v>
      </c>
    </row>
    <row r="269" spans="1:14" ht="15" customHeight="1" x14ac:dyDescent="0.35">
      <c r="A269" s="7">
        <v>243</v>
      </c>
      <c r="B269" s="67">
        <f t="shared" si="0"/>
        <v>328.55</v>
      </c>
      <c r="C269" s="67">
        <f t="shared" si="1"/>
        <v>104.56</v>
      </c>
      <c r="D269" s="67">
        <f t="shared" si="2"/>
        <v>223.99</v>
      </c>
      <c r="E269" s="67">
        <f t="shared" si="3"/>
        <v>25382.540000000023</v>
      </c>
      <c r="J269" s="7">
        <v>243</v>
      </c>
      <c r="K269" s="67">
        <f t="shared" si="10"/>
        <v>331.23</v>
      </c>
      <c r="L269" s="67">
        <f t="shared" si="11"/>
        <v>168.09</v>
      </c>
      <c r="M269" s="67">
        <f t="shared" si="6"/>
        <v>163.14000000000001</v>
      </c>
      <c r="N269" s="67">
        <f t="shared" si="7"/>
        <v>33455.350000000013</v>
      </c>
    </row>
    <row r="270" spans="1:14" ht="15" customHeight="1" x14ac:dyDescent="0.35">
      <c r="A270" s="7">
        <v>244</v>
      </c>
      <c r="B270" s="67">
        <f t="shared" si="0"/>
        <v>328.55</v>
      </c>
      <c r="C270" s="67">
        <f t="shared" si="1"/>
        <v>103.65</v>
      </c>
      <c r="D270" s="67">
        <f t="shared" si="2"/>
        <v>224.9</v>
      </c>
      <c r="E270" s="67">
        <f t="shared" si="3"/>
        <v>25157.640000000021</v>
      </c>
      <c r="J270" s="7">
        <v>244</v>
      </c>
      <c r="K270" s="67">
        <f t="shared" si="10"/>
        <v>331.23</v>
      </c>
      <c r="L270" s="67">
        <f t="shared" si="11"/>
        <v>167.28</v>
      </c>
      <c r="M270" s="67">
        <f t="shared" si="6"/>
        <v>163.95000000000002</v>
      </c>
      <c r="N270" s="67">
        <f t="shared" si="7"/>
        <v>33291.400000000016</v>
      </c>
    </row>
    <row r="271" spans="1:14" ht="15" customHeight="1" x14ac:dyDescent="0.35">
      <c r="A271" s="7">
        <v>245</v>
      </c>
      <c r="B271" s="67">
        <f t="shared" si="0"/>
        <v>328.55</v>
      </c>
      <c r="C271" s="67">
        <f t="shared" si="1"/>
        <v>102.73</v>
      </c>
      <c r="D271" s="67">
        <f t="shared" si="2"/>
        <v>225.82</v>
      </c>
      <c r="E271" s="67">
        <f t="shared" si="3"/>
        <v>24931.820000000022</v>
      </c>
      <c r="J271" s="7">
        <v>245</v>
      </c>
      <c r="K271" s="67">
        <f t="shared" si="10"/>
        <v>331.23</v>
      </c>
      <c r="L271" s="67">
        <f t="shared" si="11"/>
        <v>166.46</v>
      </c>
      <c r="M271" s="67">
        <f t="shared" si="6"/>
        <v>164.77</v>
      </c>
      <c r="N271" s="67">
        <f t="shared" si="7"/>
        <v>33126.630000000019</v>
      </c>
    </row>
    <row r="272" spans="1:14" ht="15" customHeight="1" x14ac:dyDescent="0.35">
      <c r="A272" s="7">
        <v>246</v>
      </c>
      <c r="B272" s="67">
        <f t="shared" si="0"/>
        <v>328.55</v>
      </c>
      <c r="C272" s="67">
        <f t="shared" si="1"/>
        <v>101.8</v>
      </c>
      <c r="D272" s="67">
        <f t="shared" si="2"/>
        <v>226.75</v>
      </c>
      <c r="E272" s="67">
        <f t="shared" si="3"/>
        <v>24705.070000000022</v>
      </c>
      <c r="J272" s="7">
        <v>246</v>
      </c>
      <c r="K272" s="67">
        <f t="shared" si="10"/>
        <v>331.23</v>
      </c>
      <c r="L272" s="67">
        <f t="shared" si="11"/>
        <v>165.63</v>
      </c>
      <c r="M272" s="67">
        <f t="shared" si="6"/>
        <v>165.60000000000002</v>
      </c>
      <c r="N272" s="67">
        <f t="shared" si="7"/>
        <v>32961.030000000021</v>
      </c>
    </row>
    <row r="273" spans="1:14" ht="15" customHeight="1" x14ac:dyDescent="0.35">
      <c r="A273" s="7">
        <v>247</v>
      </c>
      <c r="B273" s="67">
        <f t="shared" si="0"/>
        <v>328.55</v>
      </c>
      <c r="C273" s="67">
        <f t="shared" si="1"/>
        <v>100.88</v>
      </c>
      <c r="D273" s="67">
        <f t="shared" si="2"/>
        <v>227.67000000000002</v>
      </c>
      <c r="E273" s="67">
        <f t="shared" si="3"/>
        <v>24477.400000000023</v>
      </c>
      <c r="J273" s="7">
        <v>247</v>
      </c>
      <c r="K273" s="67">
        <f t="shared" si="10"/>
        <v>331.23</v>
      </c>
      <c r="L273" s="67">
        <f t="shared" si="11"/>
        <v>164.81</v>
      </c>
      <c r="M273" s="67">
        <f t="shared" si="6"/>
        <v>166.42000000000002</v>
      </c>
      <c r="N273" s="67">
        <f t="shared" si="7"/>
        <v>32794.610000000022</v>
      </c>
    </row>
    <row r="274" spans="1:14" ht="15" customHeight="1" x14ac:dyDescent="0.35">
      <c r="A274" s="7">
        <v>248</v>
      </c>
      <c r="B274" s="67">
        <f t="shared" si="0"/>
        <v>328.55</v>
      </c>
      <c r="C274" s="67">
        <f t="shared" si="1"/>
        <v>99.95</v>
      </c>
      <c r="D274" s="67">
        <f t="shared" si="2"/>
        <v>228.60000000000002</v>
      </c>
      <c r="E274" s="67">
        <f t="shared" si="3"/>
        <v>24248.800000000025</v>
      </c>
      <c r="J274" s="7">
        <v>248</v>
      </c>
      <c r="K274" s="67">
        <f t="shared" si="10"/>
        <v>331.23</v>
      </c>
      <c r="L274" s="67">
        <f t="shared" si="11"/>
        <v>163.97</v>
      </c>
      <c r="M274" s="67">
        <f t="shared" si="6"/>
        <v>167.26000000000002</v>
      </c>
      <c r="N274" s="67">
        <f t="shared" si="7"/>
        <v>32627.350000000024</v>
      </c>
    </row>
    <row r="275" spans="1:14" ht="15" customHeight="1" x14ac:dyDescent="0.35">
      <c r="A275" s="7">
        <v>249</v>
      </c>
      <c r="B275" s="67">
        <f t="shared" si="0"/>
        <v>328.55</v>
      </c>
      <c r="C275" s="67">
        <f t="shared" si="1"/>
        <v>99.02</v>
      </c>
      <c r="D275" s="67">
        <f t="shared" si="2"/>
        <v>229.53000000000003</v>
      </c>
      <c r="E275" s="67">
        <f t="shared" si="3"/>
        <v>24019.270000000026</v>
      </c>
      <c r="J275" s="7">
        <v>249</v>
      </c>
      <c r="K275" s="67">
        <f t="shared" si="10"/>
        <v>331.23</v>
      </c>
      <c r="L275" s="67">
        <f t="shared" si="11"/>
        <v>163.13999999999999</v>
      </c>
      <c r="M275" s="67">
        <f t="shared" si="6"/>
        <v>168.09000000000003</v>
      </c>
      <c r="N275" s="67">
        <f t="shared" si="7"/>
        <v>32459.260000000024</v>
      </c>
    </row>
    <row r="276" spans="1:14" ht="15" customHeight="1" x14ac:dyDescent="0.35">
      <c r="A276" s="7">
        <v>250</v>
      </c>
      <c r="B276" s="67">
        <f t="shared" si="0"/>
        <v>328.55</v>
      </c>
      <c r="C276" s="67">
        <f t="shared" si="1"/>
        <v>98.08</v>
      </c>
      <c r="D276" s="67">
        <f t="shared" si="2"/>
        <v>230.47000000000003</v>
      </c>
      <c r="E276" s="67">
        <f t="shared" si="3"/>
        <v>23788.800000000025</v>
      </c>
      <c r="J276" s="7">
        <v>250</v>
      </c>
      <c r="K276" s="67">
        <f t="shared" si="10"/>
        <v>331.23</v>
      </c>
      <c r="L276" s="67">
        <f t="shared" si="11"/>
        <v>162.30000000000001</v>
      </c>
      <c r="M276" s="67">
        <f t="shared" si="6"/>
        <v>168.93</v>
      </c>
      <c r="N276" s="67">
        <f t="shared" si="7"/>
        <v>32290.330000000024</v>
      </c>
    </row>
    <row r="277" spans="1:14" ht="15" customHeight="1" x14ac:dyDescent="0.35">
      <c r="A277" s="7">
        <v>251</v>
      </c>
      <c r="B277" s="67">
        <f t="shared" si="0"/>
        <v>328.55</v>
      </c>
      <c r="C277" s="67">
        <f t="shared" si="1"/>
        <v>97.14</v>
      </c>
      <c r="D277" s="67">
        <f t="shared" si="2"/>
        <v>231.41000000000003</v>
      </c>
      <c r="E277" s="67">
        <f t="shared" si="3"/>
        <v>23557.390000000025</v>
      </c>
      <c r="J277" s="7">
        <v>251</v>
      </c>
      <c r="K277" s="67">
        <f t="shared" si="10"/>
        <v>331.23</v>
      </c>
      <c r="L277" s="67">
        <f t="shared" si="11"/>
        <v>161.44999999999999</v>
      </c>
      <c r="M277" s="67">
        <f t="shared" si="6"/>
        <v>169.78000000000003</v>
      </c>
      <c r="N277" s="67">
        <f t="shared" si="7"/>
        <v>32120.550000000025</v>
      </c>
    </row>
    <row r="278" spans="1:14" ht="15" customHeight="1" x14ac:dyDescent="0.35">
      <c r="A278" s="7">
        <v>252</v>
      </c>
      <c r="B278" s="67">
        <f t="shared" si="0"/>
        <v>328.55</v>
      </c>
      <c r="C278" s="67">
        <f t="shared" si="1"/>
        <v>96.19</v>
      </c>
      <c r="D278" s="67">
        <f t="shared" si="2"/>
        <v>232.36</v>
      </c>
      <c r="E278" s="67">
        <f t="shared" si="3"/>
        <v>23325.030000000024</v>
      </c>
      <c r="J278" s="7">
        <v>252</v>
      </c>
      <c r="K278" s="67">
        <f t="shared" si="10"/>
        <v>331.23</v>
      </c>
      <c r="L278" s="67">
        <f t="shared" si="11"/>
        <v>160.6</v>
      </c>
      <c r="M278" s="67">
        <f t="shared" si="6"/>
        <v>170.63000000000002</v>
      </c>
      <c r="N278" s="67">
        <f t="shared" si="7"/>
        <v>31949.920000000024</v>
      </c>
    </row>
    <row r="279" spans="1:14" ht="15" customHeight="1" x14ac:dyDescent="0.35">
      <c r="A279" s="7">
        <v>253</v>
      </c>
      <c r="B279" s="67">
        <f t="shared" si="0"/>
        <v>328.55</v>
      </c>
      <c r="C279" s="67">
        <f t="shared" si="1"/>
        <v>95.24</v>
      </c>
      <c r="D279" s="67">
        <f t="shared" si="2"/>
        <v>233.31</v>
      </c>
      <c r="E279" s="67">
        <f t="shared" si="3"/>
        <v>23091.720000000023</v>
      </c>
      <c r="J279" s="7">
        <v>253</v>
      </c>
      <c r="K279" s="67">
        <f t="shared" si="10"/>
        <v>331.23</v>
      </c>
      <c r="L279" s="67">
        <f t="shared" si="11"/>
        <v>159.75</v>
      </c>
      <c r="M279" s="67">
        <f t="shared" si="6"/>
        <v>171.48000000000002</v>
      </c>
      <c r="N279" s="67">
        <f t="shared" si="7"/>
        <v>31778.440000000024</v>
      </c>
    </row>
    <row r="280" spans="1:14" ht="15" customHeight="1" x14ac:dyDescent="0.35">
      <c r="A280" s="7">
        <v>254</v>
      </c>
      <c r="B280" s="67">
        <f t="shared" si="0"/>
        <v>328.55</v>
      </c>
      <c r="C280" s="67">
        <f t="shared" si="1"/>
        <v>94.29</v>
      </c>
      <c r="D280" s="67">
        <f t="shared" si="2"/>
        <v>234.26</v>
      </c>
      <c r="E280" s="67">
        <f t="shared" si="3"/>
        <v>22857.460000000025</v>
      </c>
      <c r="J280" s="7">
        <v>254</v>
      </c>
      <c r="K280" s="67">
        <f t="shared" si="10"/>
        <v>331.23</v>
      </c>
      <c r="L280" s="67">
        <f t="shared" si="11"/>
        <v>158.88999999999999</v>
      </c>
      <c r="M280" s="67">
        <f t="shared" si="6"/>
        <v>172.34000000000003</v>
      </c>
      <c r="N280" s="67">
        <f t="shared" si="7"/>
        <v>31606.100000000024</v>
      </c>
    </row>
    <row r="281" spans="1:14" ht="15" customHeight="1" x14ac:dyDescent="0.35">
      <c r="A281" s="7">
        <v>255</v>
      </c>
      <c r="B281" s="67">
        <f t="shared" si="0"/>
        <v>328.55</v>
      </c>
      <c r="C281" s="67">
        <f t="shared" si="1"/>
        <v>93.33</v>
      </c>
      <c r="D281" s="67">
        <f t="shared" si="2"/>
        <v>235.22000000000003</v>
      </c>
      <c r="E281" s="67">
        <f t="shared" si="3"/>
        <v>22622.240000000023</v>
      </c>
      <c r="J281" s="7">
        <v>255</v>
      </c>
      <c r="K281" s="67">
        <f t="shared" si="10"/>
        <v>331.23</v>
      </c>
      <c r="L281" s="67">
        <f t="shared" si="11"/>
        <v>158.03</v>
      </c>
      <c r="M281" s="67">
        <f t="shared" si="6"/>
        <v>173.20000000000002</v>
      </c>
      <c r="N281" s="67">
        <f t="shared" si="7"/>
        <v>31432.900000000023</v>
      </c>
    </row>
    <row r="282" spans="1:14" ht="15" customHeight="1" x14ac:dyDescent="0.35">
      <c r="A282" s="7">
        <v>256</v>
      </c>
      <c r="B282" s="67">
        <f t="shared" ref="B282:B362" si="12">-$B$21</f>
        <v>328.55</v>
      </c>
      <c r="C282" s="67">
        <f t="shared" ref="C282:C362" si="13">ROUND(E281*$B$17,2)</f>
        <v>92.37</v>
      </c>
      <c r="D282" s="67">
        <f t="shared" ref="D282:D362" si="14">B282-C282</f>
        <v>236.18</v>
      </c>
      <c r="E282" s="67">
        <f t="shared" ref="E282:E362" si="15">E281-D282</f>
        <v>22386.060000000023</v>
      </c>
      <c r="J282" s="7">
        <v>256</v>
      </c>
      <c r="K282" s="67">
        <f t="shared" si="10"/>
        <v>331.23</v>
      </c>
      <c r="L282" s="67">
        <f t="shared" si="11"/>
        <v>157.16</v>
      </c>
      <c r="M282" s="67">
        <f t="shared" ref="M282:M409" si="16">K282-L282</f>
        <v>174.07000000000002</v>
      </c>
      <c r="N282" s="67">
        <f t="shared" ref="N282:N410" si="17">N281-M282</f>
        <v>31258.830000000024</v>
      </c>
    </row>
    <row r="283" spans="1:14" ht="15" customHeight="1" x14ac:dyDescent="0.35">
      <c r="A283" s="7">
        <v>257</v>
      </c>
      <c r="B283" s="67">
        <f t="shared" si="12"/>
        <v>328.55</v>
      </c>
      <c r="C283" s="67">
        <f t="shared" si="13"/>
        <v>91.41</v>
      </c>
      <c r="D283" s="67">
        <f t="shared" si="14"/>
        <v>237.14000000000001</v>
      </c>
      <c r="E283" s="67">
        <f t="shared" si="15"/>
        <v>22148.920000000024</v>
      </c>
      <c r="J283" s="7">
        <v>257</v>
      </c>
      <c r="K283" s="67">
        <f t="shared" si="10"/>
        <v>331.23</v>
      </c>
      <c r="L283" s="67">
        <f t="shared" si="11"/>
        <v>156.29</v>
      </c>
      <c r="M283" s="67">
        <f t="shared" si="16"/>
        <v>174.94000000000003</v>
      </c>
      <c r="N283" s="67">
        <f t="shared" si="17"/>
        <v>31083.890000000025</v>
      </c>
    </row>
    <row r="284" spans="1:14" ht="15" customHeight="1" x14ac:dyDescent="0.35">
      <c r="A284" s="7">
        <v>258</v>
      </c>
      <c r="B284" s="67">
        <f t="shared" si="12"/>
        <v>328.55</v>
      </c>
      <c r="C284" s="67">
        <f t="shared" si="13"/>
        <v>90.44</v>
      </c>
      <c r="D284" s="67">
        <f t="shared" si="14"/>
        <v>238.11</v>
      </c>
      <c r="E284" s="67">
        <f t="shared" si="15"/>
        <v>21910.810000000023</v>
      </c>
      <c r="J284" s="7">
        <v>258</v>
      </c>
      <c r="K284" s="67">
        <f t="shared" si="10"/>
        <v>331.23</v>
      </c>
      <c r="L284" s="67">
        <f t="shared" si="11"/>
        <v>155.41999999999999</v>
      </c>
      <c r="M284" s="67">
        <f t="shared" si="16"/>
        <v>175.81000000000003</v>
      </c>
      <c r="N284" s="67">
        <f t="shared" si="17"/>
        <v>30908.080000000024</v>
      </c>
    </row>
    <row r="285" spans="1:14" ht="15" customHeight="1" x14ac:dyDescent="0.35">
      <c r="A285" s="7">
        <v>259</v>
      </c>
      <c r="B285" s="67">
        <f t="shared" si="12"/>
        <v>328.55</v>
      </c>
      <c r="C285" s="67">
        <f t="shared" si="13"/>
        <v>89.47</v>
      </c>
      <c r="D285" s="67">
        <f t="shared" si="14"/>
        <v>239.08</v>
      </c>
      <c r="E285" s="67">
        <f t="shared" si="15"/>
        <v>21671.730000000021</v>
      </c>
      <c r="J285" s="7">
        <v>259</v>
      </c>
      <c r="K285" s="67">
        <f t="shared" si="10"/>
        <v>331.23</v>
      </c>
      <c r="L285" s="67">
        <f t="shared" si="11"/>
        <v>154.54</v>
      </c>
      <c r="M285" s="67">
        <f t="shared" si="16"/>
        <v>176.69000000000003</v>
      </c>
      <c r="N285" s="67">
        <f t="shared" si="17"/>
        <v>30731.390000000025</v>
      </c>
    </row>
    <row r="286" spans="1:14" ht="15" customHeight="1" x14ac:dyDescent="0.35">
      <c r="A286" s="7">
        <v>260</v>
      </c>
      <c r="B286" s="67">
        <f t="shared" si="12"/>
        <v>328.55</v>
      </c>
      <c r="C286" s="67">
        <f t="shared" si="13"/>
        <v>88.49</v>
      </c>
      <c r="D286" s="67">
        <f t="shared" si="14"/>
        <v>240.06</v>
      </c>
      <c r="E286" s="67">
        <f t="shared" si="15"/>
        <v>21431.67000000002</v>
      </c>
      <c r="J286" s="7">
        <v>260</v>
      </c>
      <c r="K286" s="67">
        <f t="shared" si="10"/>
        <v>331.23</v>
      </c>
      <c r="L286" s="67">
        <f t="shared" si="11"/>
        <v>153.66</v>
      </c>
      <c r="M286" s="67">
        <f t="shared" si="16"/>
        <v>177.57000000000002</v>
      </c>
      <c r="N286" s="67">
        <f t="shared" si="17"/>
        <v>30553.820000000025</v>
      </c>
    </row>
    <row r="287" spans="1:14" ht="15" customHeight="1" x14ac:dyDescent="0.35">
      <c r="A287" s="7">
        <v>261</v>
      </c>
      <c r="B287" s="67">
        <f t="shared" si="12"/>
        <v>328.55</v>
      </c>
      <c r="C287" s="67">
        <f t="shared" si="13"/>
        <v>87.51</v>
      </c>
      <c r="D287" s="67">
        <f t="shared" si="14"/>
        <v>241.04000000000002</v>
      </c>
      <c r="E287" s="67">
        <f t="shared" si="15"/>
        <v>21190.630000000019</v>
      </c>
      <c r="J287" s="7">
        <v>261</v>
      </c>
      <c r="K287" s="67">
        <f t="shared" si="10"/>
        <v>331.23</v>
      </c>
      <c r="L287" s="67">
        <f t="shared" si="11"/>
        <v>152.77000000000001</v>
      </c>
      <c r="M287" s="67">
        <f t="shared" si="16"/>
        <v>178.46</v>
      </c>
      <c r="N287" s="67">
        <f t="shared" si="17"/>
        <v>30375.360000000026</v>
      </c>
    </row>
    <row r="288" spans="1:14" ht="15" customHeight="1" x14ac:dyDescent="0.35">
      <c r="A288" s="7">
        <v>262</v>
      </c>
      <c r="B288" s="67">
        <f t="shared" si="12"/>
        <v>328.55</v>
      </c>
      <c r="C288" s="67">
        <f t="shared" si="13"/>
        <v>86.53</v>
      </c>
      <c r="D288" s="67">
        <f t="shared" si="14"/>
        <v>242.02</v>
      </c>
      <c r="E288" s="67">
        <f t="shared" si="15"/>
        <v>20948.610000000019</v>
      </c>
      <c r="J288" s="7">
        <v>262</v>
      </c>
      <c r="K288" s="67">
        <f t="shared" si="10"/>
        <v>331.23</v>
      </c>
      <c r="L288" s="67">
        <f t="shared" si="11"/>
        <v>151.88</v>
      </c>
      <c r="M288" s="67">
        <f t="shared" si="16"/>
        <v>179.35000000000002</v>
      </c>
      <c r="N288" s="67">
        <f t="shared" si="17"/>
        <v>30196.010000000028</v>
      </c>
    </row>
    <row r="289" spans="1:14" ht="15" customHeight="1" x14ac:dyDescent="0.35">
      <c r="A289" s="7">
        <v>263</v>
      </c>
      <c r="B289" s="67">
        <f t="shared" si="12"/>
        <v>328.55</v>
      </c>
      <c r="C289" s="67">
        <f t="shared" si="13"/>
        <v>85.54</v>
      </c>
      <c r="D289" s="67">
        <f t="shared" si="14"/>
        <v>243.01</v>
      </c>
      <c r="E289" s="67">
        <f t="shared" si="15"/>
        <v>20705.60000000002</v>
      </c>
      <c r="J289" s="7">
        <v>263</v>
      </c>
      <c r="K289" s="67">
        <f t="shared" si="10"/>
        <v>331.23</v>
      </c>
      <c r="L289" s="67">
        <f t="shared" si="11"/>
        <v>150.97999999999999</v>
      </c>
      <c r="M289" s="67">
        <f t="shared" si="16"/>
        <v>180.25000000000003</v>
      </c>
      <c r="N289" s="67">
        <f t="shared" si="17"/>
        <v>30015.760000000028</v>
      </c>
    </row>
    <row r="290" spans="1:14" ht="15" customHeight="1" x14ac:dyDescent="0.35">
      <c r="A290" s="7">
        <v>264</v>
      </c>
      <c r="B290" s="67">
        <f t="shared" si="12"/>
        <v>328.55</v>
      </c>
      <c r="C290" s="67">
        <f t="shared" si="13"/>
        <v>84.55</v>
      </c>
      <c r="D290" s="67">
        <f t="shared" si="14"/>
        <v>244</v>
      </c>
      <c r="E290" s="67">
        <f t="shared" si="15"/>
        <v>20461.60000000002</v>
      </c>
      <c r="J290" s="7">
        <v>264</v>
      </c>
      <c r="K290" s="67">
        <f t="shared" si="10"/>
        <v>331.23</v>
      </c>
      <c r="L290" s="67">
        <f t="shared" si="11"/>
        <v>150.08000000000001</v>
      </c>
      <c r="M290" s="67">
        <f t="shared" si="16"/>
        <v>181.15</v>
      </c>
      <c r="N290" s="67">
        <f t="shared" si="17"/>
        <v>29834.610000000026</v>
      </c>
    </row>
    <row r="291" spans="1:14" ht="15" customHeight="1" x14ac:dyDescent="0.35">
      <c r="A291" s="7">
        <v>265</v>
      </c>
      <c r="B291" s="67">
        <f t="shared" si="12"/>
        <v>328.55</v>
      </c>
      <c r="C291" s="67">
        <f t="shared" si="13"/>
        <v>83.55</v>
      </c>
      <c r="D291" s="67">
        <f t="shared" si="14"/>
        <v>245</v>
      </c>
      <c r="E291" s="67">
        <f t="shared" si="15"/>
        <v>20216.60000000002</v>
      </c>
      <c r="J291" s="7">
        <v>265</v>
      </c>
      <c r="K291" s="67">
        <f t="shared" si="10"/>
        <v>331.23</v>
      </c>
      <c r="L291" s="67">
        <f t="shared" si="11"/>
        <v>149.16999999999999</v>
      </c>
      <c r="M291" s="67">
        <f t="shared" si="16"/>
        <v>182.06000000000003</v>
      </c>
      <c r="N291" s="67">
        <f t="shared" si="17"/>
        <v>29652.550000000025</v>
      </c>
    </row>
    <row r="292" spans="1:14" ht="15" customHeight="1" x14ac:dyDescent="0.35">
      <c r="A292" s="7">
        <v>266</v>
      </c>
      <c r="B292" s="67">
        <f t="shared" si="12"/>
        <v>328.55</v>
      </c>
      <c r="C292" s="67">
        <f t="shared" si="13"/>
        <v>82.55</v>
      </c>
      <c r="D292" s="67">
        <f t="shared" si="14"/>
        <v>246</v>
      </c>
      <c r="E292" s="67">
        <f t="shared" si="15"/>
        <v>19970.60000000002</v>
      </c>
      <c r="J292" s="7">
        <v>266</v>
      </c>
      <c r="K292" s="67">
        <f t="shared" si="10"/>
        <v>331.23</v>
      </c>
      <c r="L292" s="67">
        <f t="shared" si="11"/>
        <v>148.26</v>
      </c>
      <c r="M292" s="67">
        <f t="shared" si="16"/>
        <v>182.97000000000003</v>
      </c>
      <c r="N292" s="67">
        <f t="shared" si="17"/>
        <v>29469.580000000024</v>
      </c>
    </row>
    <row r="293" spans="1:14" ht="15" customHeight="1" x14ac:dyDescent="0.35">
      <c r="A293" s="7">
        <v>267</v>
      </c>
      <c r="B293" s="67">
        <f t="shared" si="12"/>
        <v>328.55</v>
      </c>
      <c r="C293" s="67">
        <f t="shared" si="13"/>
        <v>81.55</v>
      </c>
      <c r="D293" s="67">
        <f t="shared" si="14"/>
        <v>247</v>
      </c>
      <c r="E293" s="67">
        <f t="shared" si="15"/>
        <v>19723.60000000002</v>
      </c>
      <c r="J293" s="7">
        <v>267</v>
      </c>
      <c r="K293" s="67">
        <f t="shared" si="10"/>
        <v>331.23</v>
      </c>
      <c r="L293" s="67">
        <f t="shared" si="11"/>
        <v>147.35</v>
      </c>
      <c r="M293" s="67">
        <f t="shared" si="16"/>
        <v>183.88000000000002</v>
      </c>
      <c r="N293" s="67">
        <f t="shared" si="17"/>
        <v>29285.700000000023</v>
      </c>
    </row>
    <row r="294" spans="1:14" ht="15" customHeight="1" x14ac:dyDescent="0.35">
      <c r="A294" s="7">
        <v>268</v>
      </c>
      <c r="B294" s="67">
        <f t="shared" si="12"/>
        <v>328.55</v>
      </c>
      <c r="C294" s="67">
        <f t="shared" si="13"/>
        <v>80.540000000000006</v>
      </c>
      <c r="D294" s="67">
        <f t="shared" si="14"/>
        <v>248.01</v>
      </c>
      <c r="E294" s="67">
        <f t="shared" si="15"/>
        <v>19475.590000000022</v>
      </c>
      <c r="J294" s="7">
        <v>268</v>
      </c>
      <c r="K294" s="67">
        <f t="shared" si="10"/>
        <v>331.23</v>
      </c>
      <c r="L294" s="67">
        <f t="shared" si="11"/>
        <v>146.43</v>
      </c>
      <c r="M294" s="67">
        <f t="shared" si="16"/>
        <v>184.8</v>
      </c>
      <c r="N294" s="67">
        <f t="shared" si="17"/>
        <v>29100.900000000023</v>
      </c>
    </row>
    <row r="295" spans="1:14" ht="15" customHeight="1" x14ac:dyDescent="0.35">
      <c r="A295" s="7">
        <v>269</v>
      </c>
      <c r="B295" s="67">
        <f t="shared" si="12"/>
        <v>328.55</v>
      </c>
      <c r="C295" s="67">
        <f t="shared" si="13"/>
        <v>79.53</v>
      </c>
      <c r="D295" s="67">
        <f t="shared" si="14"/>
        <v>249.02</v>
      </c>
      <c r="E295" s="67">
        <f t="shared" si="15"/>
        <v>19226.570000000022</v>
      </c>
      <c r="J295" s="7">
        <v>269</v>
      </c>
      <c r="K295" s="67">
        <f t="shared" si="10"/>
        <v>331.23</v>
      </c>
      <c r="L295" s="67">
        <f t="shared" si="11"/>
        <v>145.5</v>
      </c>
      <c r="M295" s="67">
        <f t="shared" si="16"/>
        <v>185.73000000000002</v>
      </c>
      <c r="N295" s="67">
        <f t="shared" si="17"/>
        <v>28915.170000000024</v>
      </c>
    </row>
    <row r="296" spans="1:14" ht="15" customHeight="1" x14ac:dyDescent="0.35">
      <c r="A296" s="7">
        <v>270</v>
      </c>
      <c r="B296" s="67">
        <f t="shared" si="12"/>
        <v>328.55</v>
      </c>
      <c r="C296" s="67">
        <f t="shared" si="13"/>
        <v>78.510000000000005</v>
      </c>
      <c r="D296" s="67">
        <f t="shared" si="14"/>
        <v>250.04000000000002</v>
      </c>
      <c r="E296" s="67">
        <f t="shared" si="15"/>
        <v>18976.530000000021</v>
      </c>
      <c r="J296" s="7">
        <v>270</v>
      </c>
      <c r="K296" s="67">
        <f t="shared" si="10"/>
        <v>331.23</v>
      </c>
      <c r="L296" s="67">
        <f t="shared" si="11"/>
        <v>144.58000000000001</v>
      </c>
      <c r="M296" s="67">
        <f t="shared" si="16"/>
        <v>186.65</v>
      </c>
      <c r="N296" s="67">
        <f t="shared" si="17"/>
        <v>28728.520000000022</v>
      </c>
    </row>
    <row r="297" spans="1:14" ht="15" customHeight="1" x14ac:dyDescent="0.35">
      <c r="A297" s="7">
        <v>271</v>
      </c>
      <c r="B297" s="67">
        <f t="shared" si="12"/>
        <v>328.55</v>
      </c>
      <c r="C297" s="67">
        <f t="shared" si="13"/>
        <v>77.489999999999995</v>
      </c>
      <c r="D297" s="67">
        <f t="shared" si="14"/>
        <v>251.06</v>
      </c>
      <c r="E297" s="67">
        <f t="shared" si="15"/>
        <v>18725.470000000019</v>
      </c>
      <c r="J297" s="7">
        <v>271</v>
      </c>
      <c r="K297" s="67">
        <f t="shared" si="10"/>
        <v>331.23</v>
      </c>
      <c r="L297" s="67">
        <f t="shared" si="11"/>
        <v>143.63999999999999</v>
      </c>
      <c r="M297" s="67">
        <f t="shared" si="16"/>
        <v>187.59000000000003</v>
      </c>
      <c r="N297" s="67">
        <f t="shared" si="17"/>
        <v>28540.930000000022</v>
      </c>
    </row>
    <row r="298" spans="1:14" ht="15" customHeight="1" x14ac:dyDescent="0.35">
      <c r="A298" s="7">
        <v>272</v>
      </c>
      <c r="B298" s="67">
        <f t="shared" si="12"/>
        <v>328.55</v>
      </c>
      <c r="C298" s="67">
        <f t="shared" si="13"/>
        <v>76.459999999999994</v>
      </c>
      <c r="D298" s="67">
        <f t="shared" si="14"/>
        <v>252.09000000000003</v>
      </c>
      <c r="E298" s="67">
        <f t="shared" si="15"/>
        <v>18473.380000000019</v>
      </c>
      <c r="J298" s="7">
        <v>272</v>
      </c>
      <c r="K298" s="67">
        <f t="shared" si="10"/>
        <v>331.23</v>
      </c>
      <c r="L298" s="67">
        <f t="shared" si="11"/>
        <v>142.69999999999999</v>
      </c>
      <c r="M298" s="67">
        <f t="shared" si="16"/>
        <v>188.53000000000003</v>
      </c>
      <c r="N298" s="67">
        <f t="shared" si="17"/>
        <v>28352.400000000023</v>
      </c>
    </row>
    <row r="299" spans="1:14" ht="15" customHeight="1" x14ac:dyDescent="0.35">
      <c r="A299" s="7">
        <v>273</v>
      </c>
      <c r="B299" s="67">
        <f t="shared" si="12"/>
        <v>328.55</v>
      </c>
      <c r="C299" s="67">
        <f t="shared" si="13"/>
        <v>75.430000000000007</v>
      </c>
      <c r="D299" s="67">
        <f t="shared" si="14"/>
        <v>253.12</v>
      </c>
      <c r="E299" s="67">
        <f t="shared" si="15"/>
        <v>18220.26000000002</v>
      </c>
      <c r="J299" s="7">
        <v>273</v>
      </c>
      <c r="K299" s="67">
        <f t="shared" si="10"/>
        <v>331.23</v>
      </c>
      <c r="L299" s="67">
        <f t="shared" si="11"/>
        <v>141.76</v>
      </c>
      <c r="M299" s="67">
        <f t="shared" si="16"/>
        <v>189.47000000000003</v>
      </c>
      <c r="N299" s="67">
        <f t="shared" si="17"/>
        <v>28162.930000000022</v>
      </c>
    </row>
    <row r="300" spans="1:14" ht="15" customHeight="1" x14ac:dyDescent="0.35">
      <c r="A300" s="7">
        <v>274</v>
      </c>
      <c r="B300" s="67">
        <f t="shared" si="12"/>
        <v>328.55</v>
      </c>
      <c r="C300" s="67">
        <f t="shared" si="13"/>
        <v>74.400000000000006</v>
      </c>
      <c r="D300" s="67">
        <f t="shared" si="14"/>
        <v>254.15</v>
      </c>
      <c r="E300" s="67">
        <f t="shared" si="15"/>
        <v>17966.110000000019</v>
      </c>
      <c r="J300" s="7">
        <v>274</v>
      </c>
      <c r="K300" s="67">
        <f t="shared" si="10"/>
        <v>331.23</v>
      </c>
      <c r="L300" s="67">
        <f t="shared" si="11"/>
        <v>140.81</v>
      </c>
      <c r="M300" s="67">
        <f t="shared" si="16"/>
        <v>190.42000000000002</v>
      </c>
      <c r="N300" s="67">
        <f t="shared" si="17"/>
        <v>27972.510000000024</v>
      </c>
    </row>
    <row r="301" spans="1:14" ht="15" customHeight="1" x14ac:dyDescent="0.35">
      <c r="A301" s="7">
        <v>275</v>
      </c>
      <c r="B301" s="67">
        <f t="shared" si="12"/>
        <v>328.55</v>
      </c>
      <c r="C301" s="67">
        <f t="shared" si="13"/>
        <v>73.36</v>
      </c>
      <c r="D301" s="67">
        <f t="shared" si="14"/>
        <v>255.19</v>
      </c>
      <c r="E301" s="67">
        <f t="shared" si="15"/>
        <v>17710.92000000002</v>
      </c>
      <c r="J301" s="7">
        <v>275</v>
      </c>
      <c r="K301" s="67">
        <f t="shared" si="10"/>
        <v>331.23</v>
      </c>
      <c r="L301" s="67">
        <f t="shared" si="11"/>
        <v>139.86000000000001</v>
      </c>
      <c r="M301" s="67">
        <f t="shared" si="16"/>
        <v>191.37</v>
      </c>
      <c r="N301" s="67">
        <f t="shared" si="17"/>
        <v>27781.140000000025</v>
      </c>
    </row>
    <row r="302" spans="1:14" ht="15" customHeight="1" x14ac:dyDescent="0.35">
      <c r="A302" s="7">
        <v>276</v>
      </c>
      <c r="B302" s="67">
        <f t="shared" si="12"/>
        <v>328.55</v>
      </c>
      <c r="C302" s="67">
        <f t="shared" si="13"/>
        <v>72.319999999999993</v>
      </c>
      <c r="D302" s="67">
        <f t="shared" si="14"/>
        <v>256.23</v>
      </c>
      <c r="E302" s="67">
        <f t="shared" si="15"/>
        <v>17454.690000000021</v>
      </c>
      <c r="J302" s="7">
        <v>276</v>
      </c>
      <c r="K302" s="67">
        <f t="shared" si="10"/>
        <v>331.23</v>
      </c>
      <c r="L302" s="67">
        <f t="shared" si="11"/>
        <v>138.91</v>
      </c>
      <c r="M302" s="67">
        <f t="shared" si="16"/>
        <v>192.32000000000002</v>
      </c>
      <c r="N302" s="67">
        <f t="shared" si="17"/>
        <v>27588.820000000025</v>
      </c>
    </row>
    <row r="303" spans="1:14" ht="15" customHeight="1" x14ac:dyDescent="0.35">
      <c r="A303" s="7">
        <v>277</v>
      </c>
      <c r="B303" s="67">
        <f t="shared" si="12"/>
        <v>328.55</v>
      </c>
      <c r="C303" s="67">
        <f t="shared" si="13"/>
        <v>71.27</v>
      </c>
      <c r="D303" s="67">
        <f t="shared" si="14"/>
        <v>257.28000000000003</v>
      </c>
      <c r="E303" s="67">
        <f t="shared" si="15"/>
        <v>17197.410000000022</v>
      </c>
      <c r="J303" s="7">
        <v>277</v>
      </c>
      <c r="K303" s="67">
        <f t="shared" si="10"/>
        <v>331.23</v>
      </c>
      <c r="L303" s="67">
        <f t="shared" si="11"/>
        <v>137.94</v>
      </c>
      <c r="M303" s="67">
        <f t="shared" si="16"/>
        <v>193.29000000000002</v>
      </c>
      <c r="N303" s="67">
        <f t="shared" si="17"/>
        <v>27395.530000000024</v>
      </c>
    </row>
    <row r="304" spans="1:14" ht="15" customHeight="1" x14ac:dyDescent="0.35">
      <c r="A304" s="7">
        <v>278</v>
      </c>
      <c r="B304" s="67">
        <f t="shared" si="12"/>
        <v>328.55</v>
      </c>
      <c r="C304" s="67">
        <f t="shared" si="13"/>
        <v>70.22</v>
      </c>
      <c r="D304" s="67">
        <f t="shared" si="14"/>
        <v>258.33000000000004</v>
      </c>
      <c r="E304" s="67">
        <f t="shared" si="15"/>
        <v>16939.08000000002</v>
      </c>
      <c r="J304" s="7">
        <v>278</v>
      </c>
      <c r="K304" s="67">
        <f t="shared" si="10"/>
        <v>331.23</v>
      </c>
      <c r="L304" s="67">
        <f t="shared" si="11"/>
        <v>136.97999999999999</v>
      </c>
      <c r="M304" s="67">
        <f t="shared" si="16"/>
        <v>194.25000000000003</v>
      </c>
      <c r="N304" s="67">
        <f t="shared" si="17"/>
        <v>27201.280000000024</v>
      </c>
    </row>
    <row r="305" spans="1:14" ht="15" customHeight="1" x14ac:dyDescent="0.35">
      <c r="A305" s="7">
        <v>279</v>
      </c>
      <c r="B305" s="67">
        <f t="shared" si="12"/>
        <v>328.55</v>
      </c>
      <c r="C305" s="67">
        <f t="shared" si="13"/>
        <v>69.17</v>
      </c>
      <c r="D305" s="67">
        <f t="shared" si="14"/>
        <v>259.38</v>
      </c>
      <c r="E305" s="67">
        <f t="shared" si="15"/>
        <v>16679.700000000019</v>
      </c>
      <c r="J305" s="7">
        <v>279</v>
      </c>
      <c r="K305" s="67">
        <f t="shared" si="10"/>
        <v>331.23</v>
      </c>
      <c r="L305" s="67">
        <f t="shared" si="11"/>
        <v>136.01</v>
      </c>
      <c r="M305" s="67">
        <f t="shared" si="16"/>
        <v>195.22000000000003</v>
      </c>
      <c r="N305" s="67">
        <f t="shared" si="17"/>
        <v>27006.060000000023</v>
      </c>
    </row>
    <row r="306" spans="1:14" ht="15" customHeight="1" x14ac:dyDescent="0.35">
      <c r="A306" s="7">
        <v>280</v>
      </c>
      <c r="B306" s="67">
        <f t="shared" si="12"/>
        <v>328.55</v>
      </c>
      <c r="C306" s="67">
        <f t="shared" si="13"/>
        <v>68.11</v>
      </c>
      <c r="D306" s="67">
        <f t="shared" si="14"/>
        <v>260.44</v>
      </c>
      <c r="E306" s="67">
        <f t="shared" si="15"/>
        <v>16419.26000000002</v>
      </c>
      <c r="J306" s="7">
        <v>280</v>
      </c>
      <c r="K306" s="67">
        <f t="shared" si="10"/>
        <v>331.23</v>
      </c>
      <c r="L306" s="67">
        <f t="shared" si="11"/>
        <v>135.03</v>
      </c>
      <c r="M306" s="67">
        <f t="shared" si="16"/>
        <v>196.20000000000002</v>
      </c>
      <c r="N306" s="67">
        <f t="shared" si="17"/>
        <v>26809.860000000022</v>
      </c>
    </row>
    <row r="307" spans="1:14" ht="15" customHeight="1" x14ac:dyDescent="0.35">
      <c r="A307" s="7">
        <v>281</v>
      </c>
      <c r="B307" s="67">
        <f t="shared" si="12"/>
        <v>328.55</v>
      </c>
      <c r="C307" s="67">
        <f t="shared" si="13"/>
        <v>67.05</v>
      </c>
      <c r="D307" s="67">
        <f t="shared" si="14"/>
        <v>261.5</v>
      </c>
      <c r="E307" s="67">
        <f t="shared" si="15"/>
        <v>16157.76000000002</v>
      </c>
      <c r="J307" s="7">
        <v>281</v>
      </c>
      <c r="K307" s="67">
        <f t="shared" si="10"/>
        <v>331.23</v>
      </c>
      <c r="L307" s="67">
        <f t="shared" si="11"/>
        <v>134.05000000000001</v>
      </c>
      <c r="M307" s="67">
        <f t="shared" si="16"/>
        <v>197.18</v>
      </c>
      <c r="N307" s="67">
        <f t="shared" si="17"/>
        <v>26612.680000000022</v>
      </c>
    </row>
    <row r="308" spans="1:14" ht="15" customHeight="1" x14ac:dyDescent="0.35">
      <c r="A308" s="7">
        <v>282</v>
      </c>
      <c r="B308" s="67">
        <f t="shared" si="12"/>
        <v>328.55</v>
      </c>
      <c r="C308" s="67">
        <f t="shared" si="13"/>
        <v>65.98</v>
      </c>
      <c r="D308" s="67">
        <f t="shared" si="14"/>
        <v>262.57</v>
      </c>
      <c r="E308" s="67">
        <f t="shared" si="15"/>
        <v>15895.190000000021</v>
      </c>
      <c r="J308" s="7">
        <v>282</v>
      </c>
      <c r="K308" s="67">
        <f t="shared" si="10"/>
        <v>331.23</v>
      </c>
      <c r="L308" s="67">
        <f t="shared" si="11"/>
        <v>133.06</v>
      </c>
      <c r="M308" s="67">
        <f t="shared" si="16"/>
        <v>198.17000000000002</v>
      </c>
      <c r="N308" s="67">
        <f t="shared" si="17"/>
        <v>26414.510000000024</v>
      </c>
    </row>
    <row r="309" spans="1:14" ht="15" customHeight="1" x14ac:dyDescent="0.35">
      <c r="A309" s="7">
        <v>283</v>
      </c>
      <c r="B309" s="67">
        <f t="shared" si="12"/>
        <v>328.55</v>
      </c>
      <c r="C309" s="67">
        <f t="shared" si="13"/>
        <v>64.91</v>
      </c>
      <c r="D309" s="67">
        <f t="shared" si="14"/>
        <v>263.64</v>
      </c>
      <c r="E309" s="67">
        <f t="shared" si="15"/>
        <v>15631.550000000021</v>
      </c>
      <c r="J309" s="7">
        <v>283</v>
      </c>
      <c r="K309" s="67">
        <f t="shared" si="10"/>
        <v>331.23</v>
      </c>
      <c r="L309" s="67">
        <f t="shared" si="11"/>
        <v>132.07</v>
      </c>
      <c r="M309" s="67">
        <f t="shared" si="16"/>
        <v>199.16000000000003</v>
      </c>
      <c r="N309" s="67">
        <f t="shared" si="17"/>
        <v>26215.350000000024</v>
      </c>
    </row>
    <row r="310" spans="1:14" ht="15" customHeight="1" x14ac:dyDescent="0.35">
      <c r="A310" s="7">
        <v>284</v>
      </c>
      <c r="B310" s="67">
        <f t="shared" si="12"/>
        <v>328.55</v>
      </c>
      <c r="C310" s="67">
        <f t="shared" si="13"/>
        <v>63.83</v>
      </c>
      <c r="D310" s="67">
        <f t="shared" si="14"/>
        <v>264.72000000000003</v>
      </c>
      <c r="E310" s="67">
        <f t="shared" si="15"/>
        <v>15366.830000000022</v>
      </c>
      <c r="J310" s="7">
        <v>284</v>
      </c>
      <c r="K310" s="67">
        <f t="shared" si="10"/>
        <v>331.23</v>
      </c>
      <c r="L310" s="67">
        <f t="shared" si="11"/>
        <v>131.08000000000001</v>
      </c>
      <c r="M310" s="67">
        <f t="shared" si="16"/>
        <v>200.15</v>
      </c>
      <c r="N310" s="67">
        <f t="shared" si="17"/>
        <v>26015.200000000023</v>
      </c>
    </row>
    <row r="311" spans="1:14" ht="15" customHeight="1" x14ac:dyDescent="0.35">
      <c r="A311" s="7">
        <v>285</v>
      </c>
      <c r="B311" s="67">
        <f t="shared" si="12"/>
        <v>328.55</v>
      </c>
      <c r="C311" s="67">
        <f t="shared" si="13"/>
        <v>62.75</v>
      </c>
      <c r="D311" s="67">
        <f t="shared" si="14"/>
        <v>265.8</v>
      </c>
      <c r="E311" s="67">
        <f t="shared" si="15"/>
        <v>15101.030000000022</v>
      </c>
      <c r="J311" s="7">
        <v>285</v>
      </c>
      <c r="K311" s="67">
        <f t="shared" si="10"/>
        <v>331.23</v>
      </c>
      <c r="L311" s="67">
        <f t="shared" si="11"/>
        <v>130.08000000000001</v>
      </c>
      <c r="M311" s="67">
        <f t="shared" si="16"/>
        <v>201.15</v>
      </c>
      <c r="N311" s="67">
        <f t="shared" si="17"/>
        <v>25814.050000000021</v>
      </c>
    </row>
    <row r="312" spans="1:14" ht="15" customHeight="1" x14ac:dyDescent="0.35">
      <c r="A312" s="7">
        <v>286</v>
      </c>
      <c r="B312" s="67">
        <f t="shared" si="12"/>
        <v>328.55</v>
      </c>
      <c r="C312" s="67">
        <f t="shared" si="13"/>
        <v>61.66</v>
      </c>
      <c r="D312" s="67">
        <f t="shared" si="14"/>
        <v>266.89</v>
      </c>
      <c r="E312" s="67">
        <f t="shared" si="15"/>
        <v>14834.140000000023</v>
      </c>
      <c r="J312" s="7">
        <v>286</v>
      </c>
      <c r="K312" s="67">
        <f t="shared" si="10"/>
        <v>331.23</v>
      </c>
      <c r="L312" s="67">
        <f t="shared" si="11"/>
        <v>129.07</v>
      </c>
      <c r="M312" s="67">
        <f t="shared" si="16"/>
        <v>202.16000000000003</v>
      </c>
      <c r="N312" s="67">
        <f t="shared" si="17"/>
        <v>25611.890000000021</v>
      </c>
    </row>
    <row r="313" spans="1:14" ht="15" customHeight="1" x14ac:dyDescent="0.35">
      <c r="A313" s="7">
        <v>287</v>
      </c>
      <c r="B313" s="67">
        <f t="shared" si="12"/>
        <v>328.55</v>
      </c>
      <c r="C313" s="67">
        <f t="shared" si="13"/>
        <v>60.57</v>
      </c>
      <c r="D313" s="67">
        <f t="shared" si="14"/>
        <v>267.98</v>
      </c>
      <c r="E313" s="67">
        <f t="shared" si="15"/>
        <v>14566.160000000024</v>
      </c>
      <c r="J313" s="7">
        <v>287</v>
      </c>
      <c r="K313" s="67">
        <f t="shared" si="10"/>
        <v>331.23</v>
      </c>
      <c r="L313" s="67">
        <f t="shared" si="11"/>
        <v>128.06</v>
      </c>
      <c r="M313" s="67">
        <f t="shared" si="16"/>
        <v>203.17000000000002</v>
      </c>
      <c r="N313" s="67">
        <f t="shared" si="17"/>
        <v>25408.720000000023</v>
      </c>
    </row>
    <row r="314" spans="1:14" ht="15" customHeight="1" x14ac:dyDescent="0.35">
      <c r="A314" s="7">
        <v>288</v>
      </c>
      <c r="B314" s="67">
        <f t="shared" si="12"/>
        <v>328.55</v>
      </c>
      <c r="C314" s="67">
        <f t="shared" si="13"/>
        <v>59.48</v>
      </c>
      <c r="D314" s="67">
        <f t="shared" si="14"/>
        <v>269.07</v>
      </c>
      <c r="E314" s="67">
        <f t="shared" si="15"/>
        <v>14297.090000000024</v>
      </c>
      <c r="J314" s="7">
        <v>288</v>
      </c>
      <c r="K314" s="67">
        <f t="shared" si="10"/>
        <v>331.23</v>
      </c>
      <c r="L314" s="67">
        <f t="shared" si="11"/>
        <v>127.04</v>
      </c>
      <c r="M314" s="67">
        <f t="shared" si="16"/>
        <v>204.19</v>
      </c>
      <c r="N314" s="67">
        <f t="shared" si="17"/>
        <v>25204.530000000024</v>
      </c>
    </row>
    <row r="315" spans="1:14" ht="15" customHeight="1" x14ac:dyDescent="0.35">
      <c r="A315" s="7">
        <v>289</v>
      </c>
      <c r="B315" s="67">
        <f t="shared" si="12"/>
        <v>328.55</v>
      </c>
      <c r="C315" s="67">
        <f t="shared" si="13"/>
        <v>58.38</v>
      </c>
      <c r="D315" s="67">
        <f t="shared" si="14"/>
        <v>270.17</v>
      </c>
      <c r="E315" s="67">
        <f t="shared" si="15"/>
        <v>14026.920000000024</v>
      </c>
      <c r="J315" s="7">
        <v>289</v>
      </c>
      <c r="K315" s="67">
        <f t="shared" si="10"/>
        <v>331.23</v>
      </c>
      <c r="L315" s="67">
        <f t="shared" si="11"/>
        <v>126.02</v>
      </c>
      <c r="M315" s="67">
        <f t="shared" si="16"/>
        <v>205.21000000000004</v>
      </c>
      <c r="N315" s="67">
        <f t="shared" si="17"/>
        <v>24999.320000000025</v>
      </c>
    </row>
    <row r="316" spans="1:14" ht="15" customHeight="1" x14ac:dyDescent="0.35">
      <c r="A316" s="7">
        <v>290</v>
      </c>
      <c r="B316" s="67">
        <f t="shared" si="12"/>
        <v>328.55</v>
      </c>
      <c r="C316" s="67">
        <f t="shared" si="13"/>
        <v>57.28</v>
      </c>
      <c r="D316" s="67">
        <f t="shared" si="14"/>
        <v>271.27</v>
      </c>
      <c r="E316" s="67">
        <f t="shared" si="15"/>
        <v>13755.650000000023</v>
      </c>
      <c r="J316" s="7">
        <v>290</v>
      </c>
      <c r="K316" s="67">
        <f t="shared" si="10"/>
        <v>331.23</v>
      </c>
      <c r="L316" s="67">
        <f t="shared" si="11"/>
        <v>125</v>
      </c>
      <c r="M316" s="67">
        <f t="shared" si="16"/>
        <v>206.23000000000002</v>
      </c>
      <c r="N316" s="67">
        <f t="shared" si="17"/>
        <v>24793.090000000026</v>
      </c>
    </row>
    <row r="317" spans="1:14" ht="15" customHeight="1" x14ac:dyDescent="0.35">
      <c r="A317" s="7">
        <v>291</v>
      </c>
      <c r="B317" s="67">
        <f t="shared" si="12"/>
        <v>328.55</v>
      </c>
      <c r="C317" s="67">
        <f t="shared" si="13"/>
        <v>56.17</v>
      </c>
      <c r="D317" s="67">
        <f t="shared" si="14"/>
        <v>272.38</v>
      </c>
      <c r="E317" s="67">
        <f t="shared" si="15"/>
        <v>13483.270000000024</v>
      </c>
      <c r="J317" s="7">
        <v>291</v>
      </c>
      <c r="K317" s="67">
        <f t="shared" si="10"/>
        <v>331.23</v>
      </c>
      <c r="L317" s="67">
        <f t="shared" si="11"/>
        <v>123.97</v>
      </c>
      <c r="M317" s="67">
        <f t="shared" si="16"/>
        <v>207.26000000000002</v>
      </c>
      <c r="N317" s="67">
        <f t="shared" si="17"/>
        <v>24585.830000000027</v>
      </c>
    </row>
    <row r="318" spans="1:14" ht="15" customHeight="1" x14ac:dyDescent="0.35">
      <c r="A318" s="7">
        <v>292</v>
      </c>
      <c r="B318" s="67">
        <f t="shared" si="12"/>
        <v>328.55</v>
      </c>
      <c r="C318" s="67">
        <f t="shared" si="13"/>
        <v>55.06</v>
      </c>
      <c r="D318" s="67">
        <f t="shared" si="14"/>
        <v>273.49</v>
      </c>
      <c r="E318" s="67">
        <f t="shared" si="15"/>
        <v>13209.780000000024</v>
      </c>
      <c r="J318" s="7">
        <v>292</v>
      </c>
      <c r="K318" s="67">
        <f t="shared" si="10"/>
        <v>331.23</v>
      </c>
      <c r="L318" s="67">
        <f t="shared" si="11"/>
        <v>122.93</v>
      </c>
      <c r="M318" s="67">
        <f t="shared" si="16"/>
        <v>208.3</v>
      </c>
      <c r="N318" s="67">
        <f t="shared" si="17"/>
        <v>24377.530000000028</v>
      </c>
    </row>
    <row r="319" spans="1:14" ht="15" customHeight="1" x14ac:dyDescent="0.35">
      <c r="A319" s="7">
        <v>293</v>
      </c>
      <c r="B319" s="67">
        <f t="shared" si="12"/>
        <v>328.55</v>
      </c>
      <c r="C319" s="67">
        <f t="shared" si="13"/>
        <v>53.94</v>
      </c>
      <c r="D319" s="67">
        <f t="shared" si="14"/>
        <v>274.61</v>
      </c>
      <c r="E319" s="67">
        <f t="shared" si="15"/>
        <v>12935.170000000024</v>
      </c>
      <c r="J319" s="7">
        <v>293</v>
      </c>
      <c r="K319" s="67">
        <f t="shared" si="10"/>
        <v>331.23</v>
      </c>
      <c r="L319" s="67">
        <f t="shared" si="11"/>
        <v>121.89</v>
      </c>
      <c r="M319" s="67">
        <f t="shared" si="16"/>
        <v>209.34000000000003</v>
      </c>
      <c r="N319" s="67">
        <f t="shared" si="17"/>
        <v>24168.190000000028</v>
      </c>
    </row>
    <row r="320" spans="1:14" ht="15" customHeight="1" x14ac:dyDescent="0.35">
      <c r="A320" s="7">
        <v>294</v>
      </c>
      <c r="B320" s="67">
        <f t="shared" si="12"/>
        <v>328.55</v>
      </c>
      <c r="C320" s="67">
        <f t="shared" si="13"/>
        <v>52.82</v>
      </c>
      <c r="D320" s="67">
        <f t="shared" si="14"/>
        <v>275.73</v>
      </c>
      <c r="E320" s="67">
        <f t="shared" si="15"/>
        <v>12659.440000000024</v>
      </c>
      <c r="J320" s="7">
        <v>294</v>
      </c>
      <c r="K320" s="67">
        <f t="shared" si="10"/>
        <v>331.23</v>
      </c>
      <c r="L320" s="67">
        <f t="shared" si="11"/>
        <v>120.84</v>
      </c>
      <c r="M320" s="67">
        <f t="shared" si="16"/>
        <v>210.39000000000001</v>
      </c>
      <c r="N320" s="67">
        <f t="shared" si="17"/>
        <v>23957.800000000028</v>
      </c>
    </row>
    <row r="321" spans="1:14" ht="15" customHeight="1" x14ac:dyDescent="0.35">
      <c r="A321" s="7">
        <v>295</v>
      </c>
      <c r="B321" s="67">
        <f t="shared" si="12"/>
        <v>328.55</v>
      </c>
      <c r="C321" s="67">
        <f t="shared" si="13"/>
        <v>51.69</v>
      </c>
      <c r="D321" s="67">
        <f t="shared" si="14"/>
        <v>276.86</v>
      </c>
      <c r="E321" s="67">
        <f t="shared" si="15"/>
        <v>12382.580000000024</v>
      </c>
      <c r="J321" s="7">
        <v>295</v>
      </c>
      <c r="K321" s="67">
        <f t="shared" si="10"/>
        <v>331.23</v>
      </c>
      <c r="L321" s="67">
        <f t="shared" si="11"/>
        <v>119.79</v>
      </c>
      <c r="M321" s="67">
        <f t="shared" si="16"/>
        <v>211.44</v>
      </c>
      <c r="N321" s="67">
        <f t="shared" si="17"/>
        <v>23746.36000000003</v>
      </c>
    </row>
    <row r="322" spans="1:14" ht="15" customHeight="1" x14ac:dyDescent="0.35">
      <c r="A322" s="7">
        <v>296</v>
      </c>
      <c r="B322" s="67">
        <f t="shared" si="12"/>
        <v>328.55</v>
      </c>
      <c r="C322" s="67">
        <f t="shared" si="13"/>
        <v>50.56</v>
      </c>
      <c r="D322" s="67">
        <f t="shared" si="14"/>
        <v>277.99</v>
      </c>
      <c r="E322" s="67">
        <f t="shared" si="15"/>
        <v>12104.590000000024</v>
      </c>
      <c r="J322" s="7">
        <v>296</v>
      </c>
      <c r="K322" s="67">
        <f t="shared" si="10"/>
        <v>331.23</v>
      </c>
      <c r="L322" s="67">
        <f t="shared" si="11"/>
        <v>118.73</v>
      </c>
      <c r="M322" s="67">
        <f t="shared" si="16"/>
        <v>212.5</v>
      </c>
      <c r="N322" s="67">
        <f t="shared" si="17"/>
        <v>23533.86000000003</v>
      </c>
    </row>
    <row r="323" spans="1:14" ht="15" customHeight="1" x14ac:dyDescent="0.35">
      <c r="A323" s="7">
        <v>297</v>
      </c>
      <c r="B323" s="67">
        <f t="shared" si="12"/>
        <v>328.55</v>
      </c>
      <c r="C323" s="67">
        <f t="shared" si="13"/>
        <v>49.43</v>
      </c>
      <c r="D323" s="67">
        <f t="shared" si="14"/>
        <v>279.12</v>
      </c>
      <c r="E323" s="67">
        <f t="shared" si="15"/>
        <v>11825.470000000023</v>
      </c>
      <c r="J323" s="7">
        <v>297</v>
      </c>
      <c r="K323" s="67">
        <f t="shared" si="10"/>
        <v>331.23</v>
      </c>
      <c r="L323" s="67">
        <f t="shared" si="11"/>
        <v>117.67</v>
      </c>
      <c r="M323" s="67">
        <f t="shared" si="16"/>
        <v>213.56</v>
      </c>
      <c r="N323" s="67">
        <f t="shared" si="17"/>
        <v>23320.300000000028</v>
      </c>
    </row>
    <row r="324" spans="1:14" ht="15" customHeight="1" x14ac:dyDescent="0.35">
      <c r="A324" s="7">
        <v>298</v>
      </c>
      <c r="B324" s="67">
        <f t="shared" si="12"/>
        <v>328.55</v>
      </c>
      <c r="C324" s="67">
        <f t="shared" si="13"/>
        <v>48.29</v>
      </c>
      <c r="D324" s="67">
        <f t="shared" si="14"/>
        <v>280.26</v>
      </c>
      <c r="E324" s="67">
        <f t="shared" si="15"/>
        <v>11545.210000000023</v>
      </c>
      <c r="J324" s="7">
        <v>298</v>
      </c>
      <c r="K324" s="67">
        <f t="shared" si="10"/>
        <v>331.23</v>
      </c>
      <c r="L324" s="67">
        <f t="shared" si="11"/>
        <v>116.6</v>
      </c>
      <c r="M324" s="67">
        <f t="shared" si="16"/>
        <v>214.63000000000002</v>
      </c>
      <c r="N324" s="67">
        <f t="shared" si="17"/>
        <v>23105.670000000027</v>
      </c>
    </row>
    <row r="325" spans="1:14" ht="15" customHeight="1" x14ac:dyDescent="0.35">
      <c r="A325" s="7">
        <v>299</v>
      </c>
      <c r="B325" s="67">
        <f t="shared" si="12"/>
        <v>328.55</v>
      </c>
      <c r="C325" s="67">
        <f t="shared" si="13"/>
        <v>47.14</v>
      </c>
      <c r="D325" s="67">
        <f t="shared" si="14"/>
        <v>281.41000000000003</v>
      </c>
      <c r="E325" s="67">
        <f t="shared" si="15"/>
        <v>11263.800000000023</v>
      </c>
      <c r="J325" s="7">
        <v>299</v>
      </c>
      <c r="K325" s="67">
        <f t="shared" si="10"/>
        <v>331.23</v>
      </c>
      <c r="L325" s="67">
        <f t="shared" si="11"/>
        <v>115.53</v>
      </c>
      <c r="M325" s="67">
        <f t="shared" si="16"/>
        <v>215.70000000000002</v>
      </c>
      <c r="N325" s="67">
        <f t="shared" si="17"/>
        <v>22889.970000000027</v>
      </c>
    </row>
    <row r="326" spans="1:14" ht="15" customHeight="1" x14ac:dyDescent="0.35">
      <c r="A326" s="7">
        <v>300</v>
      </c>
      <c r="B326" s="67">
        <f t="shared" si="12"/>
        <v>328.55</v>
      </c>
      <c r="C326" s="67">
        <f t="shared" si="13"/>
        <v>45.99</v>
      </c>
      <c r="D326" s="67">
        <f t="shared" si="14"/>
        <v>282.56</v>
      </c>
      <c r="E326" s="67">
        <f t="shared" si="15"/>
        <v>10981.240000000023</v>
      </c>
      <c r="J326" s="7">
        <v>300</v>
      </c>
      <c r="K326" s="67">
        <f t="shared" si="10"/>
        <v>331.23</v>
      </c>
      <c r="L326" s="67">
        <f t="shared" si="11"/>
        <v>114.45</v>
      </c>
      <c r="M326" s="67">
        <f t="shared" si="16"/>
        <v>216.78000000000003</v>
      </c>
      <c r="N326" s="67">
        <f t="shared" si="17"/>
        <v>22673.190000000028</v>
      </c>
    </row>
    <row r="327" spans="1:14" ht="15" customHeight="1" x14ac:dyDescent="0.35">
      <c r="A327" s="7">
        <v>301</v>
      </c>
      <c r="B327" s="67">
        <f t="shared" si="12"/>
        <v>328.55</v>
      </c>
      <c r="C327" s="67">
        <f t="shared" si="13"/>
        <v>44.84</v>
      </c>
      <c r="D327" s="67">
        <f t="shared" si="14"/>
        <v>283.71000000000004</v>
      </c>
      <c r="E327" s="67">
        <f t="shared" si="15"/>
        <v>10697.530000000024</v>
      </c>
      <c r="J327" s="7">
        <v>301</v>
      </c>
      <c r="K327" s="67">
        <f t="shared" si="10"/>
        <v>331.23</v>
      </c>
      <c r="L327" s="67">
        <f t="shared" si="11"/>
        <v>113.37</v>
      </c>
      <c r="M327" s="67">
        <f t="shared" si="16"/>
        <v>217.86</v>
      </c>
      <c r="N327" s="67">
        <f t="shared" si="17"/>
        <v>22455.330000000027</v>
      </c>
    </row>
    <row r="328" spans="1:14" ht="15" customHeight="1" x14ac:dyDescent="0.35">
      <c r="A328" s="7">
        <v>302</v>
      </c>
      <c r="B328" s="67">
        <f t="shared" si="12"/>
        <v>328.55</v>
      </c>
      <c r="C328" s="67">
        <f t="shared" si="13"/>
        <v>43.68</v>
      </c>
      <c r="D328" s="67">
        <f t="shared" si="14"/>
        <v>284.87</v>
      </c>
      <c r="E328" s="67">
        <f t="shared" si="15"/>
        <v>10412.660000000024</v>
      </c>
      <c r="J328" s="7">
        <v>302</v>
      </c>
      <c r="K328" s="67">
        <f t="shared" si="10"/>
        <v>331.23</v>
      </c>
      <c r="L328" s="67">
        <f t="shared" si="11"/>
        <v>112.28</v>
      </c>
      <c r="M328" s="67">
        <f t="shared" si="16"/>
        <v>218.95000000000002</v>
      </c>
      <c r="N328" s="67">
        <f t="shared" si="17"/>
        <v>22236.380000000026</v>
      </c>
    </row>
    <row r="329" spans="1:14" ht="15" customHeight="1" x14ac:dyDescent="0.35">
      <c r="A329" s="7">
        <v>303</v>
      </c>
      <c r="B329" s="67">
        <f t="shared" si="12"/>
        <v>328.55</v>
      </c>
      <c r="C329" s="67">
        <f t="shared" si="13"/>
        <v>42.52</v>
      </c>
      <c r="D329" s="67">
        <f t="shared" si="14"/>
        <v>286.03000000000003</v>
      </c>
      <c r="E329" s="67">
        <f t="shared" si="15"/>
        <v>10126.630000000023</v>
      </c>
      <c r="J329" s="7">
        <v>303</v>
      </c>
      <c r="K329" s="67">
        <f t="shared" si="10"/>
        <v>331.23</v>
      </c>
      <c r="L329" s="67">
        <f t="shared" si="11"/>
        <v>111.18</v>
      </c>
      <c r="M329" s="67">
        <f t="shared" si="16"/>
        <v>220.05</v>
      </c>
      <c r="N329" s="67">
        <f t="shared" si="17"/>
        <v>22016.330000000027</v>
      </c>
    </row>
    <row r="330" spans="1:14" ht="15" customHeight="1" x14ac:dyDescent="0.35">
      <c r="A330" s="7">
        <v>304</v>
      </c>
      <c r="B330" s="67">
        <f t="shared" si="12"/>
        <v>328.55</v>
      </c>
      <c r="C330" s="67">
        <f t="shared" si="13"/>
        <v>41.35</v>
      </c>
      <c r="D330" s="67">
        <f t="shared" si="14"/>
        <v>287.2</v>
      </c>
      <c r="E330" s="67">
        <f t="shared" si="15"/>
        <v>9839.4300000000221</v>
      </c>
      <c r="J330" s="7">
        <v>304</v>
      </c>
      <c r="K330" s="67">
        <f t="shared" si="10"/>
        <v>331.23</v>
      </c>
      <c r="L330" s="67">
        <f t="shared" si="11"/>
        <v>110.08</v>
      </c>
      <c r="M330" s="67">
        <f t="shared" si="16"/>
        <v>221.15000000000003</v>
      </c>
      <c r="N330" s="67">
        <f t="shared" si="17"/>
        <v>21795.180000000026</v>
      </c>
    </row>
    <row r="331" spans="1:14" ht="15" customHeight="1" x14ac:dyDescent="0.35">
      <c r="A331" s="7">
        <v>305</v>
      </c>
      <c r="B331" s="67">
        <f t="shared" si="12"/>
        <v>328.55</v>
      </c>
      <c r="C331" s="67">
        <f t="shared" si="13"/>
        <v>40.18</v>
      </c>
      <c r="D331" s="67">
        <f t="shared" si="14"/>
        <v>288.37</v>
      </c>
      <c r="E331" s="67">
        <f t="shared" si="15"/>
        <v>9551.0600000000213</v>
      </c>
      <c r="J331" s="7">
        <v>305</v>
      </c>
      <c r="K331" s="67">
        <f t="shared" si="10"/>
        <v>331.23</v>
      </c>
      <c r="L331" s="67">
        <f t="shared" si="11"/>
        <v>108.98</v>
      </c>
      <c r="M331" s="67">
        <f t="shared" si="16"/>
        <v>222.25</v>
      </c>
      <c r="N331" s="67">
        <f t="shared" si="17"/>
        <v>21572.930000000026</v>
      </c>
    </row>
    <row r="332" spans="1:14" ht="15" customHeight="1" x14ac:dyDescent="0.35">
      <c r="A332" s="7">
        <v>306</v>
      </c>
      <c r="B332" s="67">
        <f t="shared" si="12"/>
        <v>328.55</v>
      </c>
      <c r="C332" s="67">
        <f t="shared" si="13"/>
        <v>39</v>
      </c>
      <c r="D332" s="67">
        <f t="shared" si="14"/>
        <v>289.55</v>
      </c>
      <c r="E332" s="67">
        <f t="shared" si="15"/>
        <v>9261.510000000022</v>
      </c>
      <c r="J332" s="7">
        <v>306</v>
      </c>
      <c r="K332" s="67">
        <f t="shared" si="10"/>
        <v>331.23</v>
      </c>
      <c r="L332" s="67">
        <f t="shared" si="11"/>
        <v>107.86</v>
      </c>
      <c r="M332" s="67">
        <f t="shared" si="16"/>
        <v>223.37</v>
      </c>
      <c r="N332" s="67">
        <f t="shared" si="17"/>
        <v>21349.560000000027</v>
      </c>
    </row>
    <row r="333" spans="1:14" ht="15" customHeight="1" x14ac:dyDescent="0.35">
      <c r="A333" s="7">
        <v>307</v>
      </c>
      <c r="B333" s="67">
        <f t="shared" si="12"/>
        <v>328.55</v>
      </c>
      <c r="C333" s="67">
        <f t="shared" si="13"/>
        <v>37.82</v>
      </c>
      <c r="D333" s="67">
        <f t="shared" si="14"/>
        <v>290.73</v>
      </c>
      <c r="E333" s="67">
        <f t="shared" si="15"/>
        <v>8970.7800000000225</v>
      </c>
      <c r="J333" s="7">
        <v>307</v>
      </c>
      <c r="K333" s="67">
        <f t="shared" si="10"/>
        <v>331.23</v>
      </c>
      <c r="L333" s="67">
        <f t="shared" si="11"/>
        <v>106.75</v>
      </c>
      <c r="M333" s="67">
        <f t="shared" si="16"/>
        <v>224.48000000000002</v>
      </c>
      <c r="N333" s="67">
        <f t="shared" si="17"/>
        <v>21125.080000000027</v>
      </c>
    </row>
    <row r="334" spans="1:14" ht="15" customHeight="1" x14ac:dyDescent="0.35">
      <c r="A334" s="7">
        <v>308</v>
      </c>
      <c r="B334" s="67">
        <f t="shared" si="12"/>
        <v>328.55</v>
      </c>
      <c r="C334" s="67">
        <f t="shared" si="13"/>
        <v>36.630000000000003</v>
      </c>
      <c r="D334" s="67">
        <f t="shared" si="14"/>
        <v>291.92</v>
      </c>
      <c r="E334" s="67">
        <f t="shared" si="15"/>
        <v>8678.8600000000224</v>
      </c>
      <c r="J334" s="7">
        <v>308</v>
      </c>
      <c r="K334" s="67">
        <f t="shared" si="10"/>
        <v>331.23</v>
      </c>
      <c r="L334" s="67">
        <f t="shared" si="11"/>
        <v>105.63</v>
      </c>
      <c r="M334" s="67">
        <f t="shared" si="16"/>
        <v>225.60000000000002</v>
      </c>
      <c r="N334" s="67">
        <f t="shared" si="17"/>
        <v>20899.480000000029</v>
      </c>
    </row>
    <row r="335" spans="1:14" ht="15" customHeight="1" x14ac:dyDescent="0.35">
      <c r="A335" s="7">
        <v>309</v>
      </c>
      <c r="B335" s="67">
        <f t="shared" si="12"/>
        <v>328.55</v>
      </c>
      <c r="C335" s="67">
        <f t="shared" si="13"/>
        <v>35.44</v>
      </c>
      <c r="D335" s="67">
        <f t="shared" si="14"/>
        <v>293.11</v>
      </c>
      <c r="E335" s="67">
        <f t="shared" si="15"/>
        <v>8385.7500000000218</v>
      </c>
      <c r="J335" s="7">
        <v>309</v>
      </c>
      <c r="K335" s="67">
        <f t="shared" si="10"/>
        <v>331.23</v>
      </c>
      <c r="L335" s="67">
        <f t="shared" si="11"/>
        <v>104.5</v>
      </c>
      <c r="M335" s="67">
        <f t="shared" si="16"/>
        <v>226.73000000000002</v>
      </c>
      <c r="N335" s="67">
        <f t="shared" si="17"/>
        <v>20672.750000000029</v>
      </c>
    </row>
    <row r="336" spans="1:14" ht="15" customHeight="1" x14ac:dyDescent="0.35">
      <c r="A336" s="7">
        <v>310</v>
      </c>
      <c r="B336" s="67">
        <f t="shared" si="12"/>
        <v>328.55</v>
      </c>
      <c r="C336" s="67">
        <f t="shared" si="13"/>
        <v>34.24</v>
      </c>
      <c r="D336" s="67">
        <f t="shared" si="14"/>
        <v>294.31</v>
      </c>
      <c r="E336" s="67">
        <f t="shared" si="15"/>
        <v>8091.4400000000214</v>
      </c>
      <c r="J336" s="7">
        <v>310</v>
      </c>
      <c r="K336" s="67">
        <f t="shared" si="10"/>
        <v>331.23</v>
      </c>
      <c r="L336" s="67">
        <f t="shared" si="11"/>
        <v>103.36</v>
      </c>
      <c r="M336" s="67">
        <f t="shared" si="16"/>
        <v>227.87</v>
      </c>
      <c r="N336" s="67">
        <f t="shared" si="17"/>
        <v>20444.88000000003</v>
      </c>
    </row>
    <row r="337" spans="1:14" ht="15" customHeight="1" x14ac:dyDescent="0.35">
      <c r="A337" s="7">
        <v>311</v>
      </c>
      <c r="B337" s="67">
        <f t="shared" si="12"/>
        <v>328.55</v>
      </c>
      <c r="C337" s="67">
        <f t="shared" si="13"/>
        <v>33.04</v>
      </c>
      <c r="D337" s="67">
        <f t="shared" si="14"/>
        <v>295.51</v>
      </c>
      <c r="E337" s="67">
        <f t="shared" si="15"/>
        <v>7795.9300000000212</v>
      </c>
      <c r="J337" s="7">
        <v>311</v>
      </c>
      <c r="K337" s="67">
        <f t="shared" si="10"/>
        <v>331.23</v>
      </c>
      <c r="L337" s="67">
        <f t="shared" si="11"/>
        <v>102.22</v>
      </c>
      <c r="M337" s="67">
        <f t="shared" si="16"/>
        <v>229.01000000000002</v>
      </c>
      <c r="N337" s="67">
        <f t="shared" si="17"/>
        <v>20215.870000000032</v>
      </c>
    </row>
    <row r="338" spans="1:14" ht="15" customHeight="1" x14ac:dyDescent="0.35">
      <c r="A338" s="7">
        <v>312</v>
      </c>
      <c r="B338" s="67">
        <f t="shared" si="12"/>
        <v>328.55</v>
      </c>
      <c r="C338" s="67">
        <f t="shared" si="13"/>
        <v>31.83</v>
      </c>
      <c r="D338" s="67">
        <f t="shared" si="14"/>
        <v>296.72000000000003</v>
      </c>
      <c r="E338" s="67">
        <f t="shared" si="15"/>
        <v>7499.210000000021</v>
      </c>
      <c r="J338" s="7">
        <v>312</v>
      </c>
      <c r="K338" s="67">
        <f t="shared" si="10"/>
        <v>331.23</v>
      </c>
      <c r="L338" s="67">
        <f t="shared" si="11"/>
        <v>101.08</v>
      </c>
      <c r="M338" s="67">
        <f t="shared" si="16"/>
        <v>230.15000000000003</v>
      </c>
      <c r="N338" s="67">
        <f t="shared" si="17"/>
        <v>19985.72000000003</v>
      </c>
    </row>
    <row r="339" spans="1:14" ht="15" customHeight="1" x14ac:dyDescent="0.35">
      <c r="A339" s="7">
        <v>313</v>
      </c>
      <c r="B339" s="67">
        <f t="shared" si="12"/>
        <v>328.55</v>
      </c>
      <c r="C339" s="67">
        <f t="shared" si="13"/>
        <v>30.62</v>
      </c>
      <c r="D339" s="67">
        <f t="shared" si="14"/>
        <v>297.93</v>
      </c>
      <c r="E339" s="67">
        <f t="shared" si="15"/>
        <v>7201.2800000000207</v>
      </c>
      <c r="J339" s="7">
        <v>313</v>
      </c>
      <c r="K339" s="67">
        <f t="shared" si="10"/>
        <v>331.23</v>
      </c>
      <c r="L339" s="67">
        <f t="shared" si="11"/>
        <v>99.93</v>
      </c>
      <c r="M339" s="67">
        <f t="shared" si="16"/>
        <v>231.3</v>
      </c>
      <c r="N339" s="67">
        <f t="shared" si="17"/>
        <v>19754.420000000031</v>
      </c>
    </row>
    <row r="340" spans="1:14" ht="15" customHeight="1" x14ac:dyDescent="0.35">
      <c r="A340" s="7">
        <v>314</v>
      </c>
      <c r="B340" s="67">
        <f t="shared" si="12"/>
        <v>328.55</v>
      </c>
      <c r="C340" s="67">
        <f t="shared" si="13"/>
        <v>29.41</v>
      </c>
      <c r="D340" s="67">
        <f t="shared" si="14"/>
        <v>299.14</v>
      </c>
      <c r="E340" s="67">
        <f t="shared" si="15"/>
        <v>6902.1400000000203</v>
      </c>
      <c r="J340" s="7">
        <v>314</v>
      </c>
      <c r="K340" s="67">
        <f t="shared" si="10"/>
        <v>331.23</v>
      </c>
      <c r="L340" s="67">
        <f t="shared" si="11"/>
        <v>98.77</v>
      </c>
      <c r="M340" s="67">
        <f t="shared" si="16"/>
        <v>232.46000000000004</v>
      </c>
      <c r="N340" s="67">
        <f t="shared" si="17"/>
        <v>19521.960000000032</v>
      </c>
    </row>
    <row r="341" spans="1:14" ht="15" customHeight="1" x14ac:dyDescent="0.35">
      <c r="A341" s="7">
        <v>315</v>
      </c>
      <c r="B341" s="67">
        <f t="shared" si="12"/>
        <v>328.55</v>
      </c>
      <c r="C341" s="67">
        <f t="shared" si="13"/>
        <v>28.18</v>
      </c>
      <c r="D341" s="67">
        <f t="shared" si="14"/>
        <v>300.37</v>
      </c>
      <c r="E341" s="67">
        <f t="shared" si="15"/>
        <v>6601.7700000000204</v>
      </c>
      <c r="J341" s="7">
        <v>315</v>
      </c>
      <c r="K341" s="67">
        <f t="shared" si="10"/>
        <v>331.23</v>
      </c>
      <c r="L341" s="67">
        <f t="shared" si="11"/>
        <v>97.61</v>
      </c>
      <c r="M341" s="67">
        <f t="shared" si="16"/>
        <v>233.62</v>
      </c>
      <c r="N341" s="67">
        <f t="shared" si="17"/>
        <v>19288.340000000033</v>
      </c>
    </row>
    <row r="342" spans="1:14" ht="15" customHeight="1" x14ac:dyDescent="0.35">
      <c r="A342" s="7">
        <v>316</v>
      </c>
      <c r="B342" s="67">
        <f t="shared" si="12"/>
        <v>328.55</v>
      </c>
      <c r="C342" s="67">
        <f t="shared" si="13"/>
        <v>26.96</v>
      </c>
      <c r="D342" s="67">
        <f t="shared" si="14"/>
        <v>301.59000000000003</v>
      </c>
      <c r="E342" s="67">
        <f t="shared" si="15"/>
        <v>6300.1800000000203</v>
      </c>
      <c r="J342" s="7">
        <v>316</v>
      </c>
      <c r="K342" s="67">
        <f t="shared" si="10"/>
        <v>331.23</v>
      </c>
      <c r="L342" s="67">
        <f t="shared" si="11"/>
        <v>96.44</v>
      </c>
      <c r="M342" s="67">
        <f t="shared" si="16"/>
        <v>234.79000000000002</v>
      </c>
      <c r="N342" s="67">
        <f t="shared" si="17"/>
        <v>19053.550000000032</v>
      </c>
    </row>
    <row r="343" spans="1:14" ht="15" customHeight="1" x14ac:dyDescent="0.35">
      <c r="A343" s="7">
        <v>317</v>
      </c>
      <c r="B343" s="67">
        <f t="shared" si="12"/>
        <v>328.55</v>
      </c>
      <c r="C343" s="67">
        <f t="shared" si="13"/>
        <v>25.73</v>
      </c>
      <c r="D343" s="67">
        <f t="shared" si="14"/>
        <v>302.82</v>
      </c>
      <c r="E343" s="67">
        <f t="shared" si="15"/>
        <v>5997.3600000000206</v>
      </c>
      <c r="J343" s="7">
        <v>317</v>
      </c>
      <c r="K343" s="67">
        <f t="shared" si="10"/>
        <v>331.23</v>
      </c>
      <c r="L343" s="67">
        <f t="shared" si="11"/>
        <v>95.27</v>
      </c>
      <c r="M343" s="67">
        <f t="shared" si="16"/>
        <v>235.96000000000004</v>
      </c>
      <c r="N343" s="67">
        <f t="shared" si="17"/>
        <v>18817.590000000033</v>
      </c>
    </row>
    <row r="344" spans="1:14" ht="15" customHeight="1" x14ac:dyDescent="0.35">
      <c r="A344" s="7">
        <v>318</v>
      </c>
      <c r="B344" s="67">
        <f t="shared" si="12"/>
        <v>328.55</v>
      </c>
      <c r="C344" s="67">
        <f t="shared" si="13"/>
        <v>24.49</v>
      </c>
      <c r="D344" s="67">
        <f t="shared" si="14"/>
        <v>304.06</v>
      </c>
      <c r="E344" s="67">
        <f t="shared" si="15"/>
        <v>5693.3000000000202</v>
      </c>
      <c r="J344" s="7">
        <v>318</v>
      </c>
      <c r="K344" s="67">
        <f t="shared" si="10"/>
        <v>331.23</v>
      </c>
      <c r="L344" s="67">
        <f t="shared" si="11"/>
        <v>94.09</v>
      </c>
      <c r="M344" s="67">
        <f t="shared" si="16"/>
        <v>237.14000000000001</v>
      </c>
      <c r="N344" s="67">
        <f t="shared" si="17"/>
        <v>18580.450000000033</v>
      </c>
    </row>
    <row r="345" spans="1:14" ht="15" customHeight="1" x14ac:dyDescent="0.35">
      <c r="A345" s="7">
        <v>319</v>
      </c>
      <c r="B345" s="67">
        <f t="shared" si="12"/>
        <v>328.55</v>
      </c>
      <c r="C345" s="67">
        <f t="shared" si="13"/>
        <v>23.25</v>
      </c>
      <c r="D345" s="67">
        <f t="shared" si="14"/>
        <v>305.3</v>
      </c>
      <c r="E345" s="67">
        <f t="shared" si="15"/>
        <v>5388.00000000002</v>
      </c>
      <c r="J345" s="7">
        <v>319</v>
      </c>
      <c r="K345" s="67">
        <f t="shared" si="10"/>
        <v>331.23</v>
      </c>
      <c r="L345" s="67">
        <f t="shared" si="11"/>
        <v>92.9</v>
      </c>
      <c r="M345" s="67">
        <f t="shared" si="16"/>
        <v>238.33</v>
      </c>
      <c r="N345" s="67">
        <f t="shared" si="17"/>
        <v>18342.120000000032</v>
      </c>
    </row>
    <row r="346" spans="1:14" ht="15" customHeight="1" x14ac:dyDescent="0.35">
      <c r="A346" s="7">
        <v>320</v>
      </c>
      <c r="B346" s="67">
        <f t="shared" si="12"/>
        <v>328.55</v>
      </c>
      <c r="C346" s="67">
        <f t="shared" si="13"/>
        <v>22</v>
      </c>
      <c r="D346" s="67">
        <f t="shared" si="14"/>
        <v>306.55</v>
      </c>
      <c r="E346" s="67">
        <f t="shared" si="15"/>
        <v>5081.4500000000198</v>
      </c>
      <c r="J346" s="7">
        <v>320</v>
      </c>
      <c r="K346" s="67">
        <f t="shared" si="10"/>
        <v>331.23</v>
      </c>
      <c r="L346" s="67">
        <f t="shared" si="11"/>
        <v>91.71</v>
      </c>
      <c r="M346" s="67">
        <f t="shared" si="16"/>
        <v>239.52000000000004</v>
      </c>
      <c r="N346" s="67">
        <f t="shared" si="17"/>
        <v>18102.600000000031</v>
      </c>
    </row>
    <row r="347" spans="1:14" ht="15" customHeight="1" x14ac:dyDescent="0.35">
      <c r="A347" s="7">
        <v>321</v>
      </c>
      <c r="B347" s="67">
        <f t="shared" si="12"/>
        <v>328.55</v>
      </c>
      <c r="C347" s="67">
        <f t="shared" si="13"/>
        <v>20.75</v>
      </c>
      <c r="D347" s="67">
        <f t="shared" si="14"/>
        <v>307.8</v>
      </c>
      <c r="E347" s="67">
        <f t="shared" si="15"/>
        <v>4773.6500000000196</v>
      </c>
      <c r="J347" s="7">
        <v>321</v>
      </c>
      <c r="K347" s="67">
        <f t="shared" si="10"/>
        <v>331.23</v>
      </c>
      <c r="L347" s="67">
        <f t="shared" si="11"/>
        <v>90.51</v>
      </c>
      <c r="M347" s="67">
        <f t="shared" si="16"/>
        <v>240.72000000000003</v>
      </c>
      <c r="N347" s="67">
        <f t="shared" si="17"/>
        <v>17861.88000000003</v>
      </c>
    </row>
    <row r="348" spans="1:14" ht="15" customHeight="1" x14ac:dyDescent="0.35">
      <c r="A348" s="7">
        <v>322</v>
      </c>
      <c r="B348" s="67">
        <f t="shared" si="12"/>
        <v>328.55</v>
      </c>
      <c r="C348" s="67">
        <f t="shared" si="13"/>
        <v>19.489999999999998</v>
      </c>
      <c r="D348" s="67">
        <f t="shared" si="14"/>
        <v>309.06</v>
      </c>
      <c r="E348" s="67">
        <f t="shared" si="15"/>
        <v>4464.5900000000192</v>
      </c>
      <c r="J348" s="7">
        <v>322</v>
      </c>
      <c r="K348" s="67">
        <f t="shared" si="10"/>
        <v>331.23</v>
      </c>
      <c r="L348" s="67">
        <f t="shared" si="11"/>
        <v>89.31</v>
      </c>
      <c r="M348" s="67">
        <f t="shared" si="16"/>
        <v>241.92000000000002</v>
      </c>
      <c r="N348" s="67">
        <f t="shared" si="17"/>
        <v>17619.960000000032</v>
      </c>
    </row>
    <row r="349" spans="1:14" ht="15" customHeight="1" x14ac:dyDescent="0.35">
      <c r="A349" s="7">
        <v>323</v>
      </c>
      <c r="B349" s="67">
        <f t="shared" si="12"/>
        <v>328.55</v>
      </c>
      <c r="C349" s="67">
        <f t="shared" si="13"/>
        <v>18.23</v>
      </c>
      <c r="D349" s="67">
        <f t="shared" si="14"/>
        <v>310.32</v>
      </c>
      <c r="E349" s="67">
        <f t="shared" si="15"/>
        <v>4154.2700000000195</v>
      </c>
      <c r="J349" s="7">
        <v>323</v>
      </c>
      <c r="K349" s="67">
        <f t="shared" si="10"/>
        <v>331.23</v>
      </c>
      <c r="L349" s="67">
        <f t="shared" si="11"/>
        <v>88.1</v>
      </c>
      <c r="M349" s="67">
        <f t="shared" si="16"/>
        <v>243.13000000000002</v>
      </c>
      <c r="N349" s="67">
        <f t="shared" si="17"/>
        <v>17376.830000000031</v>
      </c>
    </row>
    <row r="350" spans="1:14" ht="15" customHeight="1" x14ac:dyDescent="0.35">
      <c r="A350" s="7">
        <v>324</v>
      </c>
      <c r="B350" s="67">
        <f t="shared" si="12"/>
        <v>328.55</v>
      </c>
      <c r="C350" s="67">
        <f t="shared" si="13"/>
        <v>16.96</v>
      </c>
      <c r="D350" s="67">
        <f t="shared" si="14"/>
        <v>311.59000000000003</v>
      </c>
      <c r="E350" s="67">
        <f t="shared" si="15"/>
        <v>3842.6800000000194</v>
      </c>
      <c r="J350" s="7">
        <v>324</v>
      </c>
      <c r="K350" s="67">
        <f t="shared" si="10"/>
        <v>331.23</v>
      </c>
      <c r="L350" s="67">
        <f t="shared" si="11"/>
        <v>86.88</v>
      </c>
      <c r="M350" s="67">
        <f t="shared" si="16"/>
        <v>244.35000000000002</v>
      </c>
      <c r="N350" s="67">
        <f t="shared" si="17"/>
        <v>17132.480000000032</v>
      </c>
    </row>
    <row r="351" spans="1:14" ht="15" customHeight="1" x14ac:dyDescent="0.35">
      <c r="A351" s="7">
        <v>325</v>
      </c>
      <c r="B351" s="67">
        <f t="shared" si="12"/>
        <v>328.55</v>
      </c>
      <c r="C351" s="67">
        <f t="shared" si="13"/>
        <v>15.69</v>
      </c>
      <c r="D351" s="67">
        <f t="shared" si="14"/>
        <v>312.86</v>
      </c>
      <c r="E351" s="67">
        <f t="shared" si="15"/>
        <v>3529.8200000000193</v>
      </c>
      <c r="J351" s="7">
        <v>325</v>
      </c>
      <c r="K351" s="67">
        <f t="shared" si="10"/>
        <v>331.23</v>
      </c>
      <c r="L351" s="67">
        <f t="shared" si="11"/>
        <v>85.66</v>
      </c>
      <c r="M351" s="67">
        <f t="shared" si="16"/>
        <v>245.57000000000002</v>
      </c>
      <c r="N351" s="67">
        <f t="shared" si="17"/>
        <v>16886.910000000033</v>
      </c>
    </row>
    <row r="352" spans="1:14" ht="15" customHeight="1" x14ac:dyDescent="0.35">
      <c r="A352" s="7">
        <v>326</v>
      </c>
      <c r="B352" s="67">
        <f t="shared" si="12"/>
        <v>328.55</v>
      </c>
      <c r="C352" s="67">
        <f t="shared" si="13"/>
        <v>14.41</v>
      </c>
      <c r="D352" s="67">
        <f t="shared" si="14"/>
        <v>314.14</v>
      </c>
      <c r="E352" s="67">
        <f t="shared" si="15"/>
        <v>3215.6800000000194</v>
      </c>
      <c r="J352" s="7">
        <v>326</v>
      </c>
      <c r="K352" s="67">
        <f t="shared" si="10"/>
        <v>331.23</v>
      </c>
      <c r="L352" s="67">
        <f t="shared" si="11"/>
        <v>84.43</v>
      </c>
      <c r="M352" s="67">
        <f t="shared" si="16"/>
        <v>246.8</v>
      </c>
      <c r="N352" s="67">
        <f t="shared" si="17"/>
        <v>16640.110000000033</v>
      </c>
    </row>
    <row r="353" spans="1:14" ht="15" customHeight="1" x14ac:dyDescent="0.35">
      <c r="A353" s="7">
        <v>327</v>
      </c>
      <c r="B353" s="67">
        <f t="shared" si="12"/>
        <v>328.55</v>
      </c>
      <c r="C353" s="67">
        <f t="shared" si="13"/>
        <v>13.13</v>
      </c>
      <c r="D353" s="67">
        <f t="shared" si="14"/>
        <v>315.42</v>
      </c>
      <c r="E353" s="67">
        <f t="shared" si="15"/>
        <v>2900.2600000000193</v>
      </c>
      <c r="J353" s="7">
        <v>327</v>
      </c>
      <c r="K353" s="67">
        <f t="shared" si="10"/>
        <v>331.23</v>
      </c>
      <c r="L353" s="67">
        <f t="shared" si="11"/>
        <v>83.2</v>
      </c>
      <c r="M353" s="67">
        <f t="shared" si="16"/>
        <v>248.03000000000003</v>
      </c>
      <c r="N353" s="67">
        <f t="shared" si="17"/>
        <v>16392.080000000034</v>
      </c>
    </row>
    <row r="354" spans="1:14" ht="15" customHeight="1" x14ac:dyDescent="0.35">
      <c r="A354" s="7">
        <v>328</v>
      </c>
      <c r="B354" s="67">
        <f t="shared" si="12"/>
        <v>328.55</v>
      </c>
      <c r="C354" s="67">
        <f t="shared" si="13"/>
        <v>11.84</v>
      </c>
      <c r="D354" s="67">
        <f t="shared" si="14"/>
        <v>316.71000000000004</v>
      </c>
      <c r="E354" s="67">
        <f t="shared" si="15"/>
        <v>2583.5500000000193</v>
      </c>
      <c r="J354" s="7">
        <v>328</v>
      </c>
      <c r="K354" s="67">
        <f t="shared" si="10"/>
        <v>331.23</v>
      </c>
      <c r="L354" s="67">
        <f t="shared" si="11"/>
        <v>81.96</v>
      </c>
      <c r="M354" s="67">
        <f t="shared" si="16"/>
        <v>249.27000000000004</v>
      </c>
      <c r="N354" s="67">
        <f t="shared" si="17"/>
        <v>16142.810000000034</v>
      </c>
    </row>
    <row r="355" spans="1:14" ht="15" customHeight="1" x14ac:dyDescent="0.35">
      <c r="A355" s="7">
        <v>329</v>
      </c>
      <c r="B355" s="67">
        <f t="shared" si="12"/>
        <v>328.55</v>
      </c>
      <c r="C355" s="67">
        <f t="shared" si="13"/>
        <v>10.55</v>
      </c>
      <c r="D355" s="67">
        <f t="shared" si="14"/>
        <v>318</v>
      </c>
      <c r="E355" s="67">
        <f t="shared" si="15"/>
        <v>2265.5500000000193</v>
      </c>
      <c r="J355" s="7">
        <v>329</v>
      </c>
      <c r="K355" s="67">
        <f t="shared" si="10"/>
        <v>331.23</v>
      </c>
      <c r="L355" s="67">
        <f t="shared" si="11"/>
        <v>80.709999999999994</v>
      </c>
      <c r="M355" s="67">
        <f t="shared" si="16"/>
        <v>250.52000000000004</v>
      </c>
      <c r="N355" s="67">
        <f t="shared" si="17"/>
        <v>15892.290000000034</v>
      </c>
    </row>
    <row r="356" spans="1:14" ht="15" customHeight="1" x14ac:dyDescent="0.35">
      <c r="A356" s="7">
        <v>330</v>
      </c>
      <c r="B356" s="67">
        <f t="shared" si="12"/>
        <v>328.55</v>
      </c>
      <c r="C356" s="67">
        <f t="shared" si="13"/>
        <v>9.25</v>
      </c>
      <c r="D356" s="67">
        <f t="shared" si="14"/>
        <v>319.3</v>
      </c>
      <c r="E356" s="67">
        <f t="shared" si="15"/>
        <v>1946.2500000000193</v>
      </c>
      <c r="J356" s="7">
        <v>330</v>
      </c>
      <c r="K356" s="67">
        <f t="shared" si="10"/>
        <v>331.23</v>
      </c>
      <c r="L356" s="67">
        <f t="shared" si="11"/>
        <v>79.459999999999994</v>
      </c>
      <c r="M356" s="67">
        <f t="shared" si="16"/>
        <v>251.77000000000004</v>
      </c>
      <c r="N356" s="67">
        <f t="shared" si="17"/>
        <v>15640.520000000033</v>
      </c>
    </row>
    <row r="357" spans="1:14" ht="15" customHeight="1" x14ac:dyDescent="0.35">
      <c r="A357" s="7">
        <v>331</v>
      </c>
      <c r="B357" s="67">
        <f t="shared" si="12"/>
        <v>328.55</v>
      </c>
      <c r="C357" s="67">
        <f t="shared" si="13"/>
        <v>7.95</v>
      </c>
      <c r="D357" s="67">
        <f t="shared" si="14"/>
        <v>320.60000000000002</v>
      </c>
      <c r="E357" s="67">
        <f t="shared" si="15"/>
        <v>1625.6500000000192</v>
      </c>
      <c r="J357" s="7">
        <v>331</v>
      </c>
      <c r="K357" s="67">
        <f t="shared" si="10"/>
        <v>331.23</v>
      </c>
      <c r="L357" s="67">
        <f t="shared" si="11"/>
        <v>78.2</v>
      </c>
      <c r="M357" s="67">
        <f t="shared" si="16"/>
        <v>253.03000000000003</v>
      </c>
      <c r="N357" s="67">
        <f t="shared" si="17"/>
        <v>15387.490000000033</v>
      </c>
    </row>
    <row r="358" spans="1:14" ht="15" customHeight="1" x14ac:dyDescent="0.35">
      <c r="A358" s="7">
        <v>332</v>
      </c>
      <c r="B358" s="67">
        <f t="shared" si="12"/>
        <v>328.55</v>
      </c>
      <c r="C358" s="67">
        <f t="shared" si="13"/>
        <v>6.64</v>
      </c>
      <c r="D358" s="67">
        <f t="shared" si="14"/>
        <v>321.91000000000003</v>
      </c>
      <c r="E358" s="67">
        <f t="shared" si="15"/>
        <v>1303.7400000000191</v>
      </c>
      <c r="J358" s="7">
        <v>332</v>
      </c>
      <c r="K358" s="67">
        <f t="shared" si="10"/>
        <v>331.23</v>
      </c>
      <c r="L358" s="67">
        <f t="shared" si="11"/>
        <v>76.94</v>
      </c>
      <c r="M358" s="67">
        <f t="shared" si="16"/>
        <v>254.29000000000002</v>
      </c>
      <c r="N358" s="67">
        <f t="shared" si="17"/>
        <v>15133.200000000032</v>
      </c>
    </row>
    <row r="359" spans="1:14" ht="15" customHeight="1" x14ac:dyDescent="0.35">
      <c r="A359" s="7">
        <v>333</v>
      </c>
      <c r="B359" s="67">
        <f t="shared" si="12"/>
        <v>328.55</v>
      </c>
      <c r="C359" s="67">
        <f t="shared" si="13"/>
        <v>5.32</v>
      </c>
      <c r="D359" s="67">
        <f t="shared" si="14"/>
        <v>323.23</v>
      </c>
      <c r="E359" s="67">
        <f t="shared" si="15"/>
        <v>980.51000000001909</v>
      </c>
      <c r="J359" s="7">
        <v>333</v>
      </c>
      <c r="K359" s="67">
        <f t="shared" si="10"/>
        <v>331.23</v>
      </c>
      <c r="L359" s="67">
        <f t="shared" si="11"/>
        <v>75.67</v>
      </c>
      <c r="M359" s="67">
        <f t="shared" si="16"/>
        <v>255.56</v>
      </c>
      <c r="N359" s="67">
        <f t="shared" si="17"/>
        <v>14877.640000000032</v>
      </c>
    </row>
    <row r="360" spans="1:14" ht="15" customHeight="1" x14ac:dyDescent="0.35">
      <c r="A360" s="7">
        <v>334</v>
      </c>
      <c r="B360" s="67">
        <f t="shared" si="12"/>
        <v>328.55</v>
      </c>
      <c r="C360" s="67">
        <f t="shared" si="13"/>
        <v>4</v>
      </c>
      <c r="D360" s="67">
        <f t="shared" si="14"/>
        <v>324.55</v>
      </c>
      <c r="E360" s="67">
        <f t="shared" si="15"/>
        <v>655.96000000001914</v>
      </c>
      <c r="J360" s="7">
        <v>334</v>
      </c>
      <c r="K360" s="67">
        <f t="shared" si="10"/>
        <v>331.23</v>
      </c>
      <c r="L360" s="67">
        <f t="shared" si="11"/>
        <v>74.39</v>
      </c>
      <c r="M360" s="67">
        <f t="shared" si="16"/>
        <v>256.84000000000003</v>
      </c>
      <c r="N360" s="67">
        <f t="shared" si="17"/>
        <v>14620.800000000032</v>
      </c>
    </row>
    <row r="361" spans="1:14" ht="15" customHeight="1" x14ac:dyDescent="0.35">
      <c r="A361" s="7">
        <v>335</v>
      </c>
      <c r="B361" s="67">
        <f t="shared" si="12"/>
        <v>328.55</v>
      </c>
      <c r="C361" s="67">
        <f t="shared" si="13"/>
        <v>2.68</v>
      </c>
      <c r="D361" s="67">
        <f t="shared" si="14"/>
        <v>325.87</v>
      </c>
      <c r="E361" s="67">
        <f t="shared" si="15"/>
        <v>330.09000000001913</v>
      </c>
      <c r="J361" s="7">
        <v>335</v>
      </c>
      <c r="K361" s="67">
        <f t="shared" si="10"/>
        <v>331.23</v>
      </c>
      <c r="L361" s="67">
        <f t="shared" si="11"/>
        <v>73.099999999999994</v>
      </c>
      <c r="M361" s="67">
        <f t="shared" si="16"/>
        <v>258.13</v>
      </c>
      <c r="N361" s="67">
        <f t="shared" si="17"/>
        <v>14362.670000000033</v>
      </c>
    </row>
    <row r="362" spans="1:14" ht="15" customHeight="1" x14ac:dyDescent="0.35">
      <c r="A362" s="7">
        <v>336</v>
      </c>
      <c r="B362" s="67">
        <f t="shared" si="12"/>
        <v>328.55</v>
      </c>
      <c r="C362" s="67">
        <f t="shared" si="13"/>
        <v>1.35</v>
      </c>
      <c r="D362" s="67">
        <f t="shared" si="14"/>
        <v>327.2</v>
      </c>
      <c r="E362" s="67">
        <f t="shared" si="15"/>
        <v>2.8900000000191426</v>
      </c>
      <c r="J362" s="7">
        <v>336</v>
      </c>
      <c r="K362" s="67">
        <f t="shared" si="10"/>
        <v>331.23</v>
      </c>
      <c r="L362" s="67">
        <f t="shared" si="11"/>
        <v>71.81</v>
      </c>
      <c r="M362" s="67">
        <f t="shared" si="16"/>
        <v>259.42</v>
      </c>
      <c r="N362" s="67">
        <f t="shared" si="17"/>
        <v>14103.250000000033</v>
      </c>
    </row>
    <row r="363" spans="1:14" ht="15" customHeight="1" x14ac:dyDescent="0.35">
      <c r="B363" s="67">
        <f t="shared" ref="B363:D363" si="18">SUM(B25:B362)</f>
        <v>110392.80000000063</v>
      </c>
      <c r="C363" s="67">
        <f t="shared" si="18"/>
        <v>50395.690000000024</v>
      </c>
      <c r="D363" s="67">
        <f t="shared" si="18"/>
        <v>59997.110000000022</v>
      </c>
      <c r="J363" s="7">
        <v>337</v>
      </c>
      <c r="K363" s="67">
        <f t="shared" si="10"/>
        <v>331.23</v>
      </c>
      <c r="L363" s="67">
        <f t="shared" si="11"/>
        <v>70.52</v>
      </c>
      <c r="M363" s="67">
        <f t="shared" si="16"/>
        <v>260.71000000000004</v>
      </c>
      <c r="N363" s="67">
        <f t="shared" si="17"/>
        <v>13842.540000000034</v>
      </c>
    </row>
    <row r="364" spans="1:14" ht="15" customHeight="1" x14ac:dyDescent="0.35">
      <c r="J364" s="7">
        <v>338</v>
      </c>
      <c r="K364" s="67">
        <f t="shared" si="10"/>
        <v>331.23</v>
      </c>
      <c r="L364" s="67">
        <f t="shared" si="11"/>
        <v>69.209999999999994</v>
      </c>
      <c r="M364" s="67">
        <f t="shared" si="16"/>
        <v>262.02000000000004</v>
      </c>
      <c r="N364" s="67">
        <f t="shared" si="17"/>
        <v>13580.520000000033</v>
      </c>
    </row>
    <row r="365" spans="1:14" ht="15" customHeight="1" x14ac:dyDescent="0.35">
      <c r="J365" s="7">
        <v>339</v>
      </c>
      <c r="K365" s="67">
        <f t="shared" si="10"/>
        <v>331.23</v>
      </c>
      <c r="L365" s="67">
        <f t="shared" si="11"/>
        <v>67.900000000000006</v>
      </c>
      <c r="M365" s="67">
        <f t="shared" si="16"/>
        <v>263.33000000000004</v>
      </c>
      <c r="N365" s="67">
        <f t="shared" si="17"/>
        <v>13317.190000000033</v>
      </c>
    </row>
    <row r="366" spans="1:14" ht="15" customHeight="1" x14ac:dyDescent="0.35">
      <c r="J366" s="7">
        <v>340</v>
      </c>
      <c r="K366" s="67">
        <f t="shared" si="10"/>
        <v>331.23</v>
      </c>
      <c r="L366" s="67">
        <f t="shared" si="11"/>
        <v>66.59</v>
      </c>
      <c r="M366" s="67">
        <f t="shared" si="16"/>
        <v>264.64</v>
      </c>
      <c r="N366" s="67">
        <f t="shared" si="17"/>
        <v>13052.550000000034</v>
      </c>
    </row>
    <row r="367" spans="1:14" ht="15" customHeight="1" x14ac:dyDescent="0.35">
      <c r="J367" s="7">
        <v>341</v>
      </c>
      <c r="K367" s="67">
        <f t="shared" si="10"/>
        <v>331.23</v>
      </c>
      <c r="L367" s="67">
        <f t="shared" si="11"/>
        <v>65.260000000000005</v>
      </c>
      <c r="M367" s="67">
        <f t="shared" si="16"/>
        <v>265.97000000000003</v>
      </c>
      <c r="N367" s="67">
        <f t="shared" si="17"/>
        <v>12786.580000000034</v>
      </c>
    </row>
    <row r="368" spans="1:14" ht="15" customHeight="1" x14ac:dyDescent="0.35">
      <c r="J368" s="7">
        <v>342</v>
      </c>
      <c r="K368" s="67">
        <f t="shared" si="10"/>
        <v>331.23</v>
      </c>
      <c r="L368" s="67">
        <f t="shared" si="11"/>
        <v>63.93</v>
      </c>
      <c r="M368" s="67">
        <f t="shared" si="16"/>
        <v>267.3</v>
      </c>
      <c r="N368" s="67">
        <f t="shared" si="17"/>
        <v>12519.280000000035</v>
      </c>
    </row>
    <row r="369" spans="10:14" ht="15" customHeight="1" x14ac:dyDescent="0.35">
      <c r="J369" s="7">
        <v>343</v>
      </c>
      <c r="K369" s="67">
        <f t="shared" si="10"/>
        <v>331.23</v>
      </c>
      <c r="L369" s="67">
        <f t="shared" si="11"/>
        <v>62.6</v>
      </c>
      <c r="M369" s="67">
        <f t="shared" si="16"/>
        <v>268.63</v>
      </c>
      <c r="N369" s="67">
        <f t="shared" si="17"/>
        <v>12250.650000000036</v>
      </c>
    </row>
    <row r="370" spans="10:14" ht="15" customHeight="1" x14ac:dyDescent="0.35">
      <c r="J370" s="7">
        <v>344</v>
      </c>
      <c r="K370" s="67">
        <f t="shared" si="10"/>
        <v>331.23</v>
      </c>
      <c r="L370" s="67">
        <f t="shared" si="11"/>
        <v>61.25</v>
      </c>
      <c r="M370" s="67">
        <f t="shared" si="16"/>
        <v>269.98</v>
      </c>
      <c r="N370" s="67">
        <f t="shared" si="17"/>
        <v>11980.670000000036</v>
      </c>
    </row>
    <row r="371" spans="10:14" ht="15" customHeight="1" x14ac:dyDescent="0.35">
      <c r="J371" s="7">
        <v>345</v>
      </c>
      <c r="K371" s="67">
        <f t="shared" si="10"/>
        <v>331.23</v>
      </c>
      <c r="L371" s="67">
        <f t="shared" si="11"/>
        <v>59.9</v>
      </c>
      <c r="M371" s="67">
        <f t="shared" si="16"/>
        <v>271.33000000000004</v>
      </c>
      <c r="N371" s="67">
        <f t="shared" si="17"/>
        <v>11709.340000000037</v>
      </c>
    </row>
    <row r="372" spans="10:14" ht="15" customHeight="1" x14ac:dyDescent="0.35">
      <c r="J372" s="7">
        <v>346</v>
      </c>
      <c r="K372" s="67">
        <f t="shared" si="10"/>
        <v>331.23</v>
      </c>
      <c r="L372" s="67">
        <f t="shared" si="11"/>
        <v>58.55</v>
      </c>
      <c r="M372" s="67">
        <f t="shared" si="16"/>
        <v>272.68</v>
      </c>
      <c r="N372" s="67">
        <f t="shared" si="17"/>
        <v>11436.660000000036</v>
      </c>
    </row>
    <row r="373" spans="10:14" ht="15" customHeight="1" x14ac:dyDescent="0.35">
      <c r="J373" s="7">
        <v>347</v>
      </c>
      <c r="K373" s="67">
        <f t="shared" si="10"/>
        <v>331.23</v>
      </c>
      <c r="L373" s="67">
        <f t="shared" si="11"/>
        <v>57.18</v>
      </c>
      <c r="M373" s="67">
        <f t="shared" si="16"/>
        <v>274.05</v>
      </c>
      <c r="N373" s="67">
        <f t="shared" si="17"/>
        <v>11162.610000000037</v>
      </c>
    </row>
    <row r="374" spans="10:14" ht="15" customHeight="1" x14ac:dyDescent="0.35">
      <c r="J374" s="7">
        <v>348</v>
      </c>
      <c r="K374" s="67">
        <f t="shared" si="10"/>
        <v>331.23</v>
      </c>
      <c r="L374" s="67">
        <f t="shared" si="11"/>
        <v>55.81</v>
      </c>
      <c r="M374" s="67">
        <f t="shared" si="16"/>
        <v>275.42</v>
      </c>
      <c r="N374" s="67">
        <f t="shared" si="17"/>
        <v>10887.190000000037</v>
      </c>
    </row>
    <row r="375" spans="10:14" ht="15" customHeight="1" x14ac:dyDescent="0.35">
      <c r="J375" s="7">
        <v>349</v>
      </c>
      <c r="K375" s="67">
        <f t="shared" si="10"/>
        <v>331.23</v>
      </c>
      <c r="L375" s="67">
        <f t="shared" si="11"/>
        <v>54.44</v>
      </c>
      <c r="M375" s="67">
        <f t="shared" si="16"/>
        <v>276.79000000000002</v>
      </c>
      <c r="N375" s="67">
        <f t="shared" si="17"/>
        <v>10610.400000000036</v>
      </c>
    </row>
    <row r="376" spans="10:14" ht="15" customHeight="1" x14ac:dyDescent="0.35">
      <c r="J376" s="7">
        <v>350</v>
      </c>
      <c r="K376" s="67">
        <f t="shared" si="10"/>
        <v>331.23</v>
      </c>
      <c r="L376" s="67">
        <f t="shared" si="11"/>
        <v>53.05</v>
      </c>
      <c r="M376" s="67">
        <f t="shared" si="16"/>
        <v>278.18</v>
      </c>
      <c r="N376" s="67">
        <f t="shared" si="17"/>
        <v>10332.220000000036</v>
      </c>
    </row>
    <row r="377" spans="10:14" ht="15" customHeight="1" x14ac:dyDescent="0.35">
      <c r="J377" s="7">
        <v>351</v>
      </c>
      <c r="K377" s="67">
        <f t="shared" si="10"/>
        <v>331.23</v>
      </c>
      <c r="L377" s="67">
        <f t="shared" si="11"/>
        <v>51.66</v>
      </c>
      <c r="M377" s="67">
        <f t="shared" si="16"/>
        <v>279.57000000000005</v>
      </c>
      <c r="N377" s="67">
        <f t="shared" si="17"/>
        <v>10052.650000000036</v>
      </c>
    </row>
    <row r="378" spans="10:14" ht="15" customHeight="1" x14ac:dyDescent="0.35">
      <c r="J378" s="7">
        <v>352</v>
      </c>
      <c r="K378" s="67">
        <f t="shared" ref="K378:K409" si="19">-$Q$132</f>
        <v>331.23</v>
      </c>
      <c r="L378" s="67">
        <f t="shared" ref="L378:L410" si="20">ROUND(N377*$Q$128,2)</f>
        <v>50.26</v>
      </c>
      <c r="M378" s="67">
        <f t="shared" si="16"/>
        <v>280.97000000000003</v>
      </c>
      <c r="N378" s="67">
        <f t="shared" si="17"/>
        <v>9771.6800000000367</v>
      </c>
    </row>
    <row r="379" spans="10:14" ht="15" customHeight="1" x14ac:dyDescent="0.35">
      <c r="J379" s="7">
        <v>353</v>
      </c>
      <c r="K379" s="67">
        <f t="shared" si="19"/>
        <v>331.23</v>
      </c>
      <c r="L379" s="67">
        <f t="shared" si="20"/>
        <v>48.86</v>
      </c>
      <c r="M379" s="67">
        <f t="shared" si="16"/>
        <v>282.37</v>
      </c>
      <c r="N379" s="67">
        <f t="shared" si="17"/>
        <v>9489.3100000000359</v>
      </c>
    </row>
    <row r="380" spans="10:14" ht="15" customHeight="1" x14ac:dyDescent="0.35">
      <c r="J380" s="7">
        <v>354</v>
      </c>
      <c r="K380" s="67">
        <f t="shared" si="19"/>
        <v>331.23</v>
      </c>
      <c r="L380" s="67">
        <f t="shared" si="20"/>
        <v>47.45</v>
      </c>
      <c r="M380" s="67">
        <f t="shared" si="16"/>
        <v>283.78000000000003</v>
      </c>
      <c r="N380" s="67">
        <f t="shared" si="17"/>
        <v>9205.5300000000352</v>
      </c>
    </row>
    <row r="381" spans="10:14" ht="15" customHeight="1" x14ac:dyDescent="0.35">
      <c r="J381" s="7">
        <v>355</v>
      </c>
      <c r="K381" s="67">
        <f t="shared" si="19"/>
        <v>331.23</v>
      </c>
      <c r="L381" s="67">
        <f t="shared" si="20"/>
        <v>46.03</v>
      </c>
      <c r="M381" s="67">
        <f t="shared" si="16"/>
        <v>285.20000000000005</v>
      </c>
      <c r="N381" s="67">
        <f t="shared" si="17"/>
        <v>8920.3300000000345</v>
      </c>
    </row>
    <row r="382" spans="10:14" ht="15" customHeight="1" x14ac:dyDescent="0.35">
      <c r="J382" s="7">
        <v>356</v>
      </c>
      <c r="K382" s="67">
        <f t="shared" si="19"/>
        <v>331.23</v>
      </c>
      <c r="L382" s="67">
        <f t="shared" si="20"/>
        <v>44.6</v>
      </c>
      <c r="M382" s="67">
        <f t="shared" si="16"/>
        <v>286.63</v>
      </c>
      <c r="N382" s="67">
        <f t="shared" si="17"/>
        <v>8633.7000000000353</v>
      </c>
    </row>
    <row r="383" spans="10:14" ht="15" customHeight="1" x14ac:dyDescent="0.35">
      <c r="J383" s="7">
        <v>357</v>
      </c>
      <c r="K383" s="67">
        <f t="shared" si="19"/>
        <v>331.23</v>
      </c>
      <c r="L383" s="67">
        <f t="shared" si="20"/>
        <v>43.17</v>
      </c>
      <c r="M383" s="67">
        <f t="shared" si="16"/>
        <v>288.06</v>
      </c>
      <c r="N383" s="67">
        <f t="shared" si="17"/>
        <v>8345.6400000000358</v>
      </c>
    </row>
    <row r="384" spans="10:14" ht="15" customHeight="1" x14ac:dyDescent="0.35">
      <c r="J384" s="7">
        <v>358</v>
      </c>
      <c r="K384" s="67">
        <f t="shared" si="19"/>
        <v>331.23</v>
      </c>
      <c r="L384" s="67">
        <f t="shared" si="20"/>
        <v>41.73</v>
      </c>
      <c r="M384" s="67">
        <f t="shared" si="16"/>
        <v>289.5</v>
      </c>
      <c r="N384" s="67">
        <f t="shared" si="17"/>
        <v>8056.1400000000358</v>
      </c>
    </row>
    <row r="385" spans="10:14" ht="15" customHeight="1" x14ac:dyDescent="0.35">
      <c r="J385" s="7">
        <v>359</v>
      </c>
      <c r="K385" s="67">
        <f t="shared" si="19"/>
        <v>331.23</v>
      </c>
      <c r="L385" s="67">
        <f t="shared" si="20"/>
        <v>40.28</v>
      </c>
      <c r="M385" s="67">
        <f t="shared" si="16"/>
        <v>290.95000000000005</v>
      </c>
      <c r="N385" s="67">
        <f t="shared" si="17"/>
        <v>7765.190000000036</v>
      </c>
    </row>
    <row r="386" spans="10:14" ht="15" customHeight="1" x14ac:dyDescent="0.35">
      <c r="J386" s="7">
        <v>360</v>
      </c>
      <c r="K386" s="67">
        <f t="shared" si="19"/>
        <v>331.23</v>
      </c>
      <c r="L386" s="67">
        <f t="shared" si="20"/>
        <v>38.83</v>
      </c>
      <c r="M386" s="67">
        <f t="shared" si="16"/>
        <v>292.40000000000003</v>
      </c>
      <c r="N386" s="67">
        <f t="shared" si="17"/>
        <v>7472.7900000000363</v>
      </c>
    </row>
    <row r="387" spans="10:14" ht="15" customHeight="1" x14ac:dyDescent="0.35">
      <c r="J387" s="7">
        <v>361</v>
      </c>
      <c r="K387" s="67">
        <f t="shared" si="19"/>
        <v>331.23</v>
      </c>
      <c r="L387" s="67">
        <f t="shared" si="20"/>
        <v>37.36</v>
      </c>
      <c r="M387" s="67">
        <f t="shared" si="16"/>
        <v>293.87</v>
      </c>
      <c r="N387" s="67">
        <f t="shared" si="17"/>
        <v>7178.9200000000365</v>
      </c>
    </row>
    <row r="388" spans="10:14" ht="15" customHeight="1" x14ac:dyDescent="0.35">
      <c r="J388" s="7">
        <v>362</v>
      </c>
      <c r="K388" s="67">
        <f t="shared" si="19"/>
        <v>331.23</v>
      </c>
      <c r="L388" s="67">
        <f t="shared" si="20"/>
        <v>35.89</v>
      </c>
      <c r="M388" s="67">
        <f t="shared" si="16"/>
        <v>295.34000000000003</v>
      </c>
      <c r="N388" s="67">
        <f t="shared" si="17"/>
        <v>6883.5800000000363</v>
      </c>
    </row>
    <row r="389" spans="10:14" ht="15" customHeight="1" x14ac:dyDescent="0.35">
      <c r="J389" s="7">
        <v>363</v>
      </c>
      <c r="K389" s="67">
        <f t="shared" si="19"/>
        <v>331.23</v>
      </c>
      <c r="L389" s="67">
        <f t="shared" si="20"/>
        <v>34.42</v>
      </c>
      <c r="M389" s="67">
        <f t="shared" si="16"/>
        <v>296.81</v>
      </c>
      <c r="N389" s="67">
        <f t="shared" si="17"/>
        <v>6586.7700000000359</v>
      </c>
    </row>
    <row r="390" spans="10:14" ht="15" customHeight="1" x14ac:dyDescent="0.35">
      <c r="J390" s="7">
        <v>364</v>
      </c>
      <c r="K390" s="67">
        <f t="shared" si="19"/>
        <v>331.23</v>
      </c>
      <c r="L390" s="67">
        <f t="shared" si="20"/>
        <v>32.93</v>
      </c>
      <c r="M390" s="67">
        <f t="shared" si="16"/>
        <v>298.3</v>
      </c>
      <c r="N390" s="67">
        <f t="shared" si="17"/>
        <v>6288.4700000000357</v>
      </c>
    </row>
    <row r="391" spans="10:14" ht="15" customHeight="1" x14ac:dyDescent="0.35">
      <c r="J391" s="7">
        <v>365</v>
      </c>
      <c r="K391" s="67">
        <f t="shared" si="19"/>
        <v>331.23</v>
      </c>
      <c r="L391" s="67">
        <f t="shared" si="20"/>
        <v>31.44</v>
      </c>
      <c r="M391" s="67">
        <f t="shared" si="16"/>
        <v>299.79000000000002</v>
      </c>
      <c r="N391" s="67">
        <f t="shared" si="17"/>
        <v>5988.6800000000358</v>
      </c>
    </row>
    <row r="392" spans="10:14" ht="15" customHeight="1" x14ac:dyDescent="0.35">
      <c r="J392" s="7">
        <v>366</v>
      </c>
      <c r="K392" s="67">
        <f t="shared" si="19"/>
        <v>331.23</v>
      </c>
      <c r="L392" s="67">
        <f t="shared" si="20"/>
        <v>29.94</v>
      </c>
      <c r="M392" s="67">
        <f t="shared" si="16"/>
        <v>301.29000000000002</v>
      </c>
      <c r="N392" s="67">
        <f t="shared" si="17"/>
        <v>5687.3900000000358</v>
      </c>
    </row>
    <row r="393" spans="10:14" ht="15" customHeight="1" x14ac:dyDescent="0.35">
      <c r="J393" s="7">
        <v>367</v>
      </c>
      <c r="K393" s="67">
        <f t="shared" si="19"/>
        <v>331.23</v>
      </c>
      <c r="L393" s="67">
        <f t="shared" si="20"/>
        <v>28.44</v>
      </c>
      <c r="M393" s="67">
        <f t="shared" si="16"/>
        <v>302.79000000000002</v>
      </c>
      <c r="N393" s="67">
        <f t="shared" si="17"/>
        <v>5384.6000000000358</v>
      </c>
    </row>
    <row r="394" spans="10:14" ht="15" customHeight="1" x14ac:dyDescent="0.35">
      <c r="J394" s="7">
        <v>368</v>
      </c>
      <c r="K394" s="67">
        <f t="shared" si="19"/>
        <v>331.23</v>
      </c>
      <c r="L394" s="67">
        <f t="shared" si="20"/>
        <v>26.92</v>
      </c>
      <c r="M394" s="67">
        <f t="shared" si="16"/>
        <v>304.31</v>
      </c>
      <c r="N394" s="67">
        <f t="shared" si="17"/>
        <v>5080.2900000000354</v>
      </c>
    </row>
    <row r="395" spans="10:14" ht="15" customHeight="1" x14ac:dyDescent="0.35">
      <c r="J395" s="7">
        <v>369</v>
      </c>
      <c r="K395" s="67">
        <f t="shared" si="19"/>
        <v>331.23</v>
      </c>
      <c r="L395" s="67">
        <f t="shared" si="20"/>
        <v>25.4</v>
      </c>
      <c r="M395" s="67">
        <f t="shared" si="16"/>
        <v>305.83000000000004</v>
      </c>
      <c r="N395" s="67">
        <f t="shared" si="17"/>
        <v>4774.4600000000355</v>
      </c>
    </row>
    <row r="396" spans="10:14" ht="15" customHeight="1" x14ac:dyDescent="0.35">
      <c r="J396" s="7">
        <v>370</v>
      </c>
      <c r="K396" s="67">
        <f t="shared" si="19"/>
        <v>331.23</v>
      </c>
      <c r="L396" s="67">
        <f t="shared" si="20"/>
        <v>23.87</v>
      </c>
      <c r="M396" s="67">
        <f t="shared" si="16"/>
        <v>307.36</v>
      </c>
      <c r="N396" s="67">
        <f t="shared" si="17"/>
        <v>4467.1000000000358</v>
      </c>
    </row>
    <row r="397" spans="10:14" ht="15" customHeight="1" x14ac:dyDescent="0.35">
      <c r="J397" s="7">
        <v>371</v>
      </c>
      <c r="K397" s="67">
        <f t="shared" si="19"/>
        <v>331.23</v>
      </c>
      <c r="L397" s="67">
        <f t="shared" si="20"/>
        <v>22.34</v>
      </c>
      <c r="M397" s="67">
        <f t="shared" si="16"/>
        <v>308.89000000000004</v>
      </c>
      <c r="N397" s="67">
        <f t="shared" si="17"/>
        <v>4158.2100000000355</v>
      </c>
    </row>
    <row r="398" spans="10:14" ht="15" customHeight="1" x14ac:dyDescent="0.35">
      <c r="J398" s="7">
        <v>372</v>
      </c>
      <c r="K398" s="67">
        <f t="shared" si="19"/>
        <v>331.23</v>
      </c>
      <c r="L398" s="67">
        <f t="shared" si="20"/>
        <v>20.79</v>
      </c>
      <c r="M398" s="67">
        <f t="shared" si="16"/>
        <v>310.44</v>
      </c>
      <c r="N398" s="67">
        <f t="shared" si="17"/>
        <v>3847.7700000000355</v>
      </c>
    </row>
    <row r="399" spans="10:14" ht="15" customHeight="1" x14ac:dyDescent="0.35">
      <c r="J399" s="7">
        <v>373</v>
      </c>
      <c r="K399" s="67">
        <f t="shared" si="19"/>
        <v>331.23</v>
      </c>
      <c r="L399" s="67">
        <f t="shared" si="20"/>
        <v>19.239999999999998</v>
      </c>
      <c r="M399" s="67">
        <f t="shared" si="16"/>
        <v>311.99</v>
      </c>
      <c r="N399" s="67">
        <f t="shared" si="17"/>
        <v>3535.7800000000352</v>
      </c>
    </row>
    <row r="400" spans="10:14" ht="15" customHeight="1" x14ac:dyDescent="0.35">
      <c r="J400" s="7">
        <v>374</v>
      </c>
      <c r="K400" s="67">
        <f t="shared" si="19"/>
        <v>331.23</v>
      </c>
      <c r="L400" s="67">
        <f t="shared" si="20"/>
        <v>17.68</v>
      </c>
      <c r="M400" s="67">
        <f t="shared" si="16"/>
        <v>313.55</v>
      </c>
      <c r="N400" s="67">
        <f t="shared" si="17"/>
        <v>3222.230000000035</v>
      </c>
    </row>
    <row r="401" spans="10:15" ht="15" customHeight="1" x14ac:dyDescent="0.35">
      <c r="J401" s="7">
        <v>375</v>
      </c>
      <c r="K401" s="67">
        <f t="shared" si="19"/>
        <v>331.23</v>
      </c>
      <c r="L401" s="67">
        <f t="shared" si="20"/>
        <v>16.11</v>
      </c>
      <c r="M401" s="67">
        <f t="shared" si="16"/>
        <v>315.12</v>
      </c>
      <c r="N401" s="67">
        <f t="shared" si="17"/>
        <v>2907.1100000000351</v>
      </c>
    </row>
    <row r="402" spans="10:15" ht="15" customHeight="1" x14ac:dyDescent="0.35">
      <c r="J402" s="7">
        <v>376</v>
      </c>
      <c r="K402" s="67">
        <f t="shared" si="19"/>
        <v>331.23</v>
      </c>
      <c r="L402" s="67">
        <f t="shared" si="20"/>
        <v>14.54</v>
      </c>
      <c r="M402" s="67">
        <f t="shared" si="16"/>
        <v>316.69</v>
      </c>
      <c r="N402" s="67">
        <f t="shared" si="17"/>
        <v>2590.4200000000351</v>
      </c>
    </row>
    <row r="403" spans="10:15" ht="15" customHeight="1" x14ac:dyDescent="0.35">
      <c r="J403" s="7">
        <v>377</v>
      </c>
      <c r="K403" s="67">
        <f t="shared" si="19"/>
        <v>331.23</v>
      </c>
      <c r="L403" s="67">
        <f t="shared" si="20"/>
        <v>12.95</v>
      </c>
      <c r="M403" s="67">
        <f t="shared" si="16"/>
        <v>318.28000000000003</v>
      </c>
      <c r="N403" s="67">
        <f t="shared" si="17"/>
        <v>2272.1400000000349</v>
      </c>
    </row>
    <row r="404" spans="10:15" ht="15" customHeight="1" x14ac:dyDescent="0.35">
      <c r="J404" s="7">
        <v>378</v>
      </c>
      <c r="K404" s="67">
        <f t="shared" si="19"/>
        <v>331.23</v>
      </c>
      <c r="L404" s="67">
        <f t="shared" si="20"/>
        <v>11.36</v>
      </c>
      <c r="M404" s="67">
        <f t="shared" si="16"/>
        <v>319.87</v>
      </c>
      <c r="N404" s="67">
        <f t="shared" si="17"/>
        <v>1952.270000000035</v>
      </c>
    </row>
    <row r="405" spans="10:15" ht="15" customHeight="1" x14ac:dyDescent="0.35">
      <c r="J405" s="7">
        <v>379</v>
      </c>
      <c r="K405" s="67">
        <f t="shared" si="19"/>
        <v>331.23</v>
      </c>
      <c r="L405" s="67">
        <f t="shared" si="20"/>
        <v>9.76</v>
      </c>
      <c r="M405" s="67">
        <f t="shared" si="16"/>
        <v>321.47000000000003</v>
      </c>
      <c r="N405" s="67">
        <f t="shared" si="17"/>
        <v>1630.800000000035</v>
      </c>
    </row>
    <row r="406" spans="10:15" ht="15" customHeight="1" x14ac:dyDescent="0.35">
      <c r="J406" s="7">
        <v>380</v>
      </c>
      <c r="K406" s="67">
        <f t="shared" si="19"/>
        <v>331.23</v>
      </c>
      <c r="L406" s="67">
        <f t="shared" si="20"/>
        <v>8.15</v>
      </c>
      <c r="M406" s="67">
        <f t="shared" si="16"/>
        <v>323.08000000000004</v>
      </c>
      <c r="N406" s="67">
        <f t="shared" si="17"/>
        <v>1307.7200000000348</v>
      </c>
    </row>
    <row r="407" spans="10:15" ht="15" customHeight="1" x14ac:dyDescent="0.35">
      <c r="J407" s="7">
        <v>381</v>
      </c>
      <c r="K407" s="67">
        <f t="shared" si="19"/>
        <v>331.23</v>
      </c>
      <c r="L407" s="67">
        <f t="shared" si="20"/>
        <v>6.54</v>
      </c>
      <c r="M407" s="67">
        <f t="shared" si="16"/>
        <v>324.69</v>
      </c>
      <c r="N407" s="67">
        <f t="shared" si="17"/>
        <v>983.03000000003476</v>
      </c>
    </row>
    <row r="408" spans="10:15" ht="15" customHeight="1" x14ac:dyDescent="0.35">
      <c r="J408" s="7">
        <v>382</v>
      </c>
      <c r="K408" s="67">
        <f t="shared" si="19"/>
        <v>331.23</v>
      </c>
      <c r="L408" s="67">
        <f t="shared" si="20"/>
        <v>4.92</v>
      </c>
      <c r="M408" s="67">
        <f t="shared" si="16"/>
        <v>326.31</v>
      </c>
      <c r="N408" s="67">
        <f t="shared" si="17"/>
        <v>656.72000000003482</v>
      </c>
    </row>
    <row r="409" spans="10:15" ht="15" customHeight="1" x14ac:dyDescent="0.35">
      <c r="J409" s="7">
        <v>383</v>
      </c>
      <c r="K409" s="67">
        <f t="shared" si="19"/>
        <v>331.23</v>
      </c>
      <c r="L409" s="67">
        <f t="shared" si="20"/>
        <v>3.28</v>
      </c>
      <c r="M409" s="67">
        <f t="shared" si="16"/>
        <v>327.95000000000005</v>
      </c>
      <c r="N409" s="67">
        <f t="shared" si="17"/>
        <v>328.77000000003477</v>
      </c>
    </row>
    <row r="410" spans="10:15" ht="15" customHeight="1" x14ac:dyDescent="0.35">
      <c r="J410" s="7">
        <v>384</v>
      </c>
      <c r="K410" s="67">
        <f>L410+M410</f>
        <v>330.41000000003476</v>
      </c>
      <c r="L410" s="67">
        <f t="shared" si="20"/>
        <v>1.64</v>
      </c>
      <c r="M410" s="67">
        <f>N409</f>
        <v>328.77000000003477</v>
      </c>
      <c r="N410" s="67">
        <f t="shared" si="17"/>
        <v>0</v>
      </c>
      <c r="O410" s="18" t="s">
        <v>112</v>
      </c>
    </row>
    <row r="411" spans="10:15" ht="15" customHeight="1" x14ac:dyDescent="0.35">
      <c r="K411" s="67">
        <f t="shared" ref="K411:M411" si="21">SUM(K25:K410)</f>
        <v>127610.65999999957</v>
      </c>
      <c r="L411" s="67">
        <f t="shared" si="21"/>
        <v>67610.659999999916</v>
      </c>
      <c r="M411" s="67">
        <f t="shared" si="21"/>
        <v>60000.000000000044</v>
      </c>
    </row>
    <row r="412" spans="10:15" ht="15" customHeight="1" x14ac:dyDescent="0.35">
      <c r="K412" s="59"/>
    </row>
    <row r="446" spans="15:15" ht="15" customHeight="1" x14ac:dyDescent="0.35">
      <c r="O446" s="18"/>
    </row>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A1:I7"/>
    <mergeCell ref="A16:B16"/>
    <mergeCell ref="P91:Q91"/>
    <mergeCell ref="P127:Q127"/>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88"/>
  <sheetViews>
    <sheetView workbookViewId="0">
      <selection sqref="A1:K6"/>
    </sheetView>
  </sheetViews>
  <sheetFormatPr defaultColWidth="14.453125" defaultRowHeight="15" customHeight="1" x14ac:dyDescent="0.35"/>
  <cols>
    <col min="1" max="1" width="18.1796875" customWidth="1"/>
    <col min="2" max="2" width="15.36328125" customWidth="1"/>
    <col min="3" max="3" width="12.6328125" customWidth="1"/>
    <col min="4" max="4" width="13.36328125" customWidth="1"/>
    <col min="5" max="5" width="14.6328125" customWidth="1"/>
    <col min="6" max="6" width="15.36328125" customWidth="1"/>
    <col min="7" max="7" width="17.453125" customWidth="1"/>
    <col min="8" max="8" width="11.6328125" customWidth="1"/>
    <col min="9" max="9" width="8.6328125" customWidth="1"/>
    <col min="10" max="10" width="14.453125" customWidth="1"/>
    <col min="11" max="11" width="13.6328125" customWidth="1"/>
    <col min="12" max="12" width="13.36328125" customWidth="1"/>
    <col min="13" max="13" width="14.36328125" customWidth="1"/>
    <col min="14" max="14" width="15.36328125" customWidth="1"/>
    <col min="15" max="15" width="17.453125" customWidth="1"/>
    <col min="16" max="26" width="8.6328125" customWidth="1"/>
  </cols>
  <sheetData>
    <row r="1" spans="1:13" ht="15" customHeight="1" x14ac:dyDescent="0.35">
      <c r="A1" s="218" t="s">
        <v>254</v>
      </c>
      <c r="B1" s="217"/>
      <c r="C1" s="217"/>
      <c r="D1" s="217"/>
      <c r="E1" s="217"/>
      <c r="F1" s="217"/>
      <c r="G1" s="217"/>
      <c r="H1" s="217"/>
      <c r="I1" s="217"/>
      <c r="J1" s="217"/>
      <c r="K1" s="217"/>
      <c r="L1" s="23"/>
      <c r="M1" s="23"/>
    </row>
    <row r="2" spans="1:13" ht="15" customHeight="1" x14ac:dyDescent="0.35">
      <c r="A2" s="217"/>
      <c r="B2" s="217"/>
      <c r="C2" s="217"/>
      <c r="D2" s="217"/>
      <c r="E2" s="217"/>
      <c r="F2" s="217"/>
      <c r="G2" s="217"/>
      <c r="H2" s="217"/>
      <c r="I2" s="217"/>
      <c r="J2" s="217"/>
      <c r="K2" s="217"/>
      <c r="L2" s="23"/>
      <c r="M2" s="23"/>
    </row>
    <row r="3" spans="1:13" ht="15" customHeight="1" x14ac:dyDescent="0.35">
      <c r="A3" s="217"/>
      <c r="B3" s="217"/>
      <c r="C3" s="217"/>
      <c r="D3" s="217"/>
      <c r="E3" s="217"/>
      <c r="F3" s="217"/>
      <c r="G3" s="217"/>
      <c r="H3" s="217"/>
      <c r="I3" s="217"/>
      <c r="J3" s="217"/>
      <c r="K3" s="217"/>
      <c r="L3" s="23"/>
      <c r="M3" s="23"/>
    </row>
    <row r="4" spans="1:13" ht="15" customHeight="1" x14ac:dyDescent="0.35">
      <c r="A4" s="217"/>
      <c r="B4" s="217"/>
      <c r="C4" s="217"/>
      <c r="D4" s="217"/>
      <c r="E4" s="217"/>
      <c r="F4" s="217"/>
      <c r="G4" s="217"/>
      <c r="H4" s="217"/>
      <c r="I4" s="217"/>
      <c r="J4" s="217"/>
      <c r="K4" s="217"/>
      <c r="L4" s="23"/>
      <c r="M4" s="23"/>
    </row>
    <row r="5" spans="1:13" ht="15" customHeight="1" x14ac:dyDescent="0.35">
      <c r="A5" s="217"/>
      <c r="B5" s="217"/>
      <c r="C5" s="217"/>
      <c r="D5" s="217"/>
      <c r="E5" s="217"/>
      <c r="F5" s="217"/>
      <c r="G5" s="217"/>
      <c r="H5" s="217"/>
      <c r="I5" s="217"/>
      <c r="J5" s="217"/>
      <c r="K5" s="217"/>
      <c r="L5" s="23"/>
      <c r="M5" s="23"/>
    </row>
    <row r="6" spans="1:13" ht="15" customHeight="1" x14ac:dyDescent="0.35">
      <c r="A6" s="217"/>
      <c r="B6" s="217"/>
      <c r="C6" s="217"/>
      <c r="D6" s="217"/>
      <c r="E6" s="217"/>
      <c r="F6" s="217"/>
      <c r="G6" s="217"/>
      <c r="H6" s="217"/>
      <c r="I6" s="217"/>
      <c r="J6" s="217"/>
      <c r="K6" s="217"/>
      <c r="L6" s="23"/>
      <c r="M6" s="23"/>
    </row>
    <row r="7" spans="1:13" ht="15" customHeight="1" x14ac:dyDescent="0.35">
      <c r="A7" s="18" t="s">
        <v>106</v>
      </c>
      <c r="B7" s="23"/>
      <c r="C7" s="23"/>
      <c r="D7" s="23"/>
      <c r="E7" s="23"/>
      <c r="F7" s="23"/>
      <c r="G7" s="23"/>
      <c r="H7" s="23"/>
      <c r="I7" s="23"/>
      <c r="J7" s="23"/>
      <c r="K7" s="23"/>
      <c r="L7" s="23"/>
      <c r="M7" s="23"/>
    </row>
    <row r="10" spans="1:13" ht="15" customHeight="1" x14ac:dyDescent="0.35">
      <c r="A10" s="14" t="s">
        <v>80</v>
      </c>
      <c r="B10" s="59">
        <v>82000</v>
      </c>
    </row>
    <row r="11" spans="1:13" ht="15" customHeight="1" x14ac:dyDescent="0.35">
      <c r="A11" s="14" t="s">
        <v>124</v>
      </c>
      <c r="B11" s="3">
        <v>31</v>
      </c>
    </row>
    <row r="12" spans="1:13" ht="15" customHeight="1" x14ac:dyDescent="0.35">
      <c r="A12" s="37" t="s">
        <v>81</v>
      </c>
      <c r="B12" s="79">
        <v>3.4000000000000002E-2</v>
      </c>
    </row>
    <row r="13" spans="1:13" ht="15" customHeight="1" x14ac:dyDescent="0.35">
      <c r="A13" s="14" t="s">
        <v>82</v>
      </c>
      <c r="B13" s="22">
        <f>1+B12</f>
        <v>1.034</v>
      </c>
    </row>
    <row r="14" spans="1:13" ht="15" customHeight="1" x14ac:dyDescent="0.35">
      <c r="A14" s="14" t="s">
        <v>125</v>
      </c>
      <c r="B14" s="22">
        <v>12</v>
      </c>
    </row>
    <row r="15" spans="1:13" ht="15" customHeight="1" x14ac:dyDescent="0.35">
      <c r="A15" s="12" t="s">
        <v>126</v>
      </c>
      <c r="B15" s="12"/>
      <c r="C15" s="12"/>
      <c r="D15" s="12"/>
    </row>
    <row r="16" spans="1:13" ht="15" customHeight="1" x14ac:dyDescent="0.35">
      <c r="A16" s="14" t="s">
        <v>127</v>
      </c>
      <c r="B16" s="65">
        <f>B12/B14</f>
        <v>2.8333333333333335E-3</v>
      </c>
      <c r="C16" s="14"/>
    </row>
    <row r="17" spans="1:7" ht="15" customHeight="1" x14ac:dyDescent="0.35">
      <c r="A17" s="14" t="s">
        <v>128</v>
      </c>
      <c r="B17" s="22">
        <f>1+B16</f>
        <v>1.0028333333333332</v>
      </c>
      <c r="C17" s="14"/>
      <c r="D17" s="22"/>
    </row>
    <row r="18" spans="1:7" ht="15" customHeight="1" x14ac:dyDescent="0.35">
      <c r="A18" s="14" t="s">
        <v>129</v>
      </c>
      <c r="B18" s="3">
        <f>B11*B14</f>
        <v>372</v>
      </c>
      <c r="C18" s="14"/>
    </row>
    <row r="19" spans="1:7" ht="15" customHeight="1" x14ac:dyDescent="0.35">
      <c r="A19" s="14"/>
      <c r="C19" s="14"/>
    </row>
    <row r="21" spans="1:7" ht="15" customHeight="1" x14ac:dyDescent="0.35">
      <c r="A21" s="14" t="s">
        <v>130</v>
      </c>
      <c r="B21" s="80">
        <f>ROUND(PMT(B16,B18,B10),2)</f>
        <v>-356.92</v>
      </c>
      <c r="E21" s="37"/>
      <c r="F21" s="52"/>
      <c r="G21" s="52"/>
    </row>
    <row r="22" spans="1:7" ht="15" customHeight="1" x14ac:dyDescent="0.35">
      <c r="E22" s="37"/>
      <c r="F22" s="52"/>
      <c r="G22" s="52"/>
    </row>
    <row r="23" spans="1:7" ht="15" customHeight="1" x14ac:dyDescent="0.35">
      <c r="F23" s="22"/>
    </row>
    <row r="24" spans="1:7" ht="15" customHeight="1" x14ac:dyDescent="0.35">
      <c r="A24" s="14" t="s">
        <v>132</v>
      </c>
      <c r="B24" s="59">
        <f>ROUND(B10/B18,2)</f>
        <v>220.43</v>
      </c>
      <c r="C24" s="14"/>
      <c r="E24" s="20"/>
      <c r="F24" s="20"/>
      <c r="G24" s="20"/>
    </row>
    <row r="25" spans="1:7" ht="15" customHeight="1" x14ac:dyDescent="0.35">
      <c r="A25" s="14"/>
      <c r="B25" s="52"/>
      <c r="C25" s="14"/>
      <c r="E25" s="20"/>
      <c r="F25" s="20"/>
      <c r="G25" s="20"/>
    </row>
    <row r="26" spans="1:7" ht="15" customHeight="1" x14ac:dyDescent="0.35">
      <c r="B26" s="23"/>
      <c r="C26" s="23"/>
      <c r="D26" s="23"/>
      <c r="E26" s="23"/>
      <c r="F26" s="23"/>
      <c r="G26" s="23"/>
    </row>
    <row r="27" spans="1:7" ht="15" customHeight="1" x14ac:dyDescent="0.35">
      <c r="A27" s="3" t="s">
        <v>133</v>
      </c>
      <c r="B27" s="81">
        <v>0.51</v>
      </c>
      <c r="C27" s="23"/>
      <c r="D27" s="23"/>
      <c r="E27" s="23"/>
      <c r="F27" s="23"/>
      <c r="G27" s="23"/>
    </row>
    <row r="28" spans="1:7" ht="15" customHeight="1" x14ac:dyDescent="0.35">
      <c r="A28" s="23"/>
      <c r="B28" s="23"/>
      <c r="C28" s="23"/>
      <c r="D28" s="23"/>
      <c r="E28" s="23"/>
      <c r="F28" s="23"/>
      <c r="G28" s="23"/>
    </row>
    <row r="29" spans="1:7" ht="15" customHeight="1" x14ac:dyDescent="0.35">
      <c r="A29" s="23"/>
      <c r="B29" s="23"/>
      <c r="C29" s="23"/>
      <c r="D29" s="23"/>
      <c r="E29" s="23"/>
      <c r="F29" s="23"/>
      <c r="G29" s="23"/>
    </row>
    <row r="30" spans="1:7" ht="15" customHeight="1" x14ac:dyDescent="0.35">
      <c r="A30" s="3" t="s">
        <v>134</v>
      </c>
      <c r="B30" s="23"/>
      <c r="C30" s="82">
        <f>F409</f>
        <v>10921.800000000007</v>
      </c>
      <c r="D30" s="23" t="s">
        <v>135</v>
      </c>
      <c r="E30" s="18" t="s">
        <v>112</v>
      </c>
      <c r="F30" s="23"/>
      <c r="G30" s="23"/>
    </row>
    <row r="31" spans="1:7" ht="15" customHeight="1" x14ac:dyDescent="0.35">
      <c r="A31" s="3" t="s">
        <v>136</v>
      </c>
      <c r="B31" s="23"/>
      <c r="C31" s="82">
        <f>N409</f>
        <v>13290.79</v>
      </c>
      <c r="D31" s="23" t="s">
        <v>135</v>
      </c>
      <c r="E31" s="18" t="s">
        <v>112</v>
      </c>
      <c r="F31" s="23"/>
      <c r="G31" s="23"/>
    </row>
    <row r="32" spans="1:7" ht="15" customHeight="1" x14ac:dyDescent="0.35">
      <c r="A32" s="23"/>
      <c r="B32" s="22"/>
    </row>
    <row r="34" spans="1:16" ht="15" customHeight="1" x14ac:dyDescent="0.35">
      <c r="A34" s="3" t="s">
        <v>137</v>
      </c>
      <c r="I34" s="3" t="s">
        <v>138</v>
      </c>
    </row>
    <row r="35" spans="1:16" ht="15" customHeight="1" x14ac:dyDescent="0.35">
      <c r="A35" s="7" t="s">
        <v>113</v>
      </c>
      <c r="B35" s="7" t="s">
        <v>111</v>
      </c>
      <c r="C35" s="7" t="s">
        <v>114</v>
      </c>
      <c r="D35" s="7" t="s">
        <v>115</v>
      </c>
      <c r="E35" s="7" t="s">
        <v>116</v>
      </c>
      <c r="F35" s="9" t="s">
        <v>139</v>
      </c>
      <c r="G35" s="9" t="s">
        <v>140</v>
      </c>
      <c r="I35" s="7" t="s">
        <v>113</v>
      </c>
      <c r="J35" s="7" t="s">
        <v>120</v>
      </c>
      <c r="K35" s="7" t="s">
        <v>114</v>
      </c>
      <c r="L35" s="7" t="s">
        <v>95</v>
      </c>
      <c r="M35" s="7" t="s">
        <v>116</v>
      </c>
      <c r="N35" s="9" t="s">
        <v>139</v>
      </c>
      <c r="O35" s="9" t="s">
        <v>140</v>
      </c>
    </row>
    <row r="36" spans="1:16" ht="15" customHeight="1" x14ac:dyDescent="0.35">
      <c r="A36" s="7">
        <v>0</v>
      </c>
      <c r="B36" s="67" t="s">
        <v>131</v>
      </c>
      <c r="C36" s="67" t="s">
        <v>131</v>
      </c>
      <c r="D36" s="67" t="s">
        <v>131</v>
      </c>
      <c r="E36" s="68">
        <f>B10</f>
        <v>82000</v>
      </c>
      <c r="F36" s="83"/>
      <c r="G36" s="83"/>
      <c r="I36" s="7">
        <v>0</v>
      </c>
      <c r="J36" s="67" t="s">
        <v>131</v>
      </c>
      <c r="K36" s="67" t="s">
        <v>131</v>
      </c>
      <c r="L36" s="67" t="s">
        <v>131</v>
      </c>
      <c r="M36" s="68">
        <f>B10</f>
        <v>82000</v>
      </c>
      <c r="N36" s="83"/>
      <c r="O36" s="83"/>
    </row>
    <row r="37" spans="1:16" ht="15" customHeight="1" x14ac:dyDescent="0.35">
      <c r="A37" s="7">
        <v>1</v>
      </c>
      <c r="B37" s="67">
        <f t="shared" ref="B37:B291" si="0">-$B$21</f>
        <v>356.92</v>
      </c>
      <c r="C37" s="67">
        <f t="shared" ref="C37:C291" si="1">ROUND(E36*$B$16,2)</f>
        <v>232.33</v>
      </c>
      <c r="D37" s="67">
        <f t="shared" ref="D37:D291" si="2">B37-C37</f>
        <v>124.59</v>
      </c>
      <c r="E37" s="67">
        <f t="shared" ref="E37:E291" si="3">E36-D37</f>
        <v>81875.41</v>
      </c>
      <c r="F37" s="83">
        <f>ROUND($B$27*B37,2)</f>
        <v>182.03</v>
      </c>
      <c r="G37" s="84">
        <f t="shared" ref="G37:G291" si="4">B37-F37</f>
        <v>174.89000000000001</v>
      </c>
      <c r="H37" s="18" t="s">
        <v>112</v>
      </c>
      <c r="I37" s="85">
        <v>1</v>
      </c>
      <c r="J37" s="83">
        <f t="shared" ref="J37:J291" si="5">L37+K37</f>
        <v>452.76</v>
      </c>
      <c r="K37" s="83">
        <f t="shared" ref="K37:K291" si="6">ROUND(M36*$B$16,2)</f>
        <v>232.33</v>
      </c>
      <c r="L37" s="83">
        <f t="shared" ref="L37:L291" si="7">$B$24</f>
        <v>220.43</v>
      </c>
      <c r="M37" s="83">
        <f t="shared" ref="M37:M291" si="8">M36-L37</f>
        <v>81779.570000000007</v>
      </c>
      <c r="N37" s="83">
        <f t="shared" ref="N37:N96" si="9">ROUND($B$27*J37,2)</f>
        <v>230.91</v>
      </c>
      <c r="O37" s="84">
        <f t="shared" ref="O37:O291" si="10">J37-N37</f>
        <v>221.85</v>
      </c>
      <c r="P37" s="18" t="s">
        <v>112</v>
      </c>
    </row>
    <row r="38" spans="1:16" ht="15" customHeight="1" x14ac:dyDescent="0.35">
      <c r="A38" s="7">
        <v>2</v>
      </c>
      <c r="B38" s="67">
        <f t="shared" si="0"/>
        <v>356.92</v>
      </c>
      <c r="C38" s="67">
        <f t="shared" si="1"/>
        <v>231.98</v>
      </c>
      <c r="D38" s="67">
        <f t="shared" si="2"/>
        <v>124.94000000000003</v>
      </c>
      <c r="E38" s="67">
        <f t="shared" si="3"/>
        <v>81750.47</v>
      </c>
      <c r="F38" s="83">
        <f t="shared" ref="F38:F96" si="11">ROUND($B$27*B38,2)</f>
        <v>182.03</v>
      </c>
      <c r="G38" s="83">
        <f t="shared" si="4"/>
        <v>174.89000000000001</v>
      </c>
      <c r="I38" s="85">
        <v>2</v>
      </c>
      <c r="J38" s="83">
        <f t="shared" si="5"/>
        <v>452.14</v>
      </c>
      <c r="K38" s="83">
        <f t="shared" si="6"/>
        <v>231.71</v>
      </c>
      <c r="L38" s="83">
        <f t="shared" si="7"/>
        <v>220.43</v>
      </c>
      <c r="M38" s="83">
        <f t="shared" si="8"/>
        <v>81559.140000000014</v>
      </c>
      <c r="N38" s="83">
        <f t="shared" si="9"/>
        <v>230.59</v>
      </c>
      <c r="O38" s="83">
        <f t="shared" si="10"/>
        <v>221.54999999999998</v>
      </c>
    </row>
    <row r="39" spans="1:16" ht="15" customHeight="1" x14ac:dyDescent="0.35">
      <c r="A39" s="7">
        <v>3</v>
      </c>
      <c r="B39" s="67">
        <f t="shared" si="0"/>
        <v>356.92</v>
      </c>
      <c r="C39" s="67">
        <f t="shared" si="1"/>
        <v>231.63</v>
      </c>
      <c r="D39" s="67">
        <f t="shared" si="2"/>
        <v>125.29000000000002</v>
      </c>
      <c r="E39" s="67">
        <f t="shared" si="3"/>
        <v>81625.180000000008</v>
      </c>
      <c r="F39" s="83">
        <f t="shared" si="11"/>
        <v>182.03</v>
      </c>
      <c r="G39" s="83">
        <f t="shared" si="4"/>
        <v>174.89000000000001</v>
      </c>
      <c r="I39" s="85">
        <v>3</v>
      </c>
      <c r="J39" s="83">
        <f t="shared" si="5"/>
        <v>451.51</v>
      </c>
      <c r="K39" s="83">
        <f t="shared" si="6"/>
        <v>231.08</v>
      </c>
      <c r="L39" s="83">
        <f t="shared" si="7"/>
        <v>220.43</v>
      </c>
      <c r="M39" s="83">
        <f t="shared" si="8"/>
        <v>81338.710000000021</v>
      </c>
      <c r="N39" s="83">
        <f t="shared" si="9"/>
        <v>230.27</v>
      </c>
      <c r="O39" s="83">
        <f t="shared" si="10"/>
        <v>221.23999999999998</v>
      </c>
    </row>
    <row r="40" spans="1:16" ht="15" customHeight="1" x14ac:dyDescent="0.35">
      <c r="A40" s="7">
        <v>4</v>
      </c>
      <c r="B40" s="67">
        <f t="shared" si="0"/>
        <v>356.92</v>
      </c>
      <c r="C40" s="67">
        <f t="shared" si="1"/>
        <v>231.27</v>
      </c>
      <c r="D40" s="67">
        <f t="shared" si="2"/>
        <v>125.65</v>
      </c>
      <c r="E40" s="67">
        <f t="shared" si="3"/>
        <v>81499.530000000013</v>
      </c>
      <c r="F40" s="83">
        <f t="shared" si="11"/>
        <v>182.03</v>
      </c>
      <c r="G40" s="83">
        <f t="shared" si="4"/>
        <v>174.89000000000001</v>
      </c>
      <c r="I40" s="85">
        <v>4</v>
      </c>
      <c r="J40" s="83">
        <f t="shared" si="5"/>
        <v>450.89</v>
      </c>
      <c r="K40" s="83">
        <f t="shared" si="6"/>
        <v>230.46</v>
      </c>
      <c r="L40" s="83">
        <f t="shared" si="7"/>
        <v>220.43</v>
      </c>
      <c r="M40" s="83">
        <f t="shared" si="8"/>
        <v>81118.280000000028</v>
      </c>
      <c r="N40" s="83">
        <f t="shared" si="9"/>
        <v>229.95</v>
      </c>
      <c r="O40" s="83">
        <f t="shared" si="10"/>
        <v>220.94</v>
      </c>
    </row>
    <row r="41" spans="1:16" ht="15" customHeight="1" x14ac:dyDescent="0.35">
      <c r="A41" s="7">
        <v>5</v>
      </c>
      <c r="B41" s="67">
        <f t="shared" si="0"/>
        <v>356.92</v>
      </c>
      <c r="C41" s="67">
        <f t="shared" si="1"/>
        <v>230.92</v>
      </c>
      <c r="D41" s="67">
        <f t="shared" si="2"/>
        <v>126.00000000000003</v>
      </c>
      <c r="E41" s="67">
        <f t="shared" si="3"/>
        <v>81373.530000000013</v>
      </c>
      <c r="F41" s="83">
        <f t="shared" si="11"/>
        <v>182.03</v>
      </c>
      <c r="G41" s="83">
        <f t="shared" si="4"/>
        <v>174.89000000000001</v>
      </c>
      <c r="I41" s="85">
        <v>5</v>
      </c>
      <c r="J41" s="83">
        <f t="shared" si="5"/>
        <v>450.27</v>
      </c>
      <c r="K41" s="83">
        <f t="shared" si="6"/>
        <v>229.84</v>
      </c>
      <c r="L41" s="83">
        <f t="shared" si="7"/>
        <v>220.43</v>
      </c>
      <c r="M41" s="83">
        <f t="shared" si="8"/>
        <v>80897.850000000035</v>
      </c>
      <c r="N41" s="83">
        <f t="shared" si="9"/>
        <v>229.64</v>
      </c>
      <c r="O41" s="83">
        <f t="shared" si="10"/>
        <v>220.63</v>
      </c>
    </row>
    <row r="42" spans="1:16" ht="15" customHeight="1" x14ac:dyDescent="0.35">
      <c r="A42" s="7">
        <v>6</v>
      </c>
      <c r="B42" s="67">
        <f t="shared" si="0"/>
        <v>356.92</v>
      </c>
      <c r="C42" s="67">
        <f t="shared" si="1"/>
        <v>230.56</v>
      </c>
      <c r="D42" s="67">
        <f t="shared" si="2"/>
        <v>126.36000000000001</v>
      </c>
      <c r="E42" s="67">
        <f t="shared" si="3"/>
        <v>81247.170000000013</v>
      </c>
      <c r="F42" s="83">
        <f t="shared" si="11"/>
        <v>182.03</v>
      </c>
      <c r="G42" s="83">
        <f t="shared" si="4"/>
        <v>174.89000000000001</v>
      </c>
      <c r="I42" s="85">
        <v>6</v>
      </c>
      <c r="J42" s="83">
        <f t="shared" si="5"/>
        <v>449.64</v>
      </c>
      <c r="K42" s="83">
        <f t="shared" si="6"/>
        <v>229.21</v>
      </c>
      <c r="L42" s="83">
        <f t="shared" si="7"/>
        <v>220.43</v>
      </c>
      <c r="M42" s="83">
        <f t="shared" si="8"/>
        <v>80677.420000000042</v>
      </c>
      <c r="N42" s="83">
        <f t="shared" si="9"/>
        <v>229.32</v>
      </c>
      <c r="O42" s="83">
        <f t="shared" si="10"/>
        <v>220.32</v>
      </c>
    </row>
    <row r="43" spans="1:16" ht="15" customHeight="1" x14ac:dyDescent="0.35">
      <c r="A43" s="7">
        <v>7</v>
      </c>
      <c r="B43" s="67">
        <f t="shared" si="0"/>
        <v>356.92</v>
      </c>
      <c r="C43" s="67">
        <f t="shared" si="1"/>
        <v>230.2</v>
      </c>
      <c r="D43" s="67">
        <f t="shared" si="2"/>
        <v>126.72000000000003</v>
      </c>
      <c r="E43" s="67">
        <f t="shared" si="3"/>
        <v>81120.450000000012</v>
      </c>
      <c r="F43" s="83">
        <f t="shared" si="11"/>
        <v>182.03</v>
      </c>
      <c r="G43" s="83">
        <f t="shared" si="4"/>
        <v>174.89000000000001</v>
      </c>
      <c r="I43" s="85">
        <v>7</v>
      </c>
      <c r="J43" s="83">
        <f t="shared" si="5"/>
        <v>449.02</v>
      </c>
      <c r="K43" s="83">
        <f t="shared" si="6"/>
        <v>228.59</v>
      </c>
      <c r="L43" s="83">
        <f t="shared" si="7"/>
        <v>220.43</v>
      </c>
      <c r="M43" s="83">
        <f t="shared" si="8"/>
        <v>80456.990000000049</v>
      </c>
      <c r="N43" s="83">
        <f t="shared" si="9"/>
        <v>229</v>
      </c>
      <c r="O43" s="83">
        <f t="shared" si="10"/>
        <v>220.01999999999998</v>
      </c>
    </row>
    <row r="44" spans="1:16" ht="15" customHeight="1" x14ac:dyDescent="0.35">
      <c r="A44" s="7">
        <v>8</v>
      </c>
      <c r="B44" s="67">
        <f t="shared" si="0"/>
        <v>356.92</v>
      </c>
      <c r="C44" s="67">
        <f t="shared" si="1"/>
        <v>229.84</v>
      </c>
      <c r="D44" s="67">
        <f t="shared" si="2"/>
        <v>127.08000000000001</v>
      </c>
      <c r="E44" s="67">
        <f t="shared" si="3"/>
        <v>80993.37000000001</v>
      </c>
      <c r="F44" s="83">
        <f t="shared" si="11"/>
        <v>182.03</v>
      </c>
      <c r="G44" s="83">
        <f t="shared" si="4"/>
        <v>174.89000000000001</v>
      </c>
      <c r="I44" s="85">
        <v>8</v>
      </c>
      <c r="J44" s="83">
        <f t="shared" si="5"/>
        <v>448.39</v>
      </c>
      <c r="K44" s="83">
        <f t="shared" si="6"/>
        <v>227.96</v>
      </c>
      <c r="L44" s="83">
        <f t="shared" si="7"/>
        <v>220.43</v>
      </c>
      <c r="M44" s="83">
        <f t="shared" si="8"/>
        <v>80236.560000000056</v>
      </c>
      <c r="N44" s="83">
        <f t="shared" si="9"/>
        <v>228.68</v>
      </c>
      <c r="O44" s="83">
        <f t="shared" si="10"/>
        <v>219.70999999999998</v>
      </c>
    </row>
    <row r="45" spans="1:16" ht="15" customHeight="1" x14ac:dyDescent="0.35">
      <c r="A45" s="7">
        <v>9</v>
      </c>
      <c r="B45" s="67">
        <f t="shared" si="0"/>
        <v>356.92</v>
      </c>
      <c r="C45" s="67">
        <f t="shared" si="1"/>
        <v>229.48</v>
      </c>
      <c r="D45" s="67">
        <f t="shared" si="2"/>
        <v>127.44000000000003</v>
      </c>
      <c r="E45" s="67">
        <f t="shared" si="3"/>
        <v>80865.930000000008</v>
      </c>
      <c r="F45" s="83">
        <f t="shared" si="11"/>
        <v>182.03</v>
      </c>
      <c r="G45" s="83">
        <f t="shared" si="4"/>
        <v>174.89000000000001</v>
      </c>
      <c r="I45" s="85">
        <v>9</v>
      </c>
      <c r="J45" s="83">
        <f t="shared" si="5"/>
        <v>447.77</v>
      </c>
      <c r="K45" s="83">
        <f t="shared" si="6"/>
        <v>227.34</v>
      </c>
      <c r="L45" s="83">
        <f t="shared" si="7"/>
        <v>220.43</v>
      </c>
      <c r="M45" s="83">
        <f t="shared" si="8"/>
        <v>80016.130000000063</v>
      </c>
      <c r="N45" s="83">
        <f t="shared" si="9"/>
        <v>228.36</v>
      </c>
      <c r="O45" s="83">
        <f t="shared" si="10"/>
        <v>219.40999999999997</v>
      </c>
    </row>
    <row r="46" spans="1:16" ht="15" customHeight="1" x14ac:dyDescent="0.35">
      <c r="A46" s="7">
        <v>10</v>
      </c>
      <c r="B46" s="67">
        <f t="shared" si="0"/>
        <v>356.92</v>
      </c>
      <c r="C46" s="67">
        <f t="shared" si="1"/>
        <v>229.12</v>
      </c>
      <c r="D46" s="67">
        <f t="shared" si="2"/>
        <v>127.80000000000001</v>
      </c>
      <c r="E46" s="67">
        <f t="shared" si="3"/>
        <v>80738.13</v>
      </c>
      <c r="F46" s="83">
        <f t="shared" si="11"/>
        <v>182.03</v>
      </c>
      <c r="G46" s="83">
        <f t="shared" si="4"/>
        <v>174.89000000000001</v>
      </c>
      <c r="I46" s="85">
        <v>10</v>
      </c>
      <c r="J46" s="83">
        <f t="shared" si="5"/>
        <v>447.14</v>
      </c>
      <c r="K46" s="83">
        <f t="shared" si="6"/>
        <v>226.71</v>
      </c>
      <c r="L46" s="83">
        <f t="shared" si="7"/>
        <v>220.43</v>
      </c>
      <c r="M46" s="83">
        <f t="shared" si="8"/>
        <v>79795.70000000007</v>
      </c>
      <c r="N46" s="83">
        <f t="shared" si="9"/>
        <v>228.04</v>
      </c>
      <c r="O46" s="83">
        <f t="shared" si="10"/>
        <v>219.1</v>
      </c>
    </row>
    <row r="47" spans="1:16" ht="15" customHeight="1" x14ac:dyDescent="0.35">
      <c r="A47" s="7">
        <v>11</v>
      </c>
      <c r="B47" s="67">
        <f t="shared" si="0"/>
        <v>356.92</v>
      </c>
      <c r="C47" s="67">
        <f t="shared" si="1"/>
        <v>228.76</v>
      </c>
      <c r="D47" s="67">
        <f t="shared" si="2"/>
        <v>128.16000000000003</v>
      </c>
      <c r="E47" s="67">
        <f t="shared" si="3"/>
        <v>80609.97</v>
      </c>
      <c r="F47" s="83">
        <f t="shared" si="11"/>
        <v>182.03</v>
      </c>
      <c r="G47" s="83">
        <f t="shared" si="4"/>
        <v>174.89000000000001</v>
      </c>
      <c r="I47" s="85">
        <v>11</v>
      </c>
      <c r="J47" s="83">
        <f t="shared" si="5"/>
        <v>446.52</v>
      </c>
      <c r="K47" s="83">
        <f t="shared" si="6"/>
        <v>226.09</v>
      </c>
      <c r="L47" s="83">
        <f t="shared" si="7"/>
        <v>220.43</v>
      </c>
      <c r="M47" s="83">
        <f t="shared" si="8"/>
        <v>79575.270000000077</v>
      </c>
      <c r="N47" s="83">
        <f t="shared" si="9"/>
        <v>227.73</v>
      </c>
      <c r="O47" s="83">
        <f t="shared" si="10"/>
        <v>218.79</v>
      </c>
    </row>
    <row r="48" spans="1:16" ht="15" customHeight="1" x14ac:dyDescent="0.35">
      <c r="A48" s="7">
        <v>12</v>
      </c>
      <c r="B48" s="67">
        <f t="shared" si="0"/>
        <v>356.92</v>
      </c>
      <c r="C48" s="67">
        <f t="shared" si="1"/>
        <v>228.39</v>
      </c>
      <c r="D48" s="67">
        <f t="shared" si="2"/>
        <v>128.53000000000003</v>
      </c>
      <c r="E48" s="67">
        <f t="shared" si="3"/>
        <v>80481.440000000002</v>
      </c>
      <c r="F48" s="83">
        <f t="shared" si="11"/>
        <v>182.03</v>
      </c>
      <c r="G48" s="83">
        <f t="shared" si="4"/>
        <v>174.89000000000001</v>
      </c>
      <c r="I48" s="85">
        <v>12</v>
      </c>
      <c r="J48" s="83">
        <f t="shared" si="5"/>
        <v>445.89</v>
      </c>
      <c r="K48" s="83">
        <f t="shared" si="6"/>
        <v>225.46</v>
      </c>
      <c r="L48" s="83">
        <f t="shared" si="7"/>
        <v>220.43</v>
      </c>
      <c r="M48" s="83">
        <f t="shared" si="8"/>
        <v>79354.840000000084</v>
      </c>
      <c r="N48" s="83">
        <f t="shared" si="9"/>
        <v>227.4</v>
      </c>
      <c r="O48" s="83">
        <f t="shared" si="10"/>
        <v>218.48999999999998</v>
      </c>
    </row>
    <row r="49" spans="1:15" ht="15" customHeight="1" x14ac:dyDescent="0.35">
      <c r="A49" s="7">
        <v>13</v>
      </c>
      <c r="B49" s="67">
        <f t="shared" si="0"/>
        <v>356.92</v>
      </c>
      <c r="C49" s="67">
        <f t="shared" si="1"/>
        <v>228.03</v>
      </c>
      <c r="D49" s="67">
        <f t="shared" si="2"/>
        <v>128.89000000000001</v>
      </c>
      <c r="E49" s="67">
        <f t="shared" si="3"/>
        <v>80352.55</v>
      </c>
      <c r="F49" s="83">
        <f t="shared" si="11"/>
        <v>182.03</v>
      </c>
      <c r="G49" s="83">
        <f t="shared" si="4"/>
        <v>174.89000000000001</v>
      </c>
      <c r="I49" s="85">
        <v>13</v>
      </c>
      <c r="J49" s="83">
        <f t="shared" si="5"/>
        <v>445.27</v>
      </c>
      <c r="K49" s="83">
        <f t="shared" si="6"/>
        <v>224.84</v>
      </c>
      <c r="L49" s="83">
        <f t="shared" si="7"/>
        <v>220.43</v>
      </c>
      <c r="M49" s="83">
        <f t="shared" si="8"/>
        <v>79134.410000000091</v>
      </c>
      <c r="N49" s="83">
        <f t="shared" si="9"/>
        <v>227.09</v>
      </c>
      <c r="O49" s="83">
        <f t="shared" si="10"/>
        <v>218.17999999999998</v>
      </c>
    </row>
    <row r="50" spans="1:15" ht="15" customHeight="1" x14ac:dyDescent="0.35">
      <c r="A50" s="7">
        <v>14</v>
      </c>
      <c r="B50" s="67">
        <f t="shared" si="0"/>
        <v>356.92</v>
      </c>
      <c r="C50" s="67">
        <f t="shared" si="1"/>
        <v>227.67</v>
      </c>
      <c r="D50" s="67">
        <f t="shared" si="2"/>
        <v>129.25000000000003</v>
      </c>
      <c r="E50" s="67">
        <f t="shared" si="3"/>
        <v>80223.3</v>
      </c>
      <c r="F50" s="83">
        <f t="shared" si="11"/>
        <v>182.03</v>
      </c>
      <c r="G50" s="83">
        <f t="shared" si="4"/>
        <v>174.89000000000001</v>
      </c>
      <c r="I50" s="85">
        <v>14</v>
      </c>
      <c r="J50" s="83">
        <f t="shared" si="5"/>
        <v>444.64</v>
      </c>
      <c r="K50" s="83">
        <f t="shared" si="6"/>
        <v>224.21</v>
      </c>
      <c r="L50" s="83">
        <f t="shared" si="7"/>
        <v>220.43</v>
      </c>
      <c r="M50" s="83">
        <f t="shared" si="8"/>
        <v>78913.980000000098</v>
      </c>
      <c r="N50" s="83">
        <f t="shared" si="9"/>
        <v>226.77</v>
      </c>
      <c r="O50" s="83">
        <f t="shared" si="10"/>
        <v>217.86999999999998</v>
      </c>
    </row>
    <row r="51" spans="1:15" ht="15" customHeight="1" x14ac:dyDescent="0.35">
      <c r="A51" s="7">
        <v>15</v>
      </c>
      <c r="B51" s="67">
        <f t="shared" si="0"/>
        <v>356.92</v>
      </c>
      <c r="C51" s="67">
        <f t="shared" si="1"/>
        <v>227.3</v>
      </c>
      <c r="D51" s="67">
        <f t="shared" si="2"/>
        <v>129.62</v>
      </c>
      <c r="E51" s="67">
        <f t="shared" si="3"/>
        <v>80093.680000000008</v>
      </c>
      <c r="F51" s="83">
        <f t="shared" si="11"/>
        <v>182.03</v>
      </c>
      <c r="G51" s="83">
        <f t="shared" si="4"/>
        <v>174.89000000000001</v>
      </c>
      <c r="I51" s="85">
        <v>15</v>
      </c>
      <c r="J51" s="83">
        <f t="shared" si="5"/>
        <v>444.02</v>
      </c>
      <c r="K51" s="83">
        <f t="shared" si="6"/>
        <v>223.59</v>
      </c>
      <c r="L51" s="83">
        <f t="shared" si="7"/>
        <v>220.43</v>
      </c>
      <c r="M51" s="83">
        <f t="shared" si="8"/>
        <v>78693.550000000105</v>
      </c>
      <c r="N51" s="83">
        <f t="shared" si="9"/>
        <v>226.45</v>
      </c>
      <c r="O51" s="83">
        <f t="shared" si="10"/>
        <v>217.57</v>
      </c>
    </row>
    <row r="52" spans="1:15" ht="15" customHeight="1" x14ac:dyDescent="0.35">
      <c r="A52" s="7">
        <v>16</v>
      </c>
      <c r="B52" s="67">
        <f t="shared" si="0"/>
        <v>356.92</v>
      </c>
      <c r="C52" s="67">
        <f t="shared" si="1"/>
        <v>226.93</v>
      </c>
      <c r="D52" s="67">
        <f t="shared" si="2"/>
        <v>129.99</v>
      </c>
      <c r="E52" s="67">
        <f t="shared" si="3"/>
        <v>79963.69</v>
      </c>
      <c r="F52" s="83">
        <f t="shared" si="11"/>
        <v>182.03</v>
      </c>
      <c r="G52" s="83">
        <f t="shared" si="4"/>
        <v>174.89000000000001</v>
      </c>
      <c r="I52" s="85">
        <v>16</v>
      </c>
      <c r="J52" s="83">
        <f t="shared" si="5"/>
        <v>443.4</v>
      </c>
      <c r="K52" s="83">
        <f t="shared" si="6"/>
        <v>222.97</v>
      </c>
      <c r="L52" s="83">
        <f t="shared" si="7"/>
        <v>220.43</v>
      </c>
      <c r="M52" s="83">
        <f t="shared" si="8"/>
        <v>78473.120000000112</v>
      </c>
      <c r="N52" s="83">
        <f t="shared" si="9"/>
        <v>226.13</v>
      </c>
      <c r="O52" s="83">
        <f t="shared" si="10"/>
        <v>217.26999999999998</v>
      </c>
    </row>
    <row r="53" spans="1:15" ht="15" customHeight="1" x14ac:dyDescent="0.35">
      <c r="A53" s="7">
        <v>17</v>
      </c>
      <c r="B53" s="67">
        <f t="shared" si="0"/>
        <v>356.92</v>
      </c>
      <c r="C53" s="67">
        <f t="shared" si="1"/>
        <v>226.56</v>
      </c>
      <c r="D53" s="67">
        <f t="shared" si="2"/>
        <v>130.36000000000001</v>
      </c>
      <c r="E53" s="67">
        <f t="shared" si="3"/>
        <v>79833.33</v>
      </c>
      <c r="F53" s="83">
        <f t="shared" si="11"/>
        <v>182.03</v>
      </c>
      <c r="G53" s="83">
        <f t="shared" si="4"/>
        <v>174.89000000000001</v>
      </c>
      <c r="I53" s="85">
        <v>17</v>
      </c>
      <c r="J53" s="83">
        <f t="shared" si="5"/>
        <v>442.77</v>
      </c>
      <c r="K53" s="83">
        <f t="shared" si="6"/>
        <v>222.34</v>
      </c>
      <c r="L53" s="83">
        <f t="shared" si="7"/>
        <v>220.43</v>
      </c>
      <c r="M53" s="83">
        <f t="shared" si="8"/>
        <v>78252.690000000119</v>
      </c>
      <c r="N53" s="83">
        <f t="shared" si="9"/>
        <v>225.81</v>
      </c>
      <c r="O53" s="83">
        <f t="shared" si="10"/>
        <v>216.95999999999998</v>
      </c>
    </row>
    <row r="54" spans="1:15" ht="15" customHeight="1" x14ac:dyDescent="0.35">
      <c r="A54" s="7">
        <v>18</v>
      </c>
      <c r="B54" s="67">
        <f t="shared" si="0"/>
        <v>356.92</v>
      </c>
      <c r="C54" s="67">
        <f t="shared" si="1"/>
        <v>226.19</v>
      </c>
      <c r="D54" s="67">
        <f t="shared" si="2"/>
        <v>130.73000000000002</v>
      </c>
      <c r="E54" s="67">
        <f t="shared" si="3"/>
        <v>79702.600000000006</v>
      </c>
      <c r="F54" s="83">
        <f t="shared" si="11"/>
        <v>182.03</v>
      </c>
      <c r="G54" s="83">
        <f t="shared" si="4"/>
        <v>174.89000000000001</v>
      </c>
      <c r="I54" s="85">
        <v>18</v>
      </c>
      <c r="J54" s="83">
        <f t="shared" si="5"/>
        <v>442.15</v>
      </c>
      <c r="K54" s="83">
        <f t="shared" si="6"/>
        <v>221.72</v>
      </c>
      <c r="L54" s="83">
        <f t="shared" si="7"/>
        <v>220.43</v>
      </c>
      <c r="M54" s="83">
        <f t="shared" si="8"/>
        <v>78032.260000000126</v>
      </c>
      <c r="N54" s="83">
        <f t="shared" si="9"/>
        <v>225.5</v>
      </c>
      <c r="O54" s="83">
        <f t="shared" si="10"/>
        <v>216.64999999999998</v>
      </c>
    </row>
    <row r="55" spans="1:15" ht="15" customHeight="1" x14ac:dyDescent="0.35">
      <c r="A55" s="7">
        <v>19</v>
      </c>
      <c r="B55" s="67">
        <f t="shared" si="0"/>
        <v>356.92</v>
      </c>
      <c r="C55" s="67">
        <f t="shared" si="1"/>
        <v>225.82</v>
      </c>
      <c r="D55" s="67">
        <f t="shared" si="2"/>
        <v>131.10000000000002</v>
      </c>
      <c r="E55" s="67">
        <f t="shared" si="3"/>
        <v>79571.5</v>
      </c>
      <c r="F55" s="83">
        <f t="shared" si="11"/>
        <v>182.03</v>
      </c>
      <c r="G55" s="83">
        <f t="shared" si="4"/>
        <v>174.89000000000001</v>
      </c>
      <c r="I55" s="85">
        <v>19</v>
      </c>
      <c r="J55" s="83">
        <f t="shared" si="5"/>
        <v>441.52</v>
      </c>
      <c r="K55" s="83">
        <f t="shared" si="6"/>
        <v>221.09</v>
      </c>
      <c r="L55" s="83">
        <f t="shared" si="7"/>
        <v>220.43</v>
      </c>
      <c r="M55" s="83">
        <f t="shared" si="8"/>
        <v>77811.830000000133</v>
      </c>
      <c r="N55" s="83">
        <f t="shared" si="9"/>
        <v>225.18</v>
      </c>
      <c r="O55" s="83">
        <f t="shared" si="10"/>
        <v>216.33999999999997</v>
      </c>
    </row>
    <row r="56" spans="1:15" ht="15" customHeight="1" x14ac:dyDescent="0.35">
      <c r="A56" s="7">
        <v>20</v>
      </c>
      <c r="B56" s="67">
        <f t="shared" si="0"/>
        <v>356.92</v>
      </c>
      <c r="C56" s="67">
        <f t="shared" si="1"/>
        <v>225.45</v>
      </c>
      <c r="D56" s="67">
        <f t="shared" si="2"/>
        <v>131.47000000000003</v>
      </c>
      <c r="E56" s="67">
        <f t="shared" si="3"/>
        <v>79440.03</v>
      </c>
      <c r="F56" s="83">
        <f t="shared" si="11"/>
        <v>182.03</v>
      </c>
      <c r="G56" s="83">
        <f t="shared" si="4"/>
        <v>174.89000000000001</v>
      </c>
      <c r="I56" s="85">
        <v>20</v>
      </c>
      <c r="J56" s="83">
        <f t="shared" si="5"/>
        <v>440.9</v>
      </c>
      <c r="K56" s="83">
        <f t="shared" si="6"/>
        <v>220.47</v>
      </c>
      <c r="L56" s="83">
        <f t="shared" si="7"/>
        <v>220.43</v>
      </c>
      <c r="M56" s="83">
        <f t="shared" si="8"/>
        <v>77591.40000000014</v>
      </c>
      <c r="N56" s="83">
        <f t="shared" si="9"/>
        <v>224.86</v>
      </c>
      <c r="O56" s="83">
        <f t="shared" si="10"/>
        <v>216.03999999999996</v>
      </c>
    </row>
    <row r="57" spans="1:15" ht="15" customHeight="1" x14ac:dyDescent="0.35">
      <c r="A57" s="7">
        <v>21</v>
      </c>
      <c r="B57" s="67">
        <f t="shared" si="0"/>
        <v>356.92</v>
      </c>
      <c r="C57" s="67">
        <f t="shared" si="1"/>
        <v>225.08</v>
      </c>
      <c r="D57" s="67">
        <f t="shared" si="2"/>
        <v>131.84</v>
      </c>
      <c r="E57" s="67">
        <f t="shared" si="3"/>
        <v>79308.19</v>
      </c>
      <c r="F57" s="83">
        <f t="shared" si="11"/>
        <v>182.03</v>
      </c>
      <c r="G57" s="83">
        <f t="shared" si="4"/>
        <v>174.89000000000001</v>
      </c>
      <c r="I57" s="85">
        <v>21</v>
      </c>
      <c r="J57" s="83">
        <f t="shared" si="5"/>
        <v>440.27</v>
      </c>
      <c r="K57" s="83">
        <f t="shared" si="6"/>
        <v>219.84</v>
      </c>
      <c r="L57" s="83">
        <f t="shared" si="7"/>
        <v>220.43</v>
      </c>
      <c r="M57" s="83">
        <f t="shared" si="8"/>
        <v>77370.970000000147</v>
      </c>
      <c r="N57" s="83">
        <f t="shared" si="9"/>
        <v>224.54</v>
      </c>
      <c r="O57" s="83">
        <f t="shared" si="10"/>
        <v>215.73</v>
      </c>
    </row>
    <row r="58" spans="1:15" ht="15" customHeight="1" x14ac:dyDescent="0.35">
      <c r="A58" s="7">
        <v>22</v>
      </c>
      <c r="B58" s="67">
        <f t="shared" si="0"/>
        <v>356.92</v>
      </c>
      <c r="C58" s="67">
        <f t="shared" si="1"/>
        <v>224.71</v>
      </c>
      <c r="D58" s="67">
        <f t="shared" si="2"/>
        <v>132.21</v>
      </c>
      <c r="E58" s="67">
        <f t="shared" si="3"/>
        <v>79175.98</v>
      </c>
      <c r="F58" s="83">
        <f t="shared" si="11"/>
        <v>182.03</v>
      </c>
      <c r="G58" s="83">
        <f t="shared" si="4"/>
        <v>174.89000000000001</v>
      </c>
      <c r="I58" s="85">
        <v>22</v>
      </c>
      <c r="J58" s="83">
        <f t="shared" si="5"/>
        <v>439.65</v>
      </c>
      <c r="K58" s="83">
        <f t="shared" si="6"/>
        <v>219.22</v>
      </c>
      <c r="L58" s="83">
        <f t="shared" si="7"/>
        <v>220.43</v>
      </c>
      <c r="M58" s="83">
        <f t="shared" si="8"/>
        <v>77150.540000000154</v>
      </c>
      <c r="N58" s="83">
        <f t="shared" si="9"/>
        <v>224.22</v>
      </c>
      <c r="O58" s="83">
        <f t="shared" si="10"/>
        <v>215.42999999999998</v>
      </c>
    </row>
    <row r="59" spans="1:15" ht="15" customHeight="1" x14ac:dyDescent="0.35">
      <c r="A59" s="7">
        <v>23</v>
      </c>
      <c r="B59" s="67">
        <f t="shared" si="0"/>
        <v>356.92</v>
      </c>
      <c r="C59" s="67">
        <f t="shared" si="1"/>
        <v>224.33</v>
      </c>
      <c r="D59" s="67">
        <f t="shared" si="2"/>
        <v>132.59</v>
      </c>
      <c r="E59" s="67">
        <f t="shared" si="3"/>
        <v>79043.39</v>
      </c>
      <c r="F59" s="83">
        <f t="shared" si="11"/>
        <v>182.03</v>
      </c>
      <c r="G59" s="83">
        <f t="shared" si="4"/>
        <v>174.89000000000001</v>
      </c>
      <c r="I59" s="85">
        <v>23</v>
      </c>
      <c r="J59" s="83">
        <f t="shared" si="5"/>
        <v>439.02</v>
      </c>
      <c r="K59" s="83">
        <f t="shared" si="6"/>
        <v>218.59</v>
      </c>
      <c r="L59" s="83">
        <f t="shared" si="7"/>
        <v>220.43</v>
      </c>
      <c r="M59" s="83">
        <f t="shared" si="8"/>
        <v>76930.110000000161</v>
      </c>
      <c r="N59" s="83">
        <f t="shared" si="9"/>
        <v>223.9</v>
      </c>
      <c r="O59" s="83">
        <f t="shared" si="10"/>
        <v>215.11999999999998</v>
      </c>
    </row>
    <row r="60" spans="1:15" ht="15" customHeight="1" x14ac:dyDescent="0.35">
      <c r="A60" s="7">
        <v>24</v>
      </c>
      <c r="B60" s="67">
        <f t="shared" si="0"/>
        <v>356.92</v>
      </c>
      <c r="C60" s="67">
        <f t="shared" si="1"/>
        <v>223.96</v>
      </c>
      <c r="D60" s="67">
        <f t="shared" si="2"/>
        <v>132.96</v>
      </c>
      <c r="E60" s="67">
        <f t="shared" si="3"/>
        <v>78910.429999999993</v>
      </c>
      <c r="F60" s="83">
        <f t="shared" si="11"/>
        <v>182.03</v>
      </c>
      <c r="G60" s="83">
        <f t="shared" si="4"/>
        <v>174.89000000000001</v>
      </c>
      <c r="I60" s="85">
        <v>24</v>
      </c>
      <c r="J60" s="83">
        <f t="shared" si="5"/>
        <v>438.4</v>
      </c>
      <c r="K60" s="83">
        <f t="shared" si="6"/>
        <v>217.97</v>
      </c>
      <c r="L60" s="83">
        <f t="shared" si="7"/>
        <v>220.43</v>
      </c>
      <c r="M60" s="83">
        <f t="shared" si="8"/>
        <v>76709.680000000168</v>
      </c>
      <c r="N60" s="83">
        <f t="shared" si="9"/>
        <v>223.58</v>
      </c>
      <c r="O60" s="83">
        <f t="shared" si="10"/>
        <v>214.81999999999996</v>
      </c>
    </row>
    <row r="61" spans="1:15" ht="15" customHeight="1" x14ac:dyDescent="0.35">
      <c r="A61" s="7">
        <v>25</v>
      </c>
      <c r="B61" s="67">
        <f t="shared" si="0"/>
        <v>356.92</v>
      </c>
      <c r="C61" s="67">
        <f t="shared" si="1"/>
        <v>223.58</v>
      </c>
      <c r="D61" s="67">
        <f t="shared" si="2"/>
        <v>133.34</v>
      </c>
      <c r="E61" s="67">
        <f t="shared" si="3"/>
        <v>78777.09</v>
      </c>
      <c r="F61" s="83">
        <f t="shared" si="11"/>
        <v>182.03</v>
      </c>
      <c r="G61" s="83">
        <f t="shared" si="4"/>
        <v>174.89000000000001</v>
      </c>
      <c r="I61" s="85">
        <v>25</v>
      </c>
      <c r="J61" s="83">
        <f t="shared" si="5"/>
        <v>437.77</v>
      </c>
      <c r="K61" s="83">
        <f t="shared" si="6"/>
        <v>217.34</v>
      </c>
      <c r="L61" s="83">
        <f t="shared" si="7"/>
        <v>220.43</v>
      </c>
      <c r="M61" s="83">
        <f t="shared" si="8"/>
        <v>76489.250000000175</v>
      </c>
      <c r="N61" s="83">
        <f t="shared" si="9"/>
        <v>223.26</v>
      </c>
      <c r="O61" s="83">
        <f t="shared" si="10"/>
        <v>214.51</v>
      </c>
    </row>
    <row r="62" spans="1:15" ht="15" customHeight="1" x14ac:dyDescent="0.35">
      <c r="A62" s="7">
        <v>26</v>
      </c>
      <c r="B62" s="67">
        <f t="shared" si="0"/>
        <v>356.92</v>
      </c>
      <c r="C62" s="67">
        <f t="shared" si="1"/>
        <v>223.2</v>
      </c>
      <c r="D62" s="67">
        <f t="shared" si="2"/>
        <v>133.72000000000003</v>
      </c>
      <c r="E62" s="67">
        <f t="shared" si="3"/>
        <v>78643.37</v>
      </c>
      <c r="F62" s="83">
        <f t="shared" si="11"/>
        <v>182.03</v>
      </c>
      <c r="G62" s="83">
        <f t="shared" si="4"/>
        <v>174.89000000000001</v>
      </c>
      <c r="I62" s="85">
        <v>26</v>
      </c>
      <c r="J62" s="83">
        <f t="shared" si="5"/>
        <v>437.15</v>
      </c>
      <c r="K62" s="83">
        <f t="shared" si="6"/>
        <v>216.72</v>
      </c>
      <c r="L62" s="83">
        <f t="shared" si="7"/>
        <v>220.43</v>
      </c>
      <c r="M62" s="83">
        <f t="shared" si="8"/>
        <v>76268.820000000182</v>
      </c>
      <c r="N62" s="83">
        <f t="shared" si="9"/>
        <v>222.95</v>
      </c>
      <c r="O62" s="83">
        <f t="shared" si="10"/>
        <v>214.2</v>
      </c>
    </row>
    <row r="63" spans="1:15" ht="15" customHeight="1" x14ac:dyDescent="0.35">
      <c r="A63" s="7">
        <v>27</v>
      </c>
      <c r="B63" s="67">
        <f t="shared" si="0"/>
        <v>356.92</v>
      </c>
      <c r="C63" s="67">
        <f t="shared" si="1"/>
        <v>222.82</v>
      </c>
      <c r="D63" s="67">
        <f t="shared" si="2"/>
        <v>134.10000000000002</v>
      </c>
      <c r="E63" s="67">
        <f t="shared" si="3"/>
        <v>78509.26999999999</v>
      </c>
      <c r="F63" s="83">
        <f t="shared" si="11"/>
        <v>182.03</v>
      </c>
      <c r="G63" s="83">
        <f t="shared" si="4"/>
        <v>174.89000000000001</v>
      </c>
      <c r="I63" s="85">
        <v>27</v>
      </c>
      <c r="J63" s="83">
        <f t="shared" si="5"/>
        <v>436.52</v>
      </c>
      <c r="K63" s="83">
        <f t="shared" si="6"/>
        <v>216.09</v>
      </c>
      <c r="L63" s="83">
        <f t="shared" si="7"/>
        <v>220.43</v>
      </c>
      <c r="M63" s="83">
        <f t="shared" si="8"/>
        <v>76048.390000000189</v>
      </c>
      <c r="N63" s="83">
        <f t="shared" si="9"/>
        <v>222.63</v>
      </c>
      <c r="O63" s="83">
        <f t="shared" si="10"/>
        <v>213.89</v>
      </c>
    </row>
    <row r="64" spans="1:15" ht="15" customHeight="1" x14ac:dyDescent="0.35">
      <c r="A64" s="7">
        <v>28</v>
      </c>
      <c r="B64" s="67">
        <f t="shared" si="0"/>
        <v>356.92</v>
      </c>
      <c r="C64" s="67">
        <f t="shared" si="1"/>
        <v>222.44</v>
      </c>
      <c r="D64" s="67">
        <f t="shared" si="2"/>
        <v>134.48000000000002</v>
      </c>
      <c r="E64" s="67">
        <f t="shared" si="3"/>
        <v>78374.789999999994</v>
      </c>
      <c r="F64" s="83">
        <f t="shared" si="11"/>
        <v>182.03</v>
      </c>
      <c r="G64" s="83">
        <f t="shared" si="4"/>
        <v>174.89000000000001</v>
      </c>
      <c r="I64" s="85">
        <v>28</v>
      </c>
      <c r="J64" s="83">
        <f t="shared" si="5"/>
        <v>435.9</v>
      </c>
      <c r="K64" s="83">
        <f t="shared" si="6"/>
        <v>215.47</v>
      </c>
      <c r="L64" s="83">
        <f t="shared" si="7"/>
        <v>220.43</v>
      </c>
      <c r="M64" s="83">
        <f t="shared" si="8"/>
        <v>75827.960000000196</v>
      </c>
      <c r="N64" s="83">
        <f t="shared" si="9"/>
        <v>222.31</v>
      </c>
      <c r="O64" s="83">
        <f t="shared" si="10"/>
        <v>213.58999999999997</v>
      </c>
    </row>
    <row r="65" spans="1:15" ht="15" customHeight="1" x14ac:dyDescent="0.35">
      <c r="A65" s="7">
        <v>29</v>
      </c>
      <c r="B65" s="67">
        <f t="shared" si="0"/>
        <v>356.92</v>
      </c>
      <c r="C65" s="67">
        <f t="shared" si="1"/>
        <v>222.06</v>
      </c>
      <c r="D65" s="67">
        <f t="shared" si="2"/>
        <v>134.86000000000001</v>
      </c>
      <c r="E65" s="67">
        <f t="shared" si="3"/>
        <v>78239.929999999993</v>
      </c>
      <c r="F65" s="83">
        <f t="shared" si="11"/>
        <v>182.03</v>
      </c>
      <c r="G65" s="83">
        <f t="shared" si="4"/>
        <v>174.89000000000001</v>
      </c>
      <c r="I65" s="85">
        <v>29</v>
      </c>
      <c r="J65" s="83">
        <f t="shared" si="5"/>
        <v>435.28</v>
      </c>
      <c r="K65" s="83">
        <f t="shared" si="6"/>
        <v>214.85</v>
      </c>
      <c r="L65" s="83">
        <f t="shared" si="7"/>
        <v>220.43</v>
      </c>
      <c r="M65" s="83">
        <f t="shared" si="8"/>
        <v>75607.530000000203</v>
      </c>
      <c r="N65" s="83">
        <f t="shared" si="9"/>
        <v>221.99</v>
      </c>
      <c r="O65" s="83">
        <f t="shared" si="10"/>
        <v>213.28999999999996</v>
      </c>
    </row>
    <row r="66" spans="1:15" ht="15" customHeight="1" x14ac:dyDescent="0.35">
      <c r="A66" s="7">
        <v>30</v>
      </c>
      <c r="B66" s="67">
        <f t="shared" si="0"/>
        <v>356.92</v>
      </c>
      <c r="C66" s="67">
        <f t="shared" si="1"/>
        <v>221.68</v>
      </c>
      <c r="D66" s="67">
        <f t="shared" si="2"/>
        <v>135.24</v>
      </c>
      <c r="E66" s="67">
        <f t="shared" si="3"/>
        <v>78104.689999999988</v>
      </c>
      <c r="F66" s="83">
        <f t="shared" si="11"/>
        <v>182.03</v>
      </c>
      <c r="G66" s="83">
        <f t="shared" si="4"/>
        <v>174.89000000000001</v>
      </c>
      <c r="I66" s="85">
        <v>30</v>
      </c>
      <c r="J66" s="83">
        <f t="shared" si="5"/>
        <v>434.65</v>
      </c>
      <c r="K66" s="83">
        <f t="shared" si="6"/>
        <v>214.22</v>
      </c>
      <c r="L66" s="83">
        <f t="shared" si="7"/>
        <v>220.43</v>
      </c>
      <c r="M66" s="83">
        <f t="shared" si="8"/>
        <v>75387.10000000021</v>
      </c>
      <c r="N66" s="83">
        <f t="shared" si="9"/>
        <v>221.67</v>
      </c>
      <c r="O66" s="83">
        <f t="shared" si="10"/>
        <v>212.98</v>
      </c>
    </row>
    <row r="67" spans="1:15" ht="15" customHeight="1" x14ac:dyDescent="0.35">
      <c r="A67" s="7">
        <v>31</v>
      </c>
      <c r="B67" s="67">
        <f t="shared" si="0"/>
        <v>356.92</v>
      </c>
      <c r="C67" s="67">
        <f t="shared" si="1"/>
        <v>221.3</v>
      </c>
      <c r="D67" s="67">
        <f t="shared" si="2"/>
        <v>135.62</v>
      </c>
      <c r="E67" s="67">
        <f t="shared" si="3"/>
        <v>77969.069999999992</v>
      </c>
      <c r="F67" s="83">
        <f t="shared" si="11"/>
        <v>182.03</v>
      </c>
      <c r="G67" s="83">
        <f t="shared" si="4"/>
        <v>174.89000000000001</v>
      </c>
      <c r="I67" s="85">
        <v>31</v>
      </c>
      <c r="J67" s="83">
        <f t="shared" si="5"/>
        <v>434.03</v>
      </c>
      <c r="K67" s="83">
        <f t="shared" si="6"/>
        <v>213.6</v>
      </c>
      <c r="L67" s="83">
        <f t="shared" si="7"/>
        <v>220.43</v>
      </c>
      <c r="M67" s="83">
        <f t="shared" si="8"/>
        <v>75166.670000000217</v>
      </c>
      <c r="N67" s="83">
        <f t="shared" si="9"/>
        <v>221.36</v>
      </c>
      <c r="O67" s="83">
        <f t="shared" si="10"/>
        <v>212.66999999999996</v>
      </c>
    </row>
    <row r="68" spans="1:15" ht="15" customHeight="1" x14ac:dyDescent="0.35">
      <c r="A68" s="7">
        <v>32</v>
      </c>
      <c r="B68" s="67">
        <f t="shared" si="0"/>
        <v>356.92</v>
      </c>
      <c r="C68" s="67">
        <f t="shared" si="1"/>
        <v>220.91</v>
      </c>
      <c r="D68" s="67">
        <f t="shared" si="2"/>
        <v>136.01000000000002</v>
      </c>
      <c r="E68" s="67">
        <f t="shared" si="3"/>
        <v>77833.06</v>
      </c>
      <c r="F68" s="83">
        <f t="shared" si="11"/>
        <v>182.03</v>
      </c>
      <c r="G68" s="83">
        <f t="shared" si="4"/>
        <v>174.89000000000001</v>
      </c>
      <c r="I68" s="85">
        <v>32</v>
      </c>
      <c r="J68" s="83">
        <f t="shared" si="5"/>
        <v>433.4</v>
      </c>
      <c r="K68" s="83">
        <f t="shared" si="6"/>
        <v>212.97</v>
      </c>
      <c r="L68" s="83">
        <f t="shared" si="7"/>
        <v>220.43</v>
      </c>
      <c r="M68" s="83">
        <f t="shared" si="8"/>
        <v>74946.240000000224</v>
      </c>
      <c r="N68" s="83">
        <f t="shared" si="9"/>
        <v>221.03</v>
      </c>
      <c r="O68" s="83">
        <f t="shared" si="10"/>
        <v>212.36999999999998</v>
      </c>
    </row>
    <row r="69" spans="1:15" ht="15" customHeight="1" x14ac:dyDescent="0.35">
      <c r="A69" s="7">
        <v>33</v>
      </c>
      <c r="B69" s="67">
        <f t="shared" si="0"/>
        <v>356.92</v>
      </c>
      <c r="C69" s="67">
        <f t="shared" si="1"/>
        <v>220.53</v>
      </c>
      <c r="D69" s="67">
        <f t="shared" si="2"/>
        <v>136.39000000000001</v>
      </c>
      <c r="E69" s="67">
        <f t="shared" si="3"/>
        <v>77696.67</v>
      </c>
      <c r="F69" s="83">
        <f t="shared" si="11"/>
        <v>182.03</v>
      </c>
      <c r="G69" s="83">
        <f t="shared" si="4"/>
        <v>174.89000000000001</v>
      </c>
      <c r="I69" s="85">
        <v>33</v>
      </c>
      <c r="J69" s="83">
        <f t="shared" si="5"/>
        <v>432.78</v>
      </c>
      <c r="K69" s="83">
        <f t="shared" si="6"/>
        <v>212.35</v>
      </c>
      <c r="L69" s="83">
        <f t="shared" si="7"/>
        <v>220.43</v>
      </c>
      <c r="M69" s="83">
        <f t="shared" si="8"/>
        <v>74725.810000000231</v>
      </c>
      <c r="N69" s="83">
        <f t="shared" si="9"/>
        <v>220.72</v>
      </c>
      <c r="O69" s="83">
        <f t="shared" si="10"/>
        <v>212.05999999999997</v>
      </c>
    </row>
    <row r="70" spans="1:15" ht="15" customHeight="1" x14ac:dyDescent="0.35">
      <c r="A70" s="7">
        <v>34</v>
      </c>
      <c r="B70" s="67">
        <f t="shared" si="0"/>
        <v>356.92</v>
      </c>
      <c r="C70" s="67">
        <f t="shared" si="1"/>
        <v>220.14</v>
      </c>
      <c r="D70" s="67">
        <f t="shared" si="2"/>
        <v>136.78000000000003</v>
      </c>
      <c r="E70" s="67">
        <f t="shared" si="3"/>
        <v>77559.89</v>
      </c>
      <c r="F70" s="83">
        <f t="shared" si="11"/>
        <v>182.03</v>
      </c>
      <c r="G70" s="83">
        <f t="shared" si="4"/>
        <v>174.89000000000001</v>
      </c>
      <c r="I70" s="85">
        <v>34</v>
      </c>
      <c r="J70" s="83">
        <f t="shared" si="5"/>
        <v>432.15</v>
      </c>
      <c r="K70" s="83">
        <f t="shared" si="6"/>
        <v>211.72</v>
      </c>
      <c r="L70" s="83">
        <f t="shared" si="7"/>
        <v>220.43</v>
      </c>
      <c r="M70" s="83">
        <f t="shared" si="8"/>
        <v>74505.380000000237</v>
      </c>
      <c r="N70" s="83">
        <f t="shared" si="9"/>
        <v>220.4</v>
      </c>
      <c r="O70" s="83">
        <f t="shared" si="10"/>
        <v>211.74999999999997</v>
      </c>
    </row>
    <row r="71" spans="1:15" ht="15" customHeight="1" x14ac:dyDescent="0.35">
      <c r="A71" s="7">
        <v>35</v>
      </c>
      <c r="B71" s="67">
        <f t="shared" si="0"/>
        <v>356.92</v>
      </c>
      <c r="C71" s="67">
        <f t="shared" si="1"/>
        <v>219.75</v>
      </c>
      <c r="D71" s="67">
        <f t="shared" si="2"/>
        <v>137.17000000000002</v>
      </c>
      <c r="E71" s="67">
        <f t="shared" si="3"/>
        <v>77422.720000000001</v>
      </c>
      <c r="F71" s="83">
        <f t="shared" si="11"/>
        <v>182.03</v>
      </c>
      <c r="G71" s="83">
        <f t="shared" si="4"/>
        <v>174.89000000000001</v>
      </c>
      <c r="I71" s="85">
        <v>35</v>
      </c>
      <c r="J71" s="83">
        <f t="shared" si="5"/>
        <v>431.53</v>
      </c>
      <c r="K71" s="83">
        <f t="shared" si="6"/>
        <v>211.1</v>
      </c>
      <c r="L71" s="83">
        <f t="shared" si="7"/>
        <v>220.43</v>
      </c>
      <c r="M71" s="83">
        <f t="shared" si="8"/>
        <v>74284.950000000244</v>
      </c>
      <c r="N71" s="83">
        <f t="shared" si="9"/>
        <v>220.08</v>
      </c>
      <c r="O71" s="83">
        <f t="shared" si="10"/>
        <v>211.44999999999996</v>
      </c>
    </row>
    <row r="72" spans="1:15" ht="15" customHeight="1" x14ac:dyDescent="0.35">
      <c r="A72" s="7">
        <v>36</v>
      </c>
      <c r="B72" s="67">
        <f t="shared" si="0"/>
        <v>356.92</v>
      </c>
      <c r="C72" s="67">
        <f t="shared" si="1"/>
        <v>219.36</v>
      </c>
      <c r="D72" s="67">
        <f t="shared" si="2"/>
        <v>137.56</v>
      </c>
      <c r="E72" s="67">
        <f t="shared" si="3"/>
        <v>77285.16</v>
      </c>
      <c r="F72" s="83">
        <f t="shared" si="11"/>
        <v>182.03</v>
      </c>
      <c r="G72" s="83">
        <f t="shared" si="4"/>
        <v>174.89000000000001</v>
      </c>
      <c r="I72" s="85">
        <v>36</v>
      </c>
      <c r="J72" s="83">
        <f t="shared" si="5"/>
        <v>430.9</v>
      </c>
      <c r="K72" s="83">
        <f t="shared" si="6"/>
        <v>210.47</v>
      </c>
      <c r="L72" s="83">
        <f t="shared" si="7"/>
        <v>220.43</v>
      </c>
      <c r="M72" s="83">
        <f t="shared" si="8"/>
        <v>74064.520000000251</v>
      </c>
      <c r="N72" s="83">
        <f t="shared" si="9"/>
        <v>219.76</v>
      </c>
      <c r="O72" s="83">
        <f t="shared" si="10"/>
        <v>211.14</v>
      </c>
    </row>
    <row r="73" spans="1:15" ht="15" customHeight="1" x14ac:dyDescent="0.35">
      <c r="A73" s="7">
        <v>37</v>
      </c>
      <c r="B73" s="67">
        <f t="shared" si="0"/>
        <v>356.92</v>
      </c>
      <c r="C73" s="67">
        <f t="shared" si="1"/>
        <v>218.97</v>
      </c>
      <c r="D73" s="67">
        <f t="shared" si="2"/>
        <v>137.95000000000002</v>
      </c>
      <c r="E73" s="67">
        <f t="shared" si="3"/>
        <v>77147.210000000006</v>
      </c>
      <c r="F73" s="83">
        <f t="shared" si="11"/>
        <v>182.03</v>
      </c>
      <c r="G73" s="83">
        <f t="shared" si="4"/>
        <v>174.89000000000001</v>
      </c>
      <c r="I73" s="85">
        <v>37</v>
      </c>
      <c r="J73" s="83">
        <f t="shared" si="5"/>
        <v>430.28</v>
      </c>
      <c r="K73" s="83">
        <f t="shared" si="6"/>
        <v>209.85</v>
      </c>
      <c r="L73" s="83">
        <f t="shared" si="7"/>
        <v>220.43</v>
      </c>
      <c r="M73" s="83">
        <f t="shared" si="8"/>
        <v>73844.090000000258</v>
      </c>
      <c r="N73" s="83">
        <f t="shared" si="9"/>
        <v>219.44</v>
      </c>
      <c r="O73" s="83">
        <f t="shared" si="10"/>
        <v>210.83999999999997</v>
      </c>
    </row>
    <row r="74" spans="1:15" ht="15" customHeight="1" x14ac:dyDescent="0.35">
      <c r="A74" s="7">
        <v>38</v>
      </c>
      <c r="B74" s="67">
        <f t="shared" si="0"/>
        <v>356.92</v>
      </c>
      <c r="C74" s="67">
        <f t="shared" si="1"/>
        <v>218.58</v>
      </c>
      <c r="D74" s="67">
        <f t="shared" si="2"/>
        <v>138.34</v>
      </c>
      <c r="E74" s="67">
        <f t="shared" si="3"/>
        <v>77008.87000000001</v>
      </c>
      <c r="F74" s="83">
        <f t="shared" si="11"/>
        <v>182.03</v>
      </c>
      <c r="G74" s="83">
        <f t="shared" si="4"/>
        <v>174.89000000000001</v>
      </c>
      <c r="I74" s="85">
        <v>38</v>
      </c>
      <c r="J74" s="83">
        <f t="shared" si="5"/>
        <v>429.65</v>
      </c>
      <c r="K74" s="83">
        <f t="shared" si="6"/>
        <v>209.22</v>
      </c>
      <c r="L74" s="83">
        <f t="shared" si="7"/>
        <v>220.43</v>
      </c>
      <c r="M74" s="83">
        <f t="shared" si="8"/>
        <v>73623.660000000265</v>
      </c>
      <c r="N74" s="83">
        <f t="shared" si="9"/>
        <v>219.12</v>
      </c>
      <c r="O74" s="83">
        <f t="shared" si="10"/>
        <v>210.52999999999997</v>
      </c>
    </row>
    <row r="75" spans="1:15" ht="15" customHeight="1" x14ac:dyDescent="0.35">
      <c r="A75" s="7">
        <v>39</v>
      </c>
      <c r="B75" s="67">
        <f t="shared" si="0"/>
        <v>356.92</v>
      </c>
      <c r="C75" s="67">
        <f t="shared" si="1"/>
        <v>218.19</v>
      </c>
      <c r="D75" s="67">
        <f t="shared" si="2"/>
        <v>138.73000000000002</v>
      </c>
      <c r="E75" s="67">
        <f t="shared" si="3"/>
        <v>76870.140000000014</v>
      </c>
      <c r="F75" s="83">
        <f t="shared" si="11"/>
        <v>182.03</v>
      </c>
      <c r="G75" s="83">
        <f t="shared" si="4"/>
        <v>174.89000000000001</v>
      </c>
      <c r="I75" s="85">
        <v>39</v>
      </c>
      <c r="J75" s="83">
        <f t="shared" si="5"/>
        <v>429.03</v>
      </c>
      <c r="K75" s="83">
        <f t="shared" si="6"/>
        <v>208.6</v>
      </c>
      <c r="L75" s="83">
        <f t="shared" si="7"/>
        <v>220.43</v>
      </c>
      <c r="M75" s="83">
        <f t="shared" si="8"/>
        <v>73403.230000000272</v>
      </c>
      <c r="N75" s="83">
        <f t="shared" si="9"/>
        <v>218.81</v>
      </c>
      <c r="O75" s="83">
        <f t="shared" si="10"/>
        <v>210.21999999999997</v>
      </c>
    </row>
    <row r="76" spans="1:15" ht="15" customHeight="1" x14ac:dyDescent="0.35">
      <c r="A76" s="7">
        <v>40</v>
      </c>
      <c r="B76" s="67">
        <f t="shared" si="0"/>
        <v>356.92</v>
      </c>
      <c r="C76" s="67">
        <f t="shared" si="1"/>
        <v>217.8</v>
      </c>
      <c r="D76" s="67">
        <f t="shared" si="2"/>
        <v>139.12</v>
      </c>
      <c r="E76" s="67">
        <f t="shared" si="3"/>
        <v>76731.020000000019</v>
      </c>
      <c r="F76" s="83">
        <f t="shared" si="11"/>
        <v>182.03</v>
      </c>
      <c r="G76" s="83">
        <f t="shared" si="4"/>
        <v>174.89000000000001</v>
      </c>
      <c r="I76" s="85">
        <v>40</v>
      </c>
      <c r="J76" s="83">
        <f t="shared" si="5"/>
        <v>428.40999999999997</v>
      </c>
      <c r="K76" s="83">
        <f t="shared" si="6"/>
        <v>207.98</v>
      </c>
      <c r="L76" s="83">
        <f t="shared" si="7"/>
        <v>220.43</v>
      </c>
      <c r="M76" s="83">
        <f t="shared" si="8"/>
        <v>73182.800000000279</v>
      </c>
      <c r="N76" s="83">
        <f t="shared" si="9"/>
        <v>218.49</v>
      </c>
      <c r="O76" s="83">
        <f t="shared" si="10"/>
        <v>209.91999999999996</v>
      </c>
    </row>
    <row r="77" spans="1:15" ht="15" customHeight="1" x14ac:dyDescent="0.35">
      <c r="A77" s="7">
        <v>41</v>
      </c>
      <c r="B77" s="67">
        <f t="shared" si="0"/>
        <v>356.92</v>
      </c>
      <c r="C77" s="67">
        <f t="shared" si="1"/>
        <v>217.4</v>
      </c>
      <c r="D77" s="67">
        <f t="shared" si="2"/>
        <v>139.52000000000001</v>
      </c>
      <c r="E77" s="67">
        <f t="shared" si="3"/>
        <v>76591.500000000015</v>
      </c>
      <c r="F77" s="83">
        <f t="shared" si="11"/>
        <v>182.03</v>
      </c>
      <c r="G77" s="83">
        <f t="shared" si="4"/>
        <v>174.89000000000001</v>
      </c>
      <c r="I77" s="85">
        <v>41</v>
      </c>
      <c r="J77" s="83">
        <f t="shared" si="5"/>
        <v>427.78</v>
      </c>
      <c r="K77" s="83">
        <f t="shared" si="6"/>
        <v>207.35</v>
      </c>
      <c r="L77" s="83">
        <f t="shared" si="7"/>
        <v>220.43</v>
      </c>
      <c r="M77" s="83">
        <f t="shared" si="8"/>
        <v>72962.370000000286</v>
      </c>
      <c r="N77" s="83">
        <f t="shared" si="9"/>
        <v>218.17</v>
      </c>
      <c r="O77" s="83">
        <f t="shared" si="10"/>
        <v>209.60999999999999</v>
      </c>
    </row>
    <row r="78" spans="1:15" ht="15" customHeight="1" x14ac:dyDescent="0.35">
      <c r="A78" s="7">
        <v>42</v>
      </c>
      <c r="B78" s="67">
        <f t="shared" si="0"/>
        <v>356.92</v>
      </c>
      <c r="C78" s="67">
        <f t="shared" si="1"/>
        <v>217.01</v>
      </c>
      <c r="D78" s="67">
        <f t="shared" si="2"/>
        <v>139.91000000000003</v>
      </c>
      <c r="E78" s="67">
        <f t="shared" si="3"/>
        <v>76451.590000000011</v>
      </c>
      <c r="F78" s="83">
        <f t="shared" si="11"/>
        <v>182.03</v>
      </c>
      <c r="G78" s="83">
        <f t="shared" si="4"/>
        <v>174.89000000000001</v>
      </c>
      <c r="I78" s="85">
        <v>42</v>
      </c>
      <c r="J78" s="83">
        <f t="shared" si="5"/>
        <v>427.15999999999997</v>
      </c>
      <c r="K78" s="83">
        <f t="shared" si="6"/>
        <v>206.73</v>
      </c>
      <c r="L78" s="83">
        <f t="shared" si="7"/>
        <v>220.43</v>
      </c>
      <c r="M78" s="83">
        <f t="shared" si="8"/>
        <v>72741.940000000293</v>
      </c>
      <c r="N78" s="83">
        <f t="shared" si="9"/>
        <v>217.85</v>
      </c>
      <c r="O78" s="83">
        <f t="shared" si="10"/>
        <v>209.30999999999997</v>
      </c>
    </row>
    <row r="79" spans="1:15" ht="15" customHeight="1" x14ac:dyDescent="0.35">
      <c r="A79" s="7">
        <v>43</v>
      </c>
      <c r="B79" s="67">
        <f t="shared" si="0"/>
        <v>356.92</v>
      </c>
      <c r="C79" s="67">
        <f t="shared" si="1"/>
        <v>216.61</v>
      </c>
      <c r="D79" s="67">
        <f t="shared" si="2"/>
        <v>140.31</v>
      </c>
      <c r="E79" s="67">
        <f t="shared" si="3"/>
        <v>76311.280000000013</v>
      </c>
      <c r="F79" s="83">
        <f t="shared" si="11"/>
        <v>182.03</v>
      </c>
      <c r="G79" s="83">
        <f t="shared" si="4"/>
        <v>174.89000000000001</v>
      </c>
      <c r="I79" s="85">
        <v>43</v>
      </c>
      <c r="J79" s="83">
        <f t="shared" si="5"/>
        <v>426.53</v>
      </c>
      <c r="K79" s="83">
        <f t="shared" si="6"/>
        <v>206.1</v>
      </c>
      <c r="L79" s="83">
        <f t="shared" si="7"/>
        <v>220.43</v>
      </c>
      <c r="M79" s="83">
        <f t="shared" si="8"/>
        <v>72521.5100000003</v>
      </c>
      <c r="N79" s="83">
        <f t="shared" si="9"/>
        <v>217.53</v>
      </c>
      <c r="O79" s="83">
        <f t="shared" si="10"/>
        <v>208.99999999999997</v>
      </c>
    </row>
    <row r="80" spans="1:15" ht="15" customHeight="1" x14ac:dyDescent="0.35">
      <c r="A80" s="7">
        <v>44</v>
      </c>
      <c r="B80" s="67">
        <f t="shared" si="0"/>
        <v>356.92</v>
      </c>
      <c r="C80" s="67">
        <f t="shared" si="1"/>
        <v>216.22</v>
      </c>
      <c r="D80" s="67">
        <f t="shared" si="2"/>
        <v>140.70000000000002</v>
      </c>
      <c r="E80" s="67">
        <f t="shared" si="3"/>
        <v>76170.580000000016</v>
      </c>
      <c r="F80" s="83">
        <f t="shared" si="11"/>
        <v>182.03</v>
      </c>
      <c r="G80" s="83">
        <f t="shared" si="4"/>
        <v>174.89000000000001</v>
      </c>
      <c r="I80" s="85">
        <v>44</v>
      </c>
      <c r="J80" s="83">
        <f t="shared" si="5"/>
        <v>425.90999999999997</v>
      </c>
      <c r="K80" s="83">
        <f t="shared" si="6"/>
        <v>205.48</v>
      </c>
      <c r="L80" s="83">
        <f t="shared" si="7"/>
        <v>220.43</v>
      </c>
      <c r="M80" s="83">
        <f t="shared" si="8"/>
        <v>72301.080000000307</v>
      </c>
      <c r="N80" s="83">
        <f t="shared" si="9"/>
        <v>217.21</v>
      </c>
      <c r="O80" s="83">
        <f t="shared" si="10"/>
        <v>208.69999999999996</v>
      </c>
    </row>
    <row r="81" spans="1:15" ht="15" customHeight="1" x14ac:dyDescent="0.35">
      <c r="A81" s="7">
        <v>45</v>
      </c>
      <c r="B81" s="67">
        <f t="shared" si="0"/>
        <v>356.92</v>
      </c>
      <c r="C81" s="67">
        <f t="shared" si="1"/>
        <v>215.82</v>
      </c>
      <c r="D81" s="67">
        <f t="shared" si="2"/>
        <v>141.10000000000002</v>
      </c>
      <c r="E81" s="67">
        <f t="shared" si="3"/>
        <v>76029.48000000001</v>
      </c>
      <c r="F81" s="83">
        <f t="shared" si="11"/>
        <v>182.03</v>
      </c>
      <c r="G81" s="83">
        <f t="shared" si="4"/>
        <v>174.89000000000001</v>
      </c>
      <c r="I81" s="85">
        <v>45</v>
      </c>
      <c r="J81" s="83">
        <f t="shared" si="5"/>
        <v>425.28</v>
      </c>
      <c r="K81" s="83">
        <f t="shared" si="6"/>
        <v>204.85</v>
      </c>
      <c r="L81" s="83">
        <f t="shared" si="7"/>
        <v>220.43</v>
      </c>
      <c r="M81" s="83">
        <f t="shared" si="8"/>
        <v>72080.650000000314</v>
      </c>
      <c r="N81" s="83">
        <f t="shared" si="9"/>
        <v>216.89</v>
      </c>
      <c r="O81" s="83">
        <f t="shared" si="10"/>
        <v>208.39</v>
      </c>
    </row>
    <row r="82" spans="1:15" ht="15" customHeight="1" x14ac:dyDescent="0.35">
      <c r="A82" s="7">
        <v>46</v>
      </c>
      <c r="B82" s="67">
        <f t="shared" si="0"/>
        <v>356.92</v>
      </c>
      <c r="C82" s="67">
        <f t="shared" si="1"/>
        <v>215.42</v>
      </c>
      <c r="D82" s="67">
        <f t="shared" si="2"/>
        <v>141.50000000000003</v>
      </c>
      <c r="E82" s="67">
        <f t="shared" si="3"/>
        <v>75887.98000000001</v>
      </c>
      <c r="F82" s="83">
        <f t="shared" si="11"/>
        <v>182.03</v>
      </c>
      <c r="G82" s="83">
        <f t="shared" si="4"/>
        <v>174.89000000000001</v>
      </c>
      <c r="I82" s="85">
        <v>46</v>
      </c>
      <c r="J82" s="83">
        <f t="shared" si="5"/>
        <v>424.65999999999997</v>
      </c>
      <c r="K82" s="83">
        <f t="shared" si="6"/>
        <v>204.23</v>
      </c>
      <c r="L82" s="83">
        <f t="shared" si="7"/>
        <v>220.43</v>
      </c>
      <c r="M82" s="83">
        <f t="shared" si="8"/>
        <v>71860.220000000321</v>
      </c>
      <c r="N82" s="83">
        <f t="shared" si="9"/>
        <v>216.58</v>
      </c>
      <c r="O82" s="83">
        <f t="shared" si="10"/>
        <v>208.07999999999996</v>
      </c>
    </row>
    <row r="83" spans="1:15" ht="15" customHeight="1" x14ac:dyDescent="0.35">
      <c r="A83" s="7">
        <v>47</v>
      </c>
      <c r="B83" s="67">
        <f t="shared" si="0"/>
        <v>356.92</v>
      </c>
      <c r="C83" s="67">
        <f t="shared" si="1"/>
        <v>215.02</v>
      </c>
      <c r="D83" s="67">
        <f t="shared" si="2"/>
        <v>141.9</v>
      </c>
      <c r="E83" s="67">
        <f t="shared" si="3"/>
        <v>75746.080000000016</v>
      </c>
      <c r="F83" s="83">
        <f t="shared" si="11"/>
        <v>182.03</v>
      </c>
      <c r="G83" s="83">
        <f t="shared" si="4"/>
        <v>174.89000000000001</v>
      </c>
      <c r="I83" s="85">
        <v>47</v>
      </c>
      <c r="J83" s="83">
        <f t="shared" si="5"/>
        <v>424.03</v>
      </c>
      <c r="K83" s="83">
        <f t="shared" si="6"/>
        <v>203.6</v>
      </c>
      <c r="L83" s="83">
        <f t="shared" si="7"/>
        <v>220.43</v>
      </c>
      <c r="M83" s="83">
        <f t="shared" si="8"/>
        <v>71639.790000000328</v>
      </c>
      <c r="N83" s="83">
        <f t="shared" si="9"/>
        <v>216.26</v>
      </c>
      <c r="O83" s="83">
        <f t="shared" si="10"/>
        <v>207.76999999999998</v>
      </c>
    </row>
    <row r="84" spans="1:15" ht="15" customHeight="1" x14ac:dyDescent="0.35">
      <c r="A84" s="7">
        <v>48</v>
      </c>
      <c r="B84" s="67">
        <f t="shared" si="0"/>
        <v>356.92</v>
      </c>
      <c r="C84" s="67">
        <f t="shared" si="1"/>
        <v>214.61</v>
      </c>
      <c r="D84" s="67">
        <f t="shared" si="2"/>
        <v>142.31</v>
      </c>
      <c r="E84" s="67">
        <f t="shared" si="3"/>
        <v>75603.770000000019</v>
      </c>
      <c r="F84" s="83">
        <f t="shared" si="11"/>
        <v>182.03</v>
      </c>
      <c r="G84" s="83">
        <f t="shared" si="4"/>
        <v>174.89000000000001</v>
      </c>
      <c r="I84" s="85">
        <v>48</v>
      </c>
      <c r="J84" s="83">
        <f t="shared" si="5"/>
        <v>423.40999999999997</v>
      </c>
      <c r="K84" s="83">
        <f t="shared" si="6"/>
        <v>202.98</v>
      </c>
      <c r="L84" s="83">
        <f t="shared" si="7"/>
        <v>220.43</v>
      </c>
      <c r="M84" s="83">
        <f t="shared" si="8"/>
        <v>71419.360000000335</v>
      </c>
      <c r="N84" s="83">
        <f t="shared" si="9"/>
        <v>215.94</v>
      </c>
      <c r="O84" s="83">
        <f t="shared" si="10"/>
        <v>207.46999999999997</v>
      </c>
    </row>
    <row r="85" spans="1:15" ht="15" customHeight="1" x14ac:dyDescent="0.35">
      <c r="A85" s="7">
        <v>49</v>
      </c>
      <c r="B85" s="67">
        <f t="shared" si="0"/>
        <v>356.92</v>
      </c>
      <c r="C85" s="67">
        <f t="shared" si="1"/>
        <v>214.21</v>
      </c>
      <c r="D85" s="67">
        <f t="shared" si="2"/>
        <v>142.71</v>
      </c>
      <c r="E85" s="67">
        <f t="shared" si="3"/>
        <v>75461.060000000012</v>
      </c>
      <c r="F85" s="83">
        <f t="shared" si="11"/>
        <v>182.03</v>
      </c>
      <c r="G85" s="83">
        <f t="shared" si="4"/>
        <v>174.89000000000001</v>
      </c>
      <c r="I85" s="85">
        <v>49</v>
      </c>
      <c r="J85" s="83">
        <f t="shared" si="5"/>
        <v>422.78</v>
      </c>
      <c r="K85" s="83">
        <f t="shared" si="6"/>
        <v>202.35</v>
      </c>
      <c r="L85" s="83">
        <f t="shared" si="7"/>
        <v>220.43</v>
      </c>
      <c r="M85" s="83">
        <f t="shared" si="8"/>
        <v>71198.930000000342</v>
      </c>
      <c r="N85" s="83">
        <f t="shared" si="9"/>
        <v>215.62</v>
      </c>
      <c r="O85" s="83">
        <f t="shared" si="10"/>
        <v>207.15999999999997</v>
      </c>
    </row>
    <row r="86" spans="1:15" ht="15" customHeight="1" x14ac:dyDescent="0.35">
      <c r="A86" s="7">
        <v>50</v>
      </c>
      <c r="B86" s="67">
        <f t="shared" si="0"/>
        <v>356.92</v>
      </c>
      <c r="C86" s="67">
        <f t="shared" si="1"/>
        <v>213.81</v>
      </c>
      <c r="D86" s="67">
        <f t="shared" si="2"/>
        <v>143.11000000000001</v>
      </c>
      <c r="E86" s="67">
        <f t="shared" si="3"/>
        <v>75317.950000000012</v>
      </c>
      <c r="F86" s="83">
        <f t="shared" si="11"/>
        <v>182.03</v>
      </c>
      <c r="G86" s="83">
        <f t="shared" si="4"/>
        <v>174.89000000000001</v>
      </c>
      <c r="I86" s="85">
        <v>50</v>
      </c>
      <c r="J86" s="83">
        <f t="shared" si="5"/>
        <v>422.15999999999997</v>
      </c>
      <c r="K86" s="83">
        <f t="shared" si="6"/>
        <v>201.73</v>
      </c>
      <c r="L86" s="83">
        <f t="shared" si="7"/>
        <v>220.43</v>
      </c>
      <c r="M86" s="83">
        <f t="shared" si="8"/>
        <v>70978.500000000349</v>
      </c>
      <c r="N86" s="83">
        <f t="shared" si="9"/>
        <v>215.3</v>
      </c>
      <c r="O86" s="83">
        <f t="shared" si="10"/>
        <v>206.85999999999996</v>
      </c>
    </row>
    <row r="87" spans="1:15" ht="15" customHeight="1" x14ac:dyDescent="0.35">
      <c r="A87" s="7">
        <v>51</v>
      </c>
      <c r="B87" s="67">
        <f t="shared" si="0"/>
        <v>356.92</v>
      </c>
      <c r="C87" s="67">
        <f t="shared" si="1"/>
        <v>213.4</v>
      </c>
      <c r="D87" s="67">
        <f t="shared" si="2"/>
        <v>143.52000000000001</v>
      </c>
      <c r="E87" s="67">
        <f t="shared" si="3"/>
        <v>75174.430000000008</v>
      </c>
      <c r="F87" s="83">
        <f t="shared" si="11"/>
        <v>182.03</v>
      </c>
      <c r="G87" s="83">
        <f t="shared" si="4"/>
        <v>174.89000000000001</v>
      </c>
      <c r="I87" s="85">
        <v>51</v>
      </c>
      <c r="J87" s="83">
        <f t="shared" si="5"/>
        <v>421.54</v>
      </c>
      <c r="K87" s="83">
        <f t="shared" si="6"/>
        <v>201.11</v>
      </c>
      <c r="L87" s="83">
        <f t="shared" si="7"/>
        <v>220.43</v>
      </c>
      <c r="M87" s="83">
        <f t="shared" si="8"/>
        <v>70758.070000000356</v>
      </c>
      <c r="N87" s="83">
        <f t="shared" si="9"/>
        <v>214.99</v>
      </c>
      <c r="O87" s="83">
        <f t="shared" si="10"/>
        <v>206.55</v>
      </c>
    </row>
    <row r="88" spans="1:15" ht="15" customHeight="1" x14ac:dyDescent="0.35">
      <c r="A88" s="7">
        <v>52</v>
      </c>
      <c r="B88" s="67">
        <f t="shared" si="0"/>
        <v>356.92</v>
      </c>
      <c r="C88" s="67">
        <f t="shared" si="1"/>
        <v>212.99</v>
      </c>
      <c r="D88" s="67">
        <f t="shared" si="2"/>
        <v>143.93</v>
      </c>
      <c r="E88" s="67">
        <f t="shared" si="3"/>
        <v>75030.500000000015</v>
      </c>
      <c r="F88" s="83">
        <f t="shared" si="11"/>
        <v>182.03</v>
      </c>
      <c r="G88" s="83">
        <f t="shared" si="4"/>
        <v>174.89000000000001</v>
      </c>
      <c r="I88" s="85">
        <v>52</v>
      </c>
      <c r="J88" s="83">
        <f t="shared" si="5"/>
        <v>420.90999999999997</v>
      </c>
      <c r="K88" s="83">
        <f t="shared" si="6"/>
        <v>200.48</v>
      </c>
      <c r="L88" s="83">
        <f t="shared" si="7"/>
        <v>220.43</v>
      </c>
      <c r="M88" s="83">
        <f t="shared" si="8"/>
        <v>70537.640000000363</v>
      </c>
      <c r="N88" s="83">
        <f t="shared" si="9"/>
        <v>214.66</v>
      </c>
      <c r="O88" s="83">
        <f t="shared" si="10"/>
        <v>206.24999999999997</v>
      </c>
    </row>
    <row r="89" spans="1:15" ht="15" customHeight="1" x14ac:dyDescent="0.35">
      <c r="A89" s="7">
        <v>53</v>
      </c>
      <c r="B89" s="67">
        <f t="shared" si="0"/>
        <v>356.92</v>
      </c>
      <c r="C89" s="67">
        <f t="shared" si="1"/>
        <v>212.59</v>
      </c>
      <c r="D89" s="67">
        <f t="shared" si="2"/>
        <v>144.33000000000001</v>
      </c>
      <c r="E89" s="67">
        <f t="shared" si="3"/>
        <v>74886.170000000013</v>
      </c>
      <c r="F89" s="83">
        <f t="shared" si="11"/>
        <v>182.03</v>
      </c>
      <c r="G89" s="83">
        <f t="shared" si="4"/>
        <v>174.89000000000001</v>
      </c>
      <c r="I89" s="85">
        <v>53</v>
      </c>
      <c r="J89" s="83">
        <f t="shared" si="5"/>
        <v>420.29</v>
      </c>
      <c r="K89" s="83">
        <f t="shared" si="6"/>
        <v>199.86</v>
      </c>
      <c r="L89" s="83">
        <f t="shared" si="7"/>
        <v>220.43</v>
      </c>
      <c r="M89" s="83">
        <f t="shared" si="8"/>
        <v>70317.21000000037</v>
      </c>
      <c r="N89" s="83">
        <f t="shared" si="9"/>
        <v>214.35</v>
      </c>
      <c r="O89" s="83">
        <f t="shared" si="10"/>
        <v>205.94000000000003</v>
      </c>
    </row>
    <row r="90" spans="1:15" ht="15" customHeight="1" x14ac:dyDescent="0.35">
      <c r="A90" s="7">
        <v>54</v>
      </c>
      <c r="B90" s="67">
        <f t="shared" si="0"/>
        <v>356.92</v>
      </c>
      <c r="C90" s="67">
        <f t="shared" si="1"/>
        <v>212.18</v>
      </c>
      <c r="D90" s="67">
        <f t="shared" si="2"/>
        <v>144.74</v>
      </c>
      <c r="E90" s="67">
        <f t="shared" si="3"/>
        <v>74741.430000000008</v>
      </c>
      <c r="F90" s="83">
        <f t="shared" si="11"/>
        <v>182.03</v>
      </c>
      <c r="G90" s="83">
        <f t="shared" si="4"/>
        <v>174.89000000000001</v>
      </c>
      <c r="I90" s="85">
        <v>54</v>
      </c>
      <c r="J90" s="83">
        <f t="shared" si="5"/>
        <v>419.65999999999997</v>
      </c>
      <c r="K90" s="83">
        <f t="shared" si="6"/>
        <v>199.23</v>
      </c>
      <c r="L90" s="83">
        <f t="shared" si="7"/>
        <v>220.43</v>
      </c>
      <c r="M90" s="83">
        <f t="shared" si="8"/>
        <v>70096.780000000377</v>
      </c>
      <c r="N90" s="83">
        <f t="shared" si="9"/>
        <v>214.03</v>
      </c>
      <c r="O90" s="83">
        <f t="shared" si="10"/>
        <v>205.62999999999997</v>
      </c>
    </row>
    <row r="91" spans="1:15" ht="15" customHeight="1" x14ac:dyDescent="0.35">
      <c r="A91" s="7">
        <v>55</v>
      </c>
      <c r="B91" s="67">
        <f t="shared" si="0"/>
        <v>356.92</v>
      </c>
      <c r="C91" s="67">
        <f t="shared" si="1"/>
        <v>211.77</v>
      </c>
      <c r="D91" s="67">
        <f t="shared" si="2"/>
        <v>145.15</v>
      </c>
      <c r="E91" s="67">
        <f t="shared" si="3"/>
        <v>74596.280000000013</v>
      </c>
      <c r="F91" s="83">
        <f t="shared" si="11"/>
        <v>182.03</v>
      </c>
      <c r="G91" s="83">
        <f t="shared" si="4"/>
        <v>174.89000000000001</v>
      </c>
      <c r="I91" s="85">
        <v>55</v>
      </c>
      <c r="J91" s="83">
        <f t="shared" si="5"/>
        <v>419.04</v>
      </c>
      <c r="K91" s="83">
        <f t="shared" si="6"/>
        <v>198.61</v>
      </c>
      <c r="L91" s="83">
        <f t="shared" si="7"/>
        <v>220.43</v>
      </c>
      <c r="M91" s="83">
        <f t="shared" si="8"/>
        <v>69876.350000000384</v>
      </c>
      <c r="N91" s="83">
        <f t="shared" si="9"/>
        <v>213.71</v>
      </c>
      <c r="O91" s="83">
        <f t="shared" si="10"/>
        <v>205.33</v>
      </c>
    </row>
    <row r="92" spans="1:15" ht="15" customHeight="1" x14ac:dyDescent="0.35">
      <c r="A92" s="7">
        <v>56</v>
      </c>
      <c r="B92" s="67">
        <f t="shared" si="0"/>
        <v>356.92</v>
      </c>
      <c r="C92" s="67">
        <f t="shared" si="1"/>
        <v>211.36</v>
      </c>
      <c r="D92" s="67">
        <f t="shared" si="2"/>
        <v>145.56</v>
      </c>
      <c r="E92" s="67">
        <f t="shared" si="3"/>
        <v>74450.720000000016</v>
      </c>
      <c r="F92" s="83">
        <f t="shared" si="11"/>
        <v>182.03</v>
      </c>
      <c r="G92" s="83">
        <f t="shared" si="4"/>
        <v>174.89000000000001</v>
      </c>
      <c r="I92" s="85">
        <v>56</v>
      </c>
      <c r="J92" s="83">
        <f t="shared" si="5"/>
        <v>418.40999999999997</v>
      </c>
      <c r="K92" s="83">
        <f t="shared" si="6"/>
        <v>197.98</v>
      </c>
      <c r="L92" s="83">
        <f t="shared" si="7"/>
        <v>220.43</v>
      </c>
      <c r="M92" s="83">
        <f t="shared" si="8"/>
        <v>69655.920000000391</v>
      </c>
      <c r="N92" s="83">
        <f t="shared" si="9"/>
        <v>213.39</v>
      </c>
      <c r="O92" s="83">
        <f t="shared" si="10"/>
        <v>205.01999999999998</v>
      </c>
    </row>
    <row r="93" spans="1:15" ht="15" customHeight="1" x14ac:dyDescent="0.35">
      <c r="A93" s="7">
        <v>57</v>
      </c>
      <c r="B93" s="67">
        <f t="shared" si="0"/>
        <v>356.92</v>
      </c>
      <c r="C93" s="67">
        <f t="shared" si="1"/>
        <v>210.94</v>
      </c>
      <c r="D93" s="67">
        <f t="shared" si="2"/>
        <v>145.98000000000002</v>
      </c>
      <c r="E93" s="67">
        <f t="shared" si="3"/>
        <v>74304.74000000002</v>
      </c>
      <c r="F93" s="83">
        <f t="shared" si="11"/>
        <v>182.03</v>
      </c>
      <c r="G93" s="83">
        <f t="shared" si="4"/>
        <v>174.89000000000001</v>
      </c>
      <c r="I93" s="85">
        <v>57</v>
      </c>
      <c r="J93" s="83">
        <f t="shared" si="5"/>
        <v>417.79</v>
      </c>
      <c r="K93" s="83">
        <f t="shared" si="6"/>
        <v>197.36</v>
      </c>
      <c r="L93" s="83">
        <f t="shared" si="7"/>
        <v>220.43</v>
      </c>
      <c r="M93" s="83">
        <f t="shared" si="8"/>
        <v>69435.490000000398</v>
      </c>
      <c r="N93" s="83">
        <f t="shared" si="9"/>
        <v>213.07</v>
      </c>
      <c r="O93" s="83">
        <f t="shared" si="10"/>
        <v>204.72000000000003</v>
      </c>
    </row>
    <row r="94" spans="1:15" ht="15" customHeight="1" x14ac:dyDescent="0.35">
      <c r="A94" s="7">
        <v>58</v>
      </c>
      <c r="B94" s="67">
        <f t="shared" si="0"/>
        <v>356.92</v>
      </c>
      <c r="C94" s="67">
        <f t="shared" si="1"/>
        <v>210.53</v>
      </c>
      <c r="D94" s="67">
        <f t="shared" si="2"/>
        <v>146.39000000000001</v>
      </c>
      <c r="E94" s="67">
        <f t="shared" si="3"/>
        <v>74158.35000000002</v>
      </c>
      <c r="F94" s="83">
        <f t="shared" si="11"/>
        <v>182.03</v>
      </c>
      <c r="G94" s="83">
        <f t="shared" si="4"/>
        <v>174.89000000000001</v>
      </c>
      <c r="I94" s="85">
        <v>58</v>
      </c>
      <c r="J94" s="83">
        <f t="shared" si="5"/>
        <v>417.15999999999997</v>
      </c>
      <c r="K94" s="83">
        <f t="shared" si="6"/>
        <v>196.73</v>
      </c>
      <c r="L94" s="83">
        <f t="shared" si="7"/>
        <v>220.43</v>
      </c>
      <c r="M94" s="83">
        <f t="shared" si="8"/>
        <v>69215.060000000405</v>
      </c>
      <c r="N94" s="83">
        <f t="shared" si="9"/>
        <v>212.75</v>
      </c>
      <c r="O94" s="83">
        <f t="shared" si="10"/>
        <v>204.40999999999997</v>
      </c>
    </row>
    <row r="95" spans="1:15" ht="15" customHeight="1" x14ac:dyDescent="0.35">
      <c r="A95" s="7">
        <v>59</v>
      </c>
      <c r="B95" s="67">
        <f t="shared" si="0"/>
        <v>356.92</v>
      </c>
      <c r="C95" s="67">
        <f t="shared" si="1"/>
        <v>210.12</v>
      </c>
      <c r="D95" s="67">
        <f t="shared" si="2"/>
        <v>146.80000000000001</v>
      </c>
      <c r="E95" s="67">
        <f t="shared" si="3"/>
        <v>74011.550000000017</v>
      </c>
      <c r="F95" s="83">
        <f t="shared" si="11"/>
        <v>182.03</v>
      </c>
      <c r="G95" s="83">
        <f t="shared" si="4"/>
        <v>174.89000000000001</v>
      </c>
      <c r="I95" s="85">
        <v>59</v>
      </c>
      <c r="J95" s="83">
        <f t="shared" si="5"/>
        <v>416.54</v>
      </c>
      <c r="K95" s="83">
        <f t="shared" si="6"/>
        <v>196.11</v>
      </c>
      <c r="L95" s="83">
        <f t="shared" si="7"/>
        <v>220.43</v>
      </c>
      <c r="M95" s="83">
        <f t="shared" si="8"/>
        <v>68994.630000000412</v>
      </c>
      <c r="N95" s="83">
        <f t="shared" si="9"/>
        <v>212.44</v>
      </c>
      <c r="O95" s="83">
        <f t="shared" si="10"/>
        <v>204.10000000000002</v>
      </c>
    </row>
    <row r="96" spans="1:15" ht="15" customHeight="1" x14ac:dyDescent="0.35">
      <c r="A96" s="7">
        <v>60</v>
      </c>
      <c r="B96" s="67">
        <f t="shared" si="0"/>
        <v>356.92</v>
      </c>
      <c r="C96" s="67">
        <f t="shared" si="1"/>
        <v>209.7</v>
      </c>
      <c r="D96" s="67">
        <f t="shared" si="2"/>
        <v>147.22000000000003</v>
      </c>
      <c r="E96" s="67">
        <f t="shared" si="3"/>
        <v>73864.330000000016</v>
      </c>
      <c r="F96" s="83">
        <f t="shared" si="11"/>
        <v>182.03</v>
      </c>
      <c r="G96" s="83">
        <f t="shared" si="4"/>
        <v>174.89000000000001</v>
      </c>
      <c r="I96" s="85">
        <v>60</v>
      </c>
      <c r="J96" s="83">
        <f t="shared" si="5"/>
        <v>415.90999999999997</v>
      </c>
      <c r="K96" s="83">
        <f t="shared" si="6"/>
        <v>195.48</v>
      </c>
      <c r="L96" s="83">
        <f t="shared" si="7"/>
        <v>220.43</v>
      </c>
      <c r="M96" s="83">
        <f t="shared" si="8"/>
        <v>68774.200000000419</v>
      </c>
      <c r="N96" s="83">
        <f t="shared" si="9"/>
        <v>212.11</v>
      </c>
      <c r="O96" s="83">
        <f t="shared" si="10"/>
        <v>203.79999999999995</v>
      </c>
    </row>
    <row r="97" spans="1:16" ht="15" customHeight="1" x14ac:dyDescent="0.35">
      <c r="A97" s="7">
        <v>61</v>
      </c>
      <c r="B97" s="67">
        <f t="shared" si="0"/>
        <v>356.92</v>
      </c>
      <c r="C97" s="67">
        <f t="shared" si="1"/>
        <v>209.28</v>
      </c>
      <c r="D97" s="67">
        <f t="shared" si="2"/>
        <v>147.64000000000001</v>
      </c>
      <c r="E97" s="67">
        <f t="shared" si="3"/>
        <v>73716.690000000017</v>
      </c>
      <c r="F97" s="83">
        <v>0</v>
      </c>
      <c r="G97" s="84">
        <f t="shared" si="4"/>
        <v>356.92</v>
      </c>
      <c r="H97" s="18" t="s">
        <v>108</v>
      </c>
      <c r="I97" s="85">
        <v>61</v>
      </c>
      <c r="J97" s="83">
        <f t="shared" si="5"/>
        <v>415.29</v>
      </c>
      <c r="K97" s="83">
        <f t="shared" si="6"/>
        <v>194.86</v>
      </c>
      <c r="L97" s="83">
        <f t="shared" si="7"/>
        <v>220.43</v>
      </c>
      <c r="M97" s="83">
        <f t="shared" si="8"/>
        <v>68553.770000000426</v>
      </c>
      <c r="N97" s="83">
        <v>0</v>
      </c>
      <c r="O97" s="84">
        <f t="shared" si="10"/>
        <v>415.29</v>
      </c>
      <c r="P97" s="18" t="s">
        <v>108</v>
      </c>
    </row>
    <row r="98" spans="1:16" ht="15" customHeight="1" x14ac:dyDescent="0.35">
      <c r="A98" s="7">
        <v>62</v>
      </c>
      <c r="B98" s="67">
        <f t="shared" si="0"/>
        <v>356.92</v>
      </c>
      <c r="C98" s="67">
        <f t="shared" si="1"/>
        <v>208.86</v>
      </c>
      <c r="D98" s="67">
        <f t="shared" si="2"/>
        <v>148.06</v>
      </c>
      <c r="E98" s="67">
        <f t="shared" si="3"/>
        <v>73568.630000000019</v>
      </c>
      <c r="F98" s="83">
        <v>0</v>
      </c>
      <c r="G98" s="83">
        <f t="shared" si="4"/>
        <v>356.92</v>
      </c>
      <c r="I98" s="85">
        <v>62</v>
      </c>
      <c r="J98" s="83">
        <f t="shared" si="5"/>
        <v>414.67</v>
      </c>
      <c r="K98" s="83">
        <f t="shared" si="6"/>
        <v>194.24</v>
      </c>
      <c r="L98" s="83">
        <f t="shared" si="7"/>
        <v>220.43</v>
      </c>
      <c r="M98" s="83">
        <f t="shared" si="8"/>
        <v>68333.340000000433</v>
      </c>
      <c r="N98" s="83">
        <v>0</v>
      </c>
      <c r="O98" s="83">
        <f t="shared" si="10"/>
        <v>414.67</v>
      </c>
    </row>
    <row r="99" spans="1:16" ht="15" customHeight="1" x14ac:dyDescent="0.35">
      <c r="A99" s="7">
        <v>63</v>
      </c>
      <c r="B99" s="67">
        <f t="shared" si="0"/>
        <v>356.92</v>
      </c>
      <c r="C99" s="67">
        <f t="shared" si="1"/>
        <v>208.44</v>
      </c>
      <c r="D99" s="67">
        <f t="shared" si="2"/>
        <v>148.48000000000002</v>
      </c>
      <c r="E99" s="67">
        <f t="shared" si="3"/>
        <v>73420.150000000023</v>
      </c>
      <c r="F99" s="83">
        <v>0</v>
      </c>
      <c r="G99" s="83">
        <f t="shared" si="4"/>
        <v>356.92</v>
      </c>
      <c r="I99" s="85">
        <v>63</v>
      </c>
      <c r="J99" s="83">
        <f t="shared" si="5"/>
        <v>414.04</v>
      </c>
      <c r="K99" s="83">
        <f t="shared" si="6"/>
        <v>193.61</v>
      </c>
      <c r="L99" s="83">
        <f t="shared" si="7"/>
        <v>220.43</v>
      </c>
      <c r="M99" s="83">
        <f t="shared" si="8"/>
        <v>68112.91000000044</v>
      </c>
      <c r="N99" s="83">
        <v>0</v>
      </c>
      <c r="O99" s="83">
        <f t="shared" si="10"/>
        <v>414.04</v>
      </c>
    </row>
    <row r="100" spans="1:16" ht="15" customHeight="1" x14ac:dyDescent="0.35">
      <c r="A100" s="7">
        <v>64</v>
      </c>
      <c r="B100" s="67">
        <f t="shared" si="0"/>
        <v>356.92</v>
      </c>
      <c r="C100" s="67">
        <f t="shared" si="1"/>
        <v>208.02</v>
      </c>
      <c r="D100" s="67">
        <f t="shared" si="2"/>
        <v>148.9</v>
      </c>
      <c r="E100" s="67">
        <f t="shared" si="3"/>
        <v>73271.250000000029</v>
      </c>
      <c r="F100" s="83">
        <v>0</v>
      </c>
      <c r="G100" s="83">
        <f t="shared" si="4"/>
        <v>356.92</v>
      </c>
      <c r="I100" s="85">
        <v>64</v>
      </c>
      <c r="J100" s="83">
        <f t="shared" si="5"/>
        <v>413.42</v>
      </c>
      <c r="K100" s="83">
        <f t="shared" si="6"/>
        <v>192.99</v>
      </c>
      <c r="L100" s="83">
        <f t="shared" si="7"/>
        <v>220.43</v>
      </c>
      <c r="M100" s="83">
        <f t="shared" si="8"/>
        <v>67892.480000000447</v>
      </c>
      <c r="N100" s="83">
        <v>0</v>
      </c>
      <c r="O100" s="83">
        <f t="shared" si="10"/>
        <v>413.42</v>
      </c>
    </row>
    <row r="101" spans="1:16" ht="15" customHeight="1" x14ac:dyDescent="0.35">
      <c r="A101" s="7">
        <v>65</v>
      </c>
      <c r="B101" s="67">
        <f t="shared" si="0"/>
        <v>356.92</v>
      </c>
      <c r="C101" s="67">
        <f t="shared" si="1"/>
        <v>207.6</v>
      </c>
      <c r="D101" s="67">
        <f t="shared" si="2"/>
        <v>149.32000000000002</v>
      </c>
      <c r="E101" s="67">
        <f t="shared" si="3"/>
        <v>73121.930000000022</v>
      </c>
      <c r="F101" s="83">
        <v>0</v>
      </c>
      <c r="G101" s="83">
        <f t="shared" si="4"/>
        <v>356.92</v>
      </c>
      <c r="I101" s="85">
        <v>65</v>
      </c>
      <c r="J101" s="83">
        <f t="shared" si="5"/>
        <v>412.79</v>
      </c>
      <c r="K101" s="83">
        <f t="shared" si="6"/>
        <v>192.36</v>
      </c>
      <c r="L101" s="83">
        <f t="shared" si="7"/>
        <v>220.43</v>
      </c>
      <c r="M101" s="83">
        <f t="shared" si="8"/>
        <v>67672.050000000454</v>
      </c>
      <c r="N101" s="83">
        <v>0</v>
      </c>
      <c r="O101" s="83">
        <f t="shared" si="10"/>
        <v>412.79</v>
      </c>
    </row>
    <row r="102" spans="1:16" ht="15" customHeight="1" x14ac:dyDescent="0.35">
      <c r="A102" s="7">
        <v>66</v>
      </c>
      <c r="B102" s="67">
        <f t="shared" si="0"/>
        <v>356.92</v>
      </c>
      <c r="C102" s="67">
        <f t="shared" si="1"/>
        <v>207.18</v>
      </c>
      <c r="D102" s="67">
        <f t="shared" si="2"/>
        <v>149.74</v>
      </c>
      <c r="E102" s="67">
        <f t="shared" si="3"/>
        <v>72972.190000000017</v>
      </c>
      <c r="F102" s="83">
        <v>0</v>
      </c>
      <c r="G102" s="83">
        <f t="shared" si="4"/>
        <v>356.92</v>
      </c>
      <c r="I102" s="85">
        <v>66</v>
      </c>
      <c r="J102" s="83">
        <f t="shared" si="5"/>
        <v>412.17</v>
      </c>
      <c r="K102" s="83">
        <f t="shared" si="6"/>
        <v>191.74</v>
      </c>
      <c r="L102" s="83">
        <f t="shared" si="7"/>
        <v>220.43</v>
      </c>
      <c r="M102" s="83">
        <f t="shared" si="8"/>
        <v>67451.620000000461</v>
      </c>
      <c r="N102" s="83">
        <v>0</v>
      </c>
      <c r="O102" s="83">
        <f t="shared" si="10"/>
        <v>412.17</v>
      </c>
    </row>
    <row r="103" spans="1:16" ht="15" customHeight="1" x14ac:dyDescent="0.35">
      <c r="A103" s="7">
        <v>67</v>
      </c>
      <c r="B103" s="67">
        <f t="shared" si="0"/>
        <v>356.92</v>
      </c>
      <c r="C103" s="67">
        <f t="shared" si="1"/>
        <v>206.75</v>
      </c>
      <c r="D103" s="67">
        <f t="shared" si="2"/>
        <v>150.17000000000002</v>
      </c>
      <c r="E103" s="67">
        <f t="shared" si="3"/>
        <v>72822.020000000019</v>
      </c>
      <c r="F103" s="83">
        <v>0</v>
      </c>
      <c r="G103" s="83">
        <f t="shared" si="4"/>
        <v>356.92</v>
      </c>
      <c r="I103" s="85">
        <v>67</v>
      </c>
      <c r="J103" s="83">
        <f t="shared" si="5"/>
        <v>411.54</v>
      </c>
      <c r="K103" s="83">
        <f t="shared" si="6"/>
        <v>191.11</v>
      </c>
      <c r="L103" s="83">
        <f t="shared" si="7"/>
        <v>220.43</v>
      </c>
      <c r="M103" s="83">
        <f t="shared" si="8"/>
        <v>67231.190000000468</v>
      </c>
      <c r="N103" s="83">
        <v>0</v>
      </c>
      <c r="O103" s="83">
        <f t="shared" si="10"/>
        <v>411.54</v>
      </c>
    </row>
    <row r="104" spans="1:16" ht="15" customHeight="1" x14ac:dyDescent="0.35">
      <c r="A104" s="7">
        <v>68</v>
      </c>
      <c r="B104" s="67">
        <f t="shared" si="0"/>
        <v>356.92</v>
      </c>
      <c r="C104" s="67">
        <f t="shared" si="1"/>
        <v>206.33</v>
      </c>
      <c r="D104" s="67">
        <f t="shared" si="2"/>
        <v>150.59</v>
      </c>
      <c r="E104" s="67">
        <f t="shared" si="3"/>
        <v>72671.430000000022</v>
      </c>
      <c r="F104" s="83">
        <v>0</v>
      </c>
      <c r="G104" s="83">
        <f t="shared" si="4"/>
        <v>356.92</v>
      </c>
      <c r="I104" s="85">
        <v>68</v>
      </c>
      <c r="J104" s="83">
        <f t="shared" si="5"/>
        <v>410.92</v>
      </c>
      <c r="K104" s="83">
        <f t="shared" si="6"/>
        <v>190.49</v>
      </c>
      <c r="L104" s="83">
        <f t="shared" si="7"/>
        <v>220.43</v>
      </c>
      <c r="M104" s="83">
        <f t="shared" si="8"/>
        <v>67010.760000000475</v>
      </c>
      <c r="N104" s="83">
        <v>0</v>
      </c>
      <c r="O104" s="83">
        <f t="shared" si="10"/>
        <v>410.92</v>
      </c>
    </row>
    <row r="105" spans="1:16" ht="15" customHeight="1" x14ac:dyDescent="0.35">
      <c r="A105" s="7">
        <v>69</v>
      </c>
      <c r="B105" s="67">
        <f t="shared" si="0"/>
        <v>356.92</v>
      </c>
      <c r="C105" s="67">
        <f t="shared" si="1"/>
        <v>205.9</v>
      </c>
      <c r="D105" s="67">
        <f t="shared" si="2"/>
        <v>151.02000000000001</v>
      </c>
      <c r="E105" s="67">
        <f t="shared" si="3"/>
        <v>72520.410000000018</v>
      </c>
      <c r="F105" s="83">
        <v>0</v>
      </c>
      <c r="G105" s="83">
        <f t="shared" si="4"/>
        <v>356.92</v>
      </c>
      <c r="I105" s="85">
        <v>69</v>
      </c>
      <c r="J105" s="83">
        <f t="shared" si="5"/>
        <v>410.29</v>
      </c>
      <c r="K105" s="83">
        <f t="shared" si="6"/>
        <v>189.86</v>
      </c>
      <c r="L105" s="83">
        <f t="shared" si="7"/>
        <v>220.43</v>
      </c>
      <c r="M105" s="83">
        <f t="shared" si="8"/>
        <v>66790.330000000482</v>
      </c>
      <c r="N105" s="83">
        <v>0</v>
      </c>
      <c r="O105" s="83">
        <f t="shared" si="10"/>
        <v>410.29</v>
      </c>
    </row>
    <row r="106" spans="1:16" ht="15" customHeight="1" x14ac:dyDescent="0.35">
      <c r="A106" s="7">
        <v>70</v>
      </c>
      <c r="B106" s="67">
        <f t="shared" si="0"/>
        <v>356.92</v>
      </c>
      <c r="C106" s="67">
        <f t="shared" si="1"/>
        <v>205.47</v>
      </c>
      <c r="D106" s="67">
        <f t="shared" si="2"/>
        <v>151.45000000000002</v>
      </c>
      <c r="E106" s="67">
        <f t="shared" si="3"/>
        <v>72368.960000000021</v>
      </c>
      <c r="F106" s="83">
        <v>0</v>
      </c>
      <c r="G106" s="83">
        <f t="shared" si="4"/>
        <v>356.92</v>
      </c>
      <c r="I106" s="85">
        <v>70</v>
      </c>
      <c r="J106" s="83">
        <f t="shared" si="5"/>
        <v>409.67</v>
      </c>
      <c r="K106" s="83">
        <f t="shared" si="6"/>
        <v>189.24</v>
      </c>
      <c r="L106" s="83">
        <f t="shared" si="7"/>
        <v>220.43</v>
      </c>
      <c r="M106" s="83">
        <f t="shared" si="8"/>
        <v>66569.900000000489</v>
      </c>
      <c r="N106" s="83">
        <v>0</v>
      </c>
      <c r="O106" s="83">
        <f t="shared" si="10"/>
        <v>409.67</v>
      </c>
    </row>
    <row r="107" spans="1:16" ht="15" customHeight="1" x14ac:dyDescent="0.35">
      <c r="A107" s="7">
        <v>71</v>
      </c>
      <c r="B107" s="67">
        <f t="shared" si="0"/>
        <v>356.92</v>
      </c>
      <c r="C107" s="67">
        <f t="shared" si="1"/>
        <v>205.05</v>
      </c>
      <c r="D107" s="67">
        <f t="shared" si="2"/>
        <v>151.87</v>
      </c>
      <c r="E107" s="67">
        <f t="shared" si="3"/>
        <v>72217.090000000026</v>
      </c>
      <c r="F107" s="83">
        <v>0</v>
      </c>
      <c r="G107" s="83">
        <f t="shared" si="4"/>
        <v>356.92</v>
      </c>
      <c r="I107" s="85">
        <v>71</v>
      </c>
      <c r="J107" s="83">
        <f t="shared" si="5"/>
        <v>409.04</v>
      </c>
      <c r="K107" s="83">
        <f t="shared" si="6"/>
        <v>188.61</v>
      </c>
      <c r="L107" s="83">
        <f t="shared" si="7"/>
        <v>220.43</v>
      </c>
      <c r="M107" s="83">
        <f t="shared" si="8"/>
        <v>66349.470000000496</v>
      </c>
      <c r="N107" s="83">
        <v>0</v>
      </c>
      <c r="O107" s="83">
        <f t="shared" si="10"/>
        <v>409.04</v>
      </c>
    </row>
    <row r="108" spans="1:16" ht="15" customHeight="1" x14ac:dyDescent="0.35">
      <c r="A108" s="7">
        <v>72</v>
      </c>
      <c r="B108" s="67">
        <f t="shared" si="0"/>
        <v>356.92</v>
      </c>
      <c r="C108" s="67">
        <f t="shared" si="1"/>
        <v>204.62</v>
      </c>
      <c r="D108" s="67">
        <f t="shared" si="2"/>
        <v>152.30000000000001</v>
      </c>
      <c r="E108" s="67">
        <f t="shared" si="3"/>
        <v>72064.790000000023</v>
      </c>
      <c r="F108" s="83">
        <v>0</v>
      </c>
      <c r="G108" s="83">
        <f t="shared" si="4"/>
        <v>356.92</v>
      </c>
      <c r="I108" s="85">
        <v>72</v>
      </c>
      <c r="J108" s="83">
        <f t="shared" si="5"/>
        <v>408.42</v>
      </c>
      <c r="K108" s="83">
        <f t="shared" si="6"/>
        <v>187.99</v>
      </c>
      <c r="L108" s="83">
        <f t="shared" si="7"/>
        <v>220.43</v>
      </c>
      <c r="M108" s="83">
        <f t="shared" si="8"/>
        <v>66129.040000000503</v>
      </c>
      <c r="N108" s="83">
        <v>0</v>
      </c>
      <c r="O108" s="83">
        <f t="shared" si="10"/>
        <v>408.42</v>
      </c>
    </row>
    <row r="109" spans="1:16" ht="15" customHeight="1" x14ac:dyDescent="0.35">
      <c r="A109" s="7">
        <v>73</v>
      </c>
      <c r="B109" s="67">
        <f t="shared" si="0"/>
        <v>356.92</v>
      </c>
      <c r="C109" s="67">
        <f t="shared" si="1"/>
        <v>204.18</v>
      </c>
      <c r="D109" s="67">
        <f t="shared" si="2"/>
        <v>152.74</v>
      </c>
      <c r="E109" s="67">
        <f t="shared" si="3"/>
        <v>71912.050000000017</v>
      </c>
      <c r="F109" s="83">
        <v>0</v>
      </c>
      <c r="G109" s="83">
        <f t="shared" si="4"/>
        <v>356.92</v>
      </c>
      <c r="I109" s="85">
        <v>73</v>
      </c>
      <c r="J109" s="83">
        <f t="shared" si="5"/>
        <v>407.8</v>
      </c>
      <c r="K109" s="83">
        <f t="shared" si="6"/>
        <v>187.37</v>
      </c>
      <c r="L109" s="83">
        <f t="shared" si="7"/>
        <v>220.43</v>
      </c>
      <c r="M109" s="83">
        <f t="shared" si="8"/>
        <v>65908.61000000051</v>
      </c>
      <c r="N109" s="83">
        <v>0</v>
      </c>
      <c r="O109" s="83">
        <f t="shared" si="10"/>
        <v>407.8</v>
      </c>
    </row>
    <row r="110" spans="1:16" ht="15" customHeight="1" x14ac:dyDescent="0.35">
      <c r="A110" s="7">
        <v>74</v>
      </c>
      <c r="B110" s="67">
        <f t="shared" si="0"/>
        <v>356.92</v>
      </c>
      <c r="C110" s="67">
        <f t="shared" si="1"/>
        <v>203.75</v>
      </c>
      <c r="D110" s="67">
        <f t="shared" si="2"/>
        <v>153.17000000000002</v>
      </c>
      <c r="E110" s="67">
        <f t="shared" si="3"/>
        <v>71758.880000000019</v>
      </c>
      <c r="F110" s="83">
        <v>0</v>
      </c>
      <c r="G110" s="83">
        <f t="shared" si="4"/>
        <v>356.92</v>
      </c>
      <c r="I110" s="85">
        <v>74</v>
      </c>
      <c r="J110" s="83">
        <f t="shared" si="5"/>
        <v>407.17</v>
      </c>
      <c r="K110" s="83">
        <f t="shared" si="6"/>
        <v>186.74</v>
      </c>
      <c r="L110" s="83">
        <f t="shared" si="7"/>
        <v>220.43</v>
      </c>
      <c r="M110" s="83">
        <f t="shared" si="8"/>
        <v>65688.180000000517</v>
      </c>
      <c r="N110" s="83">
        <v>0</v>
      </c>
      <c r="O110" s="83">
        <f t="shared" si="10"/>
        <v>407.17</v>
      </c>
    </row>
    <row r="111" spans="1:16" ht="15" customHeight="1" x14ac:dyDescent="0.35">
      <c r="A111" s="7">
        <v>75</v>
      </c>
      <c r="B111" s="67">
        <f t="shared" si="0"/>
        <v>356.92</v>
      </c>
      <c r="C111" s="67">
        <f t="shared" si="1"/>
        <v>203.32</v>
      </c>
      <c r="D111" s="67">
        <f t="shared" si="2"/>
        <v>153.60000000000002</v>
      </c>
      <c r="E111" s="67">
        <f t="shared" si="3"/>
        <v>71605.280000000013</v>
      </c>
      <c r="F111" s="83">
        <v>0</v>
      </c>
      <c r="G111" s="83">
        <f t="shared" si="4"/>
        <v>356.92</v>
      </c>
      <c r="I111" s="85">
        <v>75</v>
      </c>
      <c r="J111" s="83">
        <f t="shared" si="5"/>
        <v>406.55</v>
      </c>
      <c r="K111" s="83">
        <f t="shared" si="6"/>
        <v>186.12</v>
      </c>
      <c r="L111" s="83">
        <f t="shared" si="7"/>
        <v>220.43</v>
      </c>
      <c r="M111" s="83">
        <f t="shared" si="8"/>
        <v>65467.750000000517</v>
      </c>
      <c r="N111" s="83">
        <v>0</v>
      </c>
      <c r="O111" s="83">
        <f t="shared" si="10"/>
        <v>406.55</v>
      </c>
    </row>
    <row r="112" spans="1:16" ht="15" customHeight="1" x14ac:dyDescent="0.35">
      <c r="A112" s="7">
        <v>76</v>
      </c>
      <c r="B112" s="67">
        <f t="shared" si="0"/>
        <v>356.92</v>
      </c>
      <c r="C112" s="67">
        <f t="shared" si="1"/>
        <v>202.88</v>
      </c>
      <c r="D112" s="67">
        <f t="shared" si="2"/>
        <v>154.04000000000002</v>
      </c>
      <c r="E112" s="67">
        <f t="shared" si="3"/>
        <v>71451.24000000002</v>
      </c>
      <c r="F112" s="83">
        <v>0</v>
      </c>
      <c r="G112" s="83">
        <f t="shared" si="4"/>
        <v>356.92</v>
      </c>
      <c r="I112" s="85">
        <v>76</v>
      </c>
      <c r="J112" s="83">
        <f t="shared" si="5"/>
        <v>405.92</v>
      </c>
      <c r="K112" s="83">
        <f t="shared" si="6"/>
        <v>185.49</v>
      </c>
      <c r="L112" s="83">
        <f t="shared" si="7"/>
        <v>220.43</v>
      </c>
      <c r="M112" s="83">
        <f t="shared" si="8"/>
        <v>65247.320000000516</v>
      </c>
      <c r="N112" s="83">
        <v>0</v>
      </c>
      <c r="O112" s="83">
        <f t="shared" si="10"/>
        <v>405.92</v>
      </c>
    </row>
    <row r="113" spans="1:15" ht="15" customHeight="1" x14ac:dyDescent="0.35">
      <c r="A113" s="7">
        <v>77</v>
      </c>
      <c r="B113" s="67">
        <f t="shared" si="0"/>
        <v>356.92</v>
      </c>
      <c r="C113" s="67">
        <f t="shared" si="1"/>
        <v>202.45</v>
      </c>
      <c r="D113" s="67">
        <f t="shared" si="2"/>
        <v>154.47000000000003</v>
      </c>
      <c r="E113" s="67">
        <f t="shared" si="3"/>
        <v>71296.770000000019</v>
      </c>
      <c r="F113" s="83">
        <v>0</v>
      </c>
      <c r="G113" s="83">
        <f t="shared" si="4"/>
        <v>356.92</v>
      </c>
      <c r="I113" s="85">
        <v>77</v>
      </c>
      <c r="J113" s="83">
        <f t="shared" si="5"/>
        <v>405.3</v>
      </c>
      <c r="K113" s="83">
        <f t="shared" si="6"/>
        <v>184.87</v>
      </c>
      <c r="L113" s="83">
        <f t="shared" si="7"/>
        <v>220.43</v>
      </c>
      <c r="M113" s="83">
        <f t="shared" si="8"/>
        <v>65026.890000000516</v>
      </c>
      <c r="N113" s="83">
        <v>0</v>
      </c>
      <c r="O113" s="83">
        <f t="shared" si="10"/>
        <v>405.3</v>
      </c>
    </row>
    <row r="114" spans="1:15" ht="15" customHeight="1" x14ac:dyDescent="0.35">
      <c r="A114" s="7">
        <v>78</v>
      </c>
      <c r="B114" s="67">
        <f t="shared" si="0"/>
        <v>356.92</v>
      </c>
      <c r="C114" s="67">
        <f t="shared" si="1"/>
        <v>202.01</v>
      </c>
      <c r="D114" s="67">
        <f t="shared" si="2"/>
        <v>154.91000000000003</v>
      </c>
      <c r="E114" s="67">
        <f t="shared" si="3"/>
        <v>71141.860000000015</v>
      </c>
      <c r="F114" s="83">
        <v>0</v>
      </c>
      <c r="G114" s="83">
        <f t="shared" si="4"/>
        <v>356.92</v>
      </c>
      <c r="I114" s="85">
        <v>78</v>
      </c>
      <c r="J114" s="83">
        <f t="shared" si="5"/>
        <v>404.67</v>
      </c>
      <c r="K114" s="83">
        <f t="shared" si="6"/>
        <v>184.24</v>
      </c>
      <c r="L114" s="83">
        <f t="shared" si="7"/>
        <v>220.43</v>
      </c>
      <c r="M114" s="83">
        <f t="shared" si="8"/>
        <v>64806.460000000516</v>
      </c>
      <c r="N114" s="83">
        <v>0</v>
      </c>
      <c r="O114" s="83">
        <f t="shared" si="10"/>
        <v>404.67</v>
      </c>
    </row>
    <row r="115" spans="1:15" ht="15" customHeight="1" x14ac:dyDescent="0.35">
      <c r="A115" s="7">
        <v>79</v>
      </c>
      <c r="B115" s="67">
        <f t="shared" si="0"/>
        <v>356.92</v>
      </c>
      <c r="C115" s="67">
        <f t="shared" si="1"/>
        <v>201.57</v>
      </c>
      <c r="D115" s="67">
        <f t="shared" si="2"/>
        <v>155.35000000000002</v>
      </c>
      <c r="E115" s="67">
        <f t="shared" si="3"/>
        <v>70986.510000000009</v>
      </c>
      <c r="F115" s="83">
        <v>0</v>
      </c>
      <c r="G115" s="83">
        <f t="shared" si="4"/>
        <v>356.92</v>
      </c>
      <c r="I115" s="85">
        <v>79</v>
      </c>
      <c r="J115" s="83">
        <f t="shared" si="5"/>
        <v>404.05</v>
      </c>
      <c r="K115" s="83">
        <f t="shared" si="6"/>
        <v>183.62</v>
      </c>
      <c r="L115" s="83">
        <f t="shared" si="7"/>
        <v>220.43</v>
      </c>
      <c r="M115" s="83">
        <f t="shared" si="8"/>
        <v>64586.030000000515</v>
      </c>
      <c r="N115" s="83">
        <v>0</v>
      </c>
      <c r="O115" s="83">
        <f t="shared" si="10"/>
        <v>404.05</v>
      </c>
    </row>
    <row r="116" spans="1:15" ht="15" customHeight="1" x14ac:dyDescent="0.35">
      <c r="A116" s="7">
        <v>80</v>
      </c>
      <c r="B116" s="67">
        <f t="shared" si="0"/>
        <v>356.92</v>
      </c>
      <c r="C116" s="67">
        <f t="shared" si="1"/>
        <v>201.13</v>
      </c>
      <c r="D116" s="67">
        <f t="shared" si="2"/>
        <v>155.79000000000002</v>
      </c>
      <c r="E116" s="67">
        <f t="shared" si="3"/>
        <v>70830.720000000016</v>
      </c>
      <c r="F116" s="83">
        <v>0</v>
      </c>
      <c r="G116" s="83">
        <f t="shared" si="4"/>
        <v>356.92</v>
      </c>
      <c r="I116" s="85">
        <v>80</v>
      </c>
      <c r="J116" s="83">
        <f t="shared" si="5"/>
        <v>403.42</v>
      </c>
      <c r="K116" s="83">
        <f t="shared" si="6"/>
        <v>182.99</v>
      </c>
      <c r="L116" s="83">
        <f t="shared" si="7"/>
        <v>220.43</v>
      </c>
      <c r="M116" s="83">
        <f t="shared" si="8"/>
        <v>64365.600000000515</v>
      </c>
      <c r="N116" s="83">
        <v>0</v>
      </c>
      <c r="O116" s="83">
        <f t="shared" si="10"/>
        <v>403.42</v>
      </c>
    </row>
    <row r="117" spans="1:15" ht="15" customHeight="1" x14ac:dyDescent="0.35">
      <c r="A117" s="7">
        <v>81</v>
      </c>
      <c r="B117" s="67">
        <f t="shared" si="0"/>
        <v>356.92</v>
      </c>
      <c r="C117" s="67">
        <f t="shared" si="1"/>
        <v>200.69</v>
      </c>
      <c r="D117" s="67">
        <f t="shared" si="2"/>
        <v>156.23000000000002</v>
      </c>
      <c r="E117" s="67">
        <f t="shared" si="3"/>
        <v>70674.49000000002</v>
      </c>
      <c r="F117" s="83">
        <v>0</v>
      </c>
      <c r="G117" s="83">
        <f t="shared" si="4"/>
        <v>356.92</v>
      </c>
      <c r="I117" s="85">
        <v>81</v>
      </c>
      <c r="J117" s="83">
        <f t="shared" si="5"/>
        <v>402.8</v>
      </c>
      <c r="K117" s="83">
        <f t="shared" si="6"/>
        <v>182.37</v>
      </c>
      <c r="L117" s="83">
        <f t="shared" si="7"/>
        <v>220.43</v>
      </c>
      <c r="M117" s="83">
        <f t="shared" si="8"/>
        <v>64145.170000000515</v>
      </c>
      <c r="N117" s="83">
        <v>0</v>
      </c>
      <c r="O117" s="83">
        <f t="shared" si="10"/>
        <v>402.8</v>
      </c>
    </row>
    <row r="118" spans="1:15" ht="15" customHeight="1" x14ac:dyDescent="0.35">
      <c r="A118" s="7">
        <v>82</v>
      </c>
      <c r="B118" s="67">
        <f t="shared" si="0"/>
        <v>356.92</v>
      </c>
      <c r="C118" s="67">
        <f t="shared" si="1"/>
        <v>200.24</v>
      </c>
      <c r="D118" s="67">
        <f t="shared" si="2"/>
        <v>156.68</v>
      </c>
      <c r="E118" s="67">
        <f t="shared" si="3"/>
        <v>70517.810000000027</v>
      </c>
      <c r="F118" s="83">
        <v>0</v>
      </c>
      <c r="G118" s="83">
        <f t="shared" si="4"/>
        <v>356.92</v>
      </c>
      <c r="I118" s="85">
        <v>82</v>
      </c>
      <c r="J118" s="83">
        <f t="shared" si="5"/>
        <v>402.17</v>
      </c>
      <c r="K118" s="83">
        <f t="shared" si="6"/>
        <v>181.74</v>
      </c>
      <c r="L118" s="83">
        <f t="shared" si="7"/>
        <v>220.43</v>
      </c>
      <c r="M118" s="83">
        <f t="shared" si="8"/>
        <v>63924.740000000515</v>
      </c>
      <c r="N118" s="83">
        <v>0</v>
      </c>
      <c r="O118" s="83">
        <f t="shared" si="10"/>
        <v>402.17</v>
      </c>
    </row>
    <row r="119" spans="1:15" ht="15" customHeight="1" x14ac:dyDescent="0.35">
      <c r="A119" s="7">
        <v>83</v>
      </c>
      <c r="B119" s="67">
        <f t="shared" si="0"/>
        <v>356.92</v>
      </c>
      <c r="C119" s="67">
        <f t="shared" si="1"/>
        <v>199.8</v>
      </c>
      <c r="D119" s="67">
        <f t="shared" si="2"/>
        <v>157.12</v>
      </c>
      <c r="E119" s="67">
        <f t="shared" si="3"/>
        <v>70360.690000000031</v>
      </c>
      <c r="F119" s="83">
        <v>0</v>
      </c>
      <c r="G119" s="83">
        <f t="shared" si="4"/>
        <v>356.92</v>
      </c>
      <c r="I119" s="85">
        <v>83</v>
      </c>
      <c r="J119" s="83">
        <f t="shared" si="5"/>
        <v>401.55</v>
      </c>
      <c r="K119" s="83">
        <f t="shared" si="6"/>
        <v>181.12</v>
      </c>
      <c r="L119" s="83">
        <f t="shared" si="7"/>
        <v>220.43</v>
      </c>
      <c r="M119" s="83">
        <f t="shared" si="8"/>
        <v>63704.310000000514</v>
      </c>
      <c r="N119" s="83">
        <v>0</v>
      </c>
      <c r="O119" s="83">
        <f t="shared" si="10"/>
        <v>401.55</v>
      </c>
    </row>
    <row r="120" spans="1:15" ht="15" customHeight="1" x14ac:dyDescent="0.35">
      <c r="A120" s="7">
        <v>84</v>
      </c>
      <c r="B120" s="67">
        <f t="shared" si="0"/>
        <v>356.92</v>
      </c>
      <c r="C120" s="67">
        <f t="shared" si="1"/>
        <v>199.36</v>
      </c>
      <c r="D120" s="67">
        <f t="shared" si="2"/>
        <v>157.56</v>
      </c>
      <c r="E120" s="67">
        <f t="shared" si="3"/>
        <v>70203.130000000034</v>
      </c>
      <c r="F120" s="83">
        <v>0</v>
      </c>
      <c r="G120" s="83">
        <f t="shared" si="4"/>
        <v>356.92</v>
      </c>
      <c r="I120" s="85">
        <v>84</v>
      </c>
      <c r="J120" s="83">
        <f t="shared" si="5"/>
        <v>400.93</v>
      </c>
      <c r="K120" s="83">
        <f t="shared" si="6"/>
        <v>180.5</v>
      </c>
      <c r="L120" s="83">
        <f t="shared" si="7"/>
        <v>220.43</v>
      </c>
      <c r="M120" s="83">
        <f t="shared" si="8"/>
        <v>63483.880000000514</v>
      </c>
      <c r="N120" s="83">
        <v>0</v>
      </c>
      <c r="O120" s="83">
        <f t="shared" si="10"/>
        <v>400.93</v>
      </c>
    </row>
    <row r="121" spans="1:15" ht="15" customHeight="1" x14ac:dyDescent="0.35">
      <c r="A121" s="7">
        <v>85</v>
      </c>
      <c r="B121" s="67">
        <f t="shared" si="0"/>
        <v>356.92</v>
      </c>
      <c r="C121" s="67">
        <f t="shared" si="1"/>
        <v>198.91</v>
      </c>
      <c r="D121" s="67">
        <f t="shared" si="2"/>
        <v>158.01000000000002</v>
      </c>
      <c r="E121" s="67">
        <f t="shared" si="3"/>
        <v>70045.120000000039</v>
      </c>
      <c r="F121" s="83">
        <v>0</v>
      </c>
      <c r="G121" s="83">
        <f t="shared" si="4"/>
        <v>356.92</v>
      </c>
      <c r="I121" s="85">
        <v>85</v>
      </c>
      <c r="J121" s="83">
        <f t="shared" si="5"/>
        <v>400.3</v>
      </c>
      <c r="K121" s="83">
        <f t="shared" si="6"/>
        <v>179.87</v>
      </c>
      <c r="L121" s="83">
        <f t="shared" si="7"/>
        <v>220.43</v>
      </c>
      <c r="M121" s="83">
        <f t="shared" si="8"/>
        <v>63263.450000000514</v>
      </c>
      <c r="N121" s="83">
        <v>0</v>
      </c>
      <c r="O121" s="83">
        <f t="shared" si="10"/>
        <v>400.3</v>
      </c>
    </row>
    <row r="122" spans="1:15" ht="15" customHeight="1" x14ac:dyDescent="0.35">
      <c r="A122" s="7">
        <v>86</v>
      </c>
      <c r="B122" s="67">
        <f t="shared" si="0"/>
        <v>356.92</v>
      </c>
      <c r="C122" s="67">
        <f t="shared" si="1"/>
        <v>198.46</v>
      </c>
      <c r="D122" s="67">
        <f t="shared" si="2"/>
        <v>158.46</v>
      </c>
      <c r="E122" s="67">
        <f t="shared" si="3"/>
        <v>69886.660000000033</v>
      </c>
      <c r="F122" s="83">
        <v>0</v>
      </c>
      <c r="G122" s="83">
        <f t="shared" si="4"/>
        <v>356.92</v>
      </c>
      <c r="I122" s="85">
        <v>86</v>
      </c>
      <c r="J122" s="83">
        <f t="shared" si="5"/>
        <v>399.68</v>
      </c>
      <c r="K122" s="83">
        <f t="shared" si="6"/>
        <v>179.25</v>
      </c>
      <c r="L122" s="83">
        <f t="shared" si="7"/>
        <v>220.43</v>
      </c>
      <c r="M122" s="83">
        <f t="shared" si="8"/>
        <v>63043.020000000513</v>
      </c>
      <c r="N122" s="83">
        <v>0</v>
      </c>
      <c r="O122" s="83">
        <f t="shared" si="10"/>
        <v>399.68</v>
      </c>
    </row>
    <row r="123" spans="1:15" ht="15" customHeight="1" x14ac:dyDescent="0.35">
      <c r="A123" s="7">
        <v>87</v>
      </c>
      <c r="B123" s="67">
        <f t="shared" si="0"/>
        <v>356.92</v>
      </c>
      <c r="C123" s="67">
        <f t="shared" si="1"/>
        <v>198.01</v>
      </c>
      <c r="D123" s="67">
        <f t="shared" si="2"/>
        <v>158.91000000000003</v>
      </c>
      <c r="E123" s="67">
        <f t="shared" si="3"/>
        <v>69727.750000000029</v>
      </c>
      <c r="F123" s="83">
        <v>0</v>
      </c>
      <c r="G123" s="83">
        <f t="shared" si="4"/>
        <v>356.92</v>
      </c>
      <c r="I123" s="85">
        <v>87</v>
      </c>
      <c r="J123" s="83">
        <f t="shared" si="5"/>
        <v>399.05</v>
      </c>
      <c r="K123" s="83">
        <f t="shared" si="6"/>
        <v>178.62</v>
      </c>
      <c r="L123" s="83">
        <f t="shared" si="7"/>
        <v>220.43</v>
      </c>
      <c r="M123" s="83">
        <f t="shared" si="8"/>
        <v>62822.590000000513</v>
      </c>
      <c r="N123" s="83">
        <v>0</v>
      </c>
      <c r="O123" s="83">
        <f t="shared" si="10"/>
        <v>399.05</v>
      </c>
    </row>
    <row r="124" spans="1:15" ht="15" customHeight="1" x14ac:dyDescent="0.35">
      <c r="A124" s="7">
        <v>88</v>
      </c>
      <c r="B124" s="67">
        <f t="shared" si="0"/>
        <v>356.92</v>
      </c>
      <c r="C124" s="67">
        <f t="shared" si="1"/>
        <v>197.56</v>
      </c>
      <c r="D124" s="67">
        <f t="shared" si="2"/>
        <v>159.36000000000001</v>
      </c>
      <c r="E124" s="67">
        <f t="shared" si="3"/>
        <v>69568.390000000029</v>
      </c>
      <c r="F124" s="83">
        <v>0</v>
      </c>
      <c r="G124" s="83">
        <f t="shared" si="4"/>
        <v>356.92</v>
      </c>
      <c r="I124" s="85">
        <v>88</v>
      </c>
      <c r="J124" s="83">
        <f t="shared" si="5"/>
        <v>398.43</v>
      </c>
      <c r="K124" s="83">
        <f t="shared" si="6"/>
        <v>178</v>
      </c>
      <c r="L124" s="83">
        <f t="shared" si="7"/>
        <v>220.43</v>
      </c>
      <c r="M124" s="83">
        <f t="shared" si="8"/>
        <v>62602.160000000513</v>
      </c>
      <c r="N124" s="83">
        <v>0</v>
      </c>
      <c r="O124" s="83">
        <f t="shared" si="10"/>
        <v>398.43</v>
      </c>
    </row>
    <row r="125" spans="1:15" ht="15" customHeight="1" x14ac:dyDescent="0.35">
      <c r="A125" s="7">
        <v>89</v>
      </c>
      <c r="B125" s="67">
        <f t="shared" si="0"/>
        <v>356.92</v>
      </c>
      <c r="C125" s="67">
        <f t="shared" si="1"/>
        <v>197.11</v>
      </c>
      <c r="D125" s="67">
        <f t="shared" si="2"/>
        <v>159.81</v>
      </c>
      <c r="E125" s="67">
        <f t="shared" si="3"/>
        <v>69408.580000000031</v>
      </c>
      <c r="F125" s="83">
        <v>0</v>
      </c>
      <c r="G125" s="83">
        <f t="shared" si="4"/>
        <v>356.92</v>
      </c>
      <c r="I125" s="85">
        <v>89</v>
      </c>
      <c r="J125" s="83">
        <f t="shared" si="5"/>
        <v>397.8</v>
      </c>
      <c r="K125" s="83">
        <f t="shared" si="6"/>
        <v>177.37</v>
      </c>
      <c r="L125" s="83">
        <f t="shared" si="7"/>
        <v>220.43</v>
      </c>
      <c r="M125" s="83">
        <f t="shared" si="8"/>
        <v>62381.730000000513</v>
      </c>
      <c r="N125" s="83">
        <v>0</v>
      </c>
      <c r="O125" s="83">
        <f t="shared" si="10"/>
        <v>397.8</v>
      </c>
    </row>
    <row r="126" spans="1:15" ht="15" customHeight="1" x14ac:dyDescent="0.35">
      <c r="A126" s="7">
        <v>90</v>
      </c>
      <c r="B126" s="67">
        <f t="shared" si="0"/>
        <v>356.92</v>
      </c>
      <c r="C126" s="67">
        <f t="shared" si="1"/>
        <v>196.66</v>
      </c>
      <c r="D126" s="67">
        <f t="shared" si="2"/>
        <v>160.26000000000002</v>
      </c>
      <c r="E126" s="67">
        <f t="shared" si="3"/>
        <v>69248.320000000036</v>
      </c>
      <c r="F126" s="83">
        <v>0</v>
      </c>
      <c r="G126" s="83">
        <f t="shared" si="4"/>
        <v>356.92</v>
      </c>
      <c r="I126" s="85">
        <v>90</v>
      </c>
      <c r="J126" s="83">
        <f t="shared" si="5"/>
        <v>397.18</v>
      </c>
      <c r="K126" s="83">
        <f t="shared" si="6"/>
        <v>176.75</v>
      </c>
      <c r="L126" s="83">
        <f t="shared" si="7"/>
        <v>220.43</v>
      </c>
      <c r="M126" s="83">
        <f t="shared" si="8"/>
        <v>62161.300000000512</v>
      </c>
      <c r="N126" s="83">
        <v>0</v>
      </c>
      <c r="O126" s="83">
        <f t="shared" si="10"/>
        <v>397.18</v>
      </c>
    </row>
    <row r="127" spans="1:15" ht="15" customHeight="1" x14ac:dyDescent="0.35">
      <c r="A127" s="7">
        <v>91</v>
      </c>
      <c r="B127" s="67">
        <f t="shared" si="0"/>
        <v>356.92</v>
      </c>
      <c r="C127" s="67">
        <f t="shared" si="1"/>
        <v>196.2</v>
      </c>
      <c r="D127" s="67">
        <f t="shared" si="2"/>
        <v>160.72000000000003</v>
      </c>
      <c r="E127" s="67">
        <f t="shared" si="3"/>
        <v>69087.600000000035</v>
      </c>
      <c r="F127" s="83">
        <v>0</v>
      </c>
      <c r="G127" s="83">
        <f t="shared" si="4"/>
        <v>356.92</v>
      </c>
      <c r="I127" s="85">
        <v>91</v>
      </c>
      <c r="J127" s="83">
        <f t="shared" si="5"/>
        <v>396.55</v>
      </c>
      <c r="K127" s="83">
        <f t="shared" si="6"/>
        <v>176.12</v>
      </c>
      <c r="L127" s="83">
        <f t="shared" si="7"/>
        <v>220.43</v>
      </c>
      <c r="M127" s="83">
        <f t="shared" si="8"/>
        <v>61940.870000000512</v>
      </c>
      <c r="N127" s="83">
        <v>0</v>
      </c>
      <c r="O127" s="83">
        <f t="shared" si="10"/>
        <v>396.55</v>
      </c>
    </row>
    <row r="128" spans="1:15" ht="15" customHeight="1" x14ac:dyDescent="0.35">
      <c r="A128" s="7">
        <v>92</v>
      </c>
      <c r="B128" s="67">
        <f t="shared" si="0"/>
        <v>356.92</v>
      </c>
      <c r="C128" s="67">
        <f t="shared" si="1"/>
        <v>195.75</v>
      </c>
      <c r="D128" s="67">
        <f t="shared" si="2"/>
        <v>161.17000000000002</v>
      </c>
      <c r="E128" s="67">
        <f t="shared" si="3"/>
        <v>68926.430000000037</v>
      </c>
      <c r="F128" s="83">
        <v>0</v>
      </c>
      <c r="G128" s="83">
        <f t="shared" si="4"/>
        <v>356.92</v>
      </c>
      <c r="I128" s="85">
        <v>92</v>
      </c>
      <c r="J128" s="83">
        <f t="shared" si="5"/>
        <v>395.93</v>
      </c>
      <c r="K128" s="83">
        <f t="shared" si="6"/>
        <v>175.5</v>
      </c>
      <c r="L128" s="83">
        <f t="shared" si="7"/>
        <v>220.43</v>
      </c>
      <c r="M128" s="83">
        <f t="shared" si="8"/>
        <v>61720.440000000512</v>
      </c>
      <c r="N128" s="83">
        <v>0</v>
      </c>
      <c r="O128" s="83">
        <f t="shared" si="10"/>
        <v>395.93</v>
      </c>
    </row>
    <row r="129" spans="1:15" ht="15" customHeight="1" x14ac:dyDescent="0.35">
      <c r="A129" s="7">
        <v>93</v>
      </c>
      <c r="B129" s="67">
        <f t="shared" si="0"/>
        <v>356.92</v>
      </c>
      <c r="C129" s="67">
        <f t="shared" si="1"/>
        <v>195.29</v>
      </c>
      <c r="D129" s="67">
        <f t="shared" si="2"/>
        <v>161.63000000000002</v>
      </c>
      <c r="E129" s="67">
        <f t="shared" si="3"/>
        <v>68764.800000000032</v>
      </c>
      <c r="F129" s="83">
        <v>0</v>
      </c>
      <c r="G129" s="83">
        <f t="shared" si="4"/>
        <v>356.92</v>
      </c>
      <c r="I129" s="85">
        <v>93</v>
      </c>
      <c r="J129" s="83">
        <f t="shared" si="5"/>
        <v>395.3</v>
      </c>
      <c r="K129" s="83">
        <f t="shared" si="6"/>
        <v>174.87</v>
      </c>
      <c r="L129" s="83">
        <f t="shared" si="7"/>
        <v>220.43</v>
      </c>
      <c r="M129" s="83">
        <f t="shared" si="8"/>
        <v>61500.010000000511</v>
      </c>
      <c r="N129" s="83">
        <v>0</v>
      </c>
      <c r="O129" s="83">
        <f t="shared" si="10"/>
        <v>395.3</v>
      </c>
    </row>
    <row r="130" spans="1:15" ht="15" customHeight="1" x14ac:dyDescent="0.35">
      <c r="A130" s="7">
        <v>94</v>
      </c>
      <c r="B130" s="67">
        <f t="shared" si="0"/>
        <v>356.92</v>
      </c>
      <c r="C130" s="67">
        <f t="shared" si="1"/>
        <v>194.83</v>
      </c>
      <c r="D130" s="67">
        <f t="shared" si="2"/>
        <v>162.09</v>
      </c>
      <c r="E130" s="67">
        <f t="shared" si="3"/>
        <v>68602.710000000036</v>
      </c>
      <c r="F130" s="83">
        <v>0</v>
      </c>
      <c r="G130" s="83">
        <f t="shared" si="4"/>
        <v>356.92</v>
      </c>
      <c r="I130" s="85">
        <v>94</v>
      </c>
      <c r="J130" s="83">
        <f t="shared" si="5"/>
        <v>394.68</v>
      </c>
      <c r="K130" s="83">
        <f t="shared" si="6"/>
        <v>174.25</v>
      </c>
      <c r="L130" s="83">
        <f t="shared" si="7"/>
        <v>220.43</v>
      </c>
      <c r="M130" s="83">
        <f t="shared" si="8"/>
        <v>61279.580000000511</v>
      </c>
      <c r="N130" s="83">
        <v>0</v>
      </c>
      <c r="O130" s="83">
        <f t="shared" si="10"/>
        <v>394.68</v>
      </c>
    </row>
    <row r="131" spans="1:15" ht="15" customHeight="1" x14ac:dyDescent="0.35">
      <c r="A131" s="7">
        <v>95</v>
      </c>
      <c r="B131" s="67">
        <f t="shared" si="0"/>
        <v>356.92</v>
      </c>
      <c r="C131" s="67">
        <f t="shared" si="1"/>
        <v>194.37</v>
      </c>
      <c r="D131" s="67">
        <f t="shared" si="2"/>
        <v>162.55000000000001</v>
      </c>
      <c r="E131" s="67">
        <f t="shared" si="3"/>
        <v>68440.160000000033</v>
      </c>
      <c r="F131" s="83">
        <v>0</v>
      </c>
      <c r="G131" s="83">
        <f t="shared" si="4"/>
        <v>356.92</v>
      </c>
      <c r="I131" s="85">
        <v>95</v>
      </c>
      <c r="J131" s="83">
        <f t="shared" si="5"/>
        <v>394.06</v>
      </c>
      <c r="K131" s="83">
        <f t="shared" si="6"/>
        <v>173.63</v>
      </c>
      <c r="L131" s="83">
        <f t="shared" si="7"/>
        <v>220.43</v>
      </c>
      <c r="M131" s="83">
        <f t="shared" si="8"/>
        <v>61059.150000000511</v>
      </c>
      <c r="N131" s="83">
        <v>0</v>
      </c>
      <c r="O131" s="83">
        <f t="shared" si="10"/>
        <v>394.06</v>
      </c>
    </row>
    <row r="132" spans="1:15" ht="15" customHeight="1" x14ac:dyDescent="0.35">
      <c r="A132" s="7">
        <v>96</v>
      </c>
      <c r="B132" s="67">
        <f t="shared" si="0"/>
        <v>356.92</v>
      </c>
      <c r="C132" s="67">
        <f t="shared" si="1"/>
        <v>193.91</v>
      </c>
      <c r="D132" s="67">
        <f t="shared" si="2"/>
        <v>163.01000000000002</v>
      </c>
      <c r="E132" s="67">
        <f t="shared" si="3"/>
        <v>68277.150000000038</v>
      </c>
      <c r="F132" s="83">
        <v>0</v>
      </c>
      <c r="G132" s="83">
        <f t="shared" si="4"/>
        <v>356.92</v>
      </c>
      <c r="I132" s="85">
        <v>96</v>
      </c>
      <c r="J132" s="83">
        <f t="shared" si="5"/>
        <v>393.43</v>
      </c>
      <c r="K132" s="83">
        <f t="shared" si="6"/>
        <v>173</v>
      </c>
      <c r="L132" s="83">
        <f t="shared" si="7"/>
        <v>220.43</v>
      </c>
      <c r="M132" s="83">
        <f t="shared" si="8"/>
        <v>60838.72000000051</v>
      </c>
      <c r="N132" s="83">
        <v>0</v>
      </c>
      <c r="O132" s="83">
        <f t="shared" si="10"/>
        <v>393.43</v>
      </c>
    </row>
    <row r="133" spans="1:15" ht="15" customHeight="1" x14ac:dyDescent="0.35">
      <c r="A133" s="7">
        <v>97</v>
      </c>
      <c r="B133" s="67">
        <f t="shared" si="0"/>
        <v>356.92</v>
      </c>
      <c r="C133" s="67">
        <f t="shared" si="1"/>
        <v>193.45</v>
      </c>
      <c r="D133" s="67">
        <f t="shared" si="2"/>
        <v>163.47000000000003</v>
      </c>
      <c r="E133" s="67">
        <f t="shared" si="3"/>
        <v>68113.680000000037</v>
      </c>
      <c r="F133" s="83">
        <v>0</v>
      </c>
      <c r="G133" s="83">
        <f t="shared" si="4"/>
        <v>356.92</v>
      </c>
      <c r="I133" s="85">
        <v>97</v>
      </c>
      <c r="J133" s="83">
        <f t="shared" si="5"/>
        <v>392.81</v>
      </c>
      <c r="K133" s="83">
        <f t="shared" si="6"/>
        <v>172.38</v>
      </c>
      <c r="L133" s="83">
        <f t="shared" si="7"/>
        <v>220.43</v>
      </c>
      <c r="M133" s="83">
        <f t="shared" si="8"/>
        <v>60618.29000000051</v>
      </c>
      <c r="N133" s="83">
        <v>0</v>
      </c>
      <c r="O133" s="83">
        <f t="shared" si="10"/>
        <v>392.81</v>
      </c>
    </row>
    <row r="134" spans="1:15" ht="15" customHeight="1" x14ac:dyDescent="0.35">
      <c r="A134" s="7">
        <v>98</v>
      </c>
      <c r="B134" s="67">
        <f t="shared" si="0"/>
        <v>356.92</v>
      </c>
      <c r="C134" s="67">
        <f t="shared" si="1"/>
        <v>192.99</v>
      </c>
      <c r="D134" s="67">
        <f t="shared" si="2"/>
        <v>163.93</v>
      </c>
      <c r="E134" s="67">
        <f t="shared" si="3"/>
        <v>67949.750000000044</v>
      </c>
      <c r="F134" s="83">
        <v>0</v>
      </c>
      <c r="G134" s="83">
        <f t="shared" si="4"/>
        <v>356.92</v>
      </c>
      <c r="I134" s="85">
        <v>98</v>
      </c>
      <c r="J134" s="83">
        <f t="shared" si="5"/>
        <v>392.18</v>
      </c>
      <c r="K134" s="83">
        <f t="shared" si="6"/>
        <v>171.75</v>
      </c>
      <c r="L134" s="83">
        <f t="shared" si="7"/>
        <v>220.43</v>
      </c>
      <c r="M134" s="83">
        <f t="shared" si="8"/>
        <v>60397.86000000051</v>
      </c>
      <c r="N134" s="83">
        <v>0</v>
      </c>
      <c r="O134" s="83">
        <f t="shared" si="10"/>
        <v>392.18</v>
      </c>
    </row>
    <row r="135" spans="1:15" ht="15" customHeight="1" x14ac:dyDescent="0.35">
      <c r="A135" s="7">
        <v>99</v>
      </c>
      <c r="B135" s="67">
        <f t="shared" si="0"/>
        <v>356.92</v>
      </c>
      <c r="C135" s="67">
        <f t="shared" si="1"/>
        <v>192.52</v>
      </c>
      <c r="D135" s="67">
        <f t="shared" si="2"/>
        <v>164.4</v>
      </c>
      <c r="E135" s="67">
        <f t="shared" si="3"/>
        <v>67785.350000000049</v>
      </c>
      <c r="F135" s="83">
        <v>0</v>
      </c>
      <c r="G135" s="83">
        <f t="shared" si="4"/>
        <v>356.92</v>
      </c>
      <c r="I135" s="85">
        <v>99</v>
      </c>
      <c r="J135" s="83">
        <f t="shared" si="5"/>
        <v>391.56</v>
      </c>
      <c r="K135" s="83">
        <f t="shared" si="6"/>
        <v>171.13</v>
      </c>
      <c r="L135" s="83">
        <f t="shared" si="7"/>
        <v>220.43</v>
      </c>
      <c r="M135" s="83">
        <f t="shared" si="8"/>
        <v>60177.43000000051</v>
      </c>
      <c r="N135" s="83">
        <v>0</v>
      </c>
      <c r="O135" s="83">
        <f t="shared" si="10"/>
        <v>391.56</v>
      </c>
    </row>
    <row r="136" spans="1:15" ht="15" customHeight="1" x14ac:dyDescent="0.35">
      <c r="A136" s="7">
        <v>100</v>
      </c>
      <c r="B136" s="67">
        <f t="shared" si="0"/>
        <v>356.92</v>
      </c>
      <c r="C136" s="67">
        <f t="shared" si="1"/>
        <v>192.06</v>
      </c>
      <c r="D136" s="67">
        <f t="shared" si="2"/>
        <v>164.86</v>
      </c>
      <c r="E136" s="67">
        <f t="shared" si="3"/>
        <v>67620.490000000049</v>
      </c>
      <c r="F136" s="83">
        <v>0</v>
      </c>
      <c r="G136" s="83">
        <f t="shared" si="4"/>
        <v>356.92</v>
      </c>
      <c r="I136" s="85">
        <v>100</v>
      </c>
      <c r="J136" s="83">
        <f t="shared" si="5"/>
        <v>390.93</v>
      </c>
      <c r="K136" s="83">
        <f t="shared" si="6"/>
        <v>170.5</v>
      </c>
      <c r="L136" s="83">
        <f t="shared" si="7"/>
        <v>220.43</v>
      </c>
      <c r="M136" s="83">
        <f t="shared" si="8"/>
        <v>59957.000000000509</v>
      </c>
      <c r="N136" s="83">
        <v>0</v>
      </c>
      <c r="O136" s="83">
        <f t="shared" si="10"/>
        <v>390.93</v>
      </c>
    </row>
    <row r="137" spans="1:15" ht="15" customHeight="1" x14ac:dyDescent="0.35">
      <c r="A137" s="7">
        <v>101</v>
      </c>
      <c r="B137" s="67">
        <f t="shared" si="0"/>
        <v>356.92</v>
      </c>
      <c r="C137" s="67">
        <f t="shared" si="1"/>
        <v>191.59</v>
      </c>
      <c r="D137" s="67">
        <f t="shared" si="2"/>
        <v>165.33</v>
      </c>
      <c r="E137" s="67">
        <f t="shared" si="3"/>
        <v>67455.160000000047</v>
      </c>
      <c r="F137" s="83">
        <v>0</v>
      </c>
      <c r="G137" s="83">
        <f t="shared" si="4"/>
        <v>356.92</v>
      </c>
      <c r="I137" s="85">
        <v>101</v>
      </c>
      <c r="J137" s="83">
        <f t="shared" si="5"/>
        <v>390.31</v>
      </c>
      <c r="K137" s="83">
        <f t="shared" si="6"/>
        <v>169.88</v>
      </c>
      <c r="L137" s="83">
        <f t="shared" si="7"/>
        <v>220.43</v>
      </c>
      <c r="M137" s="83">
        <f t="shared" si="8"/>
        <v>59736.570000000509</v>
      </c>
      <c r="N137" s="83">
        <v>0</v>
      </c>
      <c r="O137" s="83">
        <f t="shared" si="10"/>
        <v>390.31</v>
      </c>
    </row>
    <row r="138" spans="1:15" ht="15" customHeight="1" x14ac:dyDescent="0.35">
      <c r="A138" s="7">
        <v>102</v>
      </c>
      <c r="B138" s="67">
        <f t="shared" si="0"/>
        <v>356.92</v>
      </c>
      <c r="C138" s="67">
        <f t="shared" si="1"/>
        <v>191.12</v>
      </c>
      <c r="D138" s="67">
        <f t="shared" si="2"/>
        <v>165.8</v>
      </c>
      <c r="E138" s="67">
        <f t="shared" si="3"/>
        <v>67289.360000000044</v>
      </c>
      <c r="F138" s="83">
        <v>0</v>
      </c>
      <c r="G138" s="83">
        <f t="shared" si="4"/>
        <v>356.92</v>
      </c>
      <c r="I138" s="85">
        <v>102</v>
      </c>
      <c r="J138" s="83">
        <f t="shared" si="5"/>
        <v>389.68</v>
      </c>
      <c r="K138" s="83">
        <f t="shared" si="6"/>
        <v>169.25</v>
      </c>
      <c r="L138" s="83">
        <f t="shared" si="7"/>
        <v>220.43</v>
      </c>
      <c r="M138" s="83">
        <f t="shared" si="8"/>
        <v>59516.140000000509</v>
      </c>
      <c r="N138" s="83">
        <v>0</v>
      </c>
      <c r="O138" s="83">
        <f t="shared" si="10"/>
        <v>389.68</v>
      </c>
    </row>
    <row r="139" spans="1:15" ht="15" customHeight="1" x14ac:dyDescent="0.35">
      <c r="A139" s="7">
        <v>103</v>
      </c>
      <c r="B139" s="67">
        <f t="shared" si="0"/>
        <v>356.92</v>
      </c>
      <c r="C139" s="67">
        <f t="shared" si="1"/>
        <v>190.65</v>
      </c>
      <c r="D139" s="67">
        <f t="shared" si="2"/>
        <v>166.27</v>
      </c>
      <c r="E139" s="67">
        <f t="shared" si="3"/>
        <v>67123.09000000004</v>
      </c>
      <c r="F139" s="83">
        <v>0</v>
      </c>
      <c r="G139" s="83">
        <f t="shared" si="4"/>
        <v>356.92</v>
      </c>
      <c r="I139" s="85">
        <v>103</v>
      </c>
      <c r="J139" s="83">
        <f t="shared" si="5"/>
        <v>389.06</v>
      </c>
      <c r="K139" s="83">
        <f t="shared" si="6"/>
        <v>168.63</v>
      </c>
      <c r="L139" s="83">
        <f t="shared" si="7"/>
        <v>220.43</v>
      </c>
      <c r="M139" s="83">
        <f t="shared" si="8"/>
        <v>59295.710000000508</v>
      </c>
      <c r="N139" s="83">
        <v>0</v>
      </c>
      <c r="O139" s="83">
        <f t="shared" si="10"/>
        <v>389.06</v>
      </c>
    </row>
    <row r="140" spans="1:15" ht="15" customHeight="1" x14ac:dyDescent="0.35">
      <c r="A140" s="7">
        <v>104</v>
      </c>
      <c r="B140" s="67">
        <f t="shared" si="0"/>
        <v>356.92</v>
      </c>
      <c r="C140" s="67">
        <f t="shared" si="1"/>
        <v>190.18</v>
      </c>
      <c r="D140" s="67">
        <f t="shared" si="2"/>
        <v>166.74</v>
      </c>
      <c r="E140" s="67">
        <f t="shared" si="3"/>
        <v>66956.350000000035</v>
      </c>
      <c r="F140" s="83">
        <v>0</v>
      </c>
      <c r="G140" s="83">
        <f t="shared" si="4"/>
        <v>356.92</v>
      </c>
      <c r="I140" s="85">
        <v>104</v>
      </c>
      <c r="J140" s="83">
        <f t="shared" si="5"/>
        <v>388.43</v>
      </c>
      <c r="K140" s="83">
        <f t="shared" si="6"/>
        <v>168</v>
      </c>
      <c r="L140" s="83">
        <f t="shared" si="7"/>
        <v>220.43</v>
      </c>
      <c r="M140" s="83">
        <f t="shared" si="8"/>
        <v>59075.280000000508</v>
      </c>
      <c r="N140" s="83">
        <v>0</v>
      </c>
      <c r="O140" s="83">
        <f t="shared" si="10"/>
        <v>388.43</v>
      </c>
    </row>
    <row r="141" spans="1:15" ht="15" customHeight="1" x14ac:dyDescent="0.35">
      <c r="A141" s="7">
        <v>105</v>
      </c>
      <c r="B141" s="67">
        <f t="shared" si="0"/>
        <v>356.92</v>
      </c>
      <c r="C141" s="67">
        <f t="shared" si="1"/>
        <v>189.71</v>
      </c>
      <c r="D141" s="67">
        <f t="shared" si="2"/>
        <v>167.21</v>
      </c>
      <c r="E141" s="67">
        <f t="shared" si="3"/>
        <v>66789.140000000029</v>
      </c>
      <c r="F141" s="83">
        <v>0</v>
      </c>
      <c r="G141" s="83">
        <f t="shared" si="4"/>
        <v>356.92</v>
      </c>
      <c r="I141" s="85">
        <v>105</v>
      </c>
      <c r="J141" s="83">
        <f t="shared" si="5"/>
        <v>387.81</v>
      </c>
      <c r="K141" s="83">
        <f t="shared" si="6"/>
        <v>167.38</v>
      </c>
      <c r="L141" s="83">
        <f t="shared" si="7"/>
        <v>220.43</v>
      </c>
      <c r="M141" s="83">
        <f t="shared" si="8"/>
        <v>58854.850000000508</v>
      </c>
      <c r="N141" s="83">
        <v>0</v>
      </c>
      <c r="O141" s="83">
        <f t="shared" si="10"/>
        <v>387.81</v>
      </c>
    </row>
    <row r="142" spans="1:15" ht="15" customHeight="1" x14ac:dyDescent="0.35">
      <c r="A142" s="7">
        <v>106</v>
      </c>
      <c r="B142" s="67">
        <f t="shared" si="0"/>
        <v>356.92</v>
      </c>
      <c r="C142" s="67">
        <f t="shared" si="1"/>
        <v>189.24</v>
      </c>
      <c r="D142" s="67">
        <f t="shared" si="2"/>
        <v>167.68</v>
      </c>
      <c r="E142" s="67">
        <f t="shared" si="3"/>
        <v>66621.460000000036</v>
      </c>
      <c r="F142" s="83">
        <v>0</v>
      </c>
      <c r="G142" s="83">
        <f t="shared" si="4"/>
        <v>356.92</v>
      </c>
      <c r="I142" s="85">
        <v>106</v>
      </c>
      <c r="J142" s="83">
        <f t="shared" si="5"/>
        <v>387.19</v>
      </c>
      <c r="K142" s="83">
        <f t="shared" si="6"/>
        <v>166.76</v>
      </c>
      <c r="L142" s="83">
        <f t="shared" si="7"/>
        <v>220.43</v>
      </c>
      <c r="M142" s="83">
        <f t="shared" si="8"/>
        <v>58634.420000000508</v>
      </c>
      <c r="N142" s="83">
        <v>0</v>
      </c>
      <c r="O142" s="83">
        <f t="shared" si="10"/>
        <v>387.19</v>
      </c>
    </row>
    <row r="143" spans="1:15" ht="15" customHeight="1" x14ac:dyDescent="0.35">
      <c r="A143" s="7">
        <v>107</v>
      </c>
      <c r="B143" s="67">
        <f t="shared" si="0"/>
        <v>356.92</v>
      </c>
      <c r="C143" s="67">
        <f t="shared" si="1"/>
        <v>188.76</v>
      </c>
      <c r="D143" s="67">
        <f t="shared" si="2"/>
        <v>168.16000000000003</v>
      </c>
      <c r="E143" s="67">
        <f t="shared" si="3"/>
        <v>66453.300000000032</v>
      </c>
      <c r="F143" s="83">
        <v>0</v>
      </c>
      <c r="G143" s="83">
        <f t="shared" si="4"/>
        <v>356.92</v>
      </c>
      <c r="I143" s="85">
        <v>107</v>
      </c>
      <c r="J143" s="83">
        <f t="shared" si="5"/>
        <v>386.56</v>
      </c>
      <c r="K143" s="83">
        <f t="shared" si="6"/>
        <v>166.13</v>
      </c>
      <c r="L143" s="83">
        <f t="shared" si="7"/>
        <v>220.43</v>
      </c>
      <c r="M143" s="83">
        <f t="shared" si="8"/>
        <v>58413.990000000507</v>
      </c>
      <c r="N143" s="83">
        <v>0</v>
      </c>
      <c r="O143" s="83">
        <f t="shared" si="10"/>
        <v>386.56</v>
      </c>
    </row>
    <row r="144" spans="1:15" ht="15" customHeight="1" x14ac:dyDescent="0.35">
      <c r="A144" s="7">
        <v>108</v>
      </c>
      <c r="B144" s="67">
        <f t="shared" si="0"/>
        <v>356.92</v>
      </c>
      <c r="C144" s="67">
        <f t="shared" si="1"/>
        <v>188.28</v>
      </c>
      <c r="D144" s="67">
        <f t="shared" si="2"/>
        <v>168.64000000000001</v>
      </c>
      <c r="E144" s="67">
        <f t="shared" si="3"/>
        <v>66284.660000000033</v>
      </c>
      <c r="F144" s="83">
        <v>0</v>
      </c>
      <c r="G144" s="83">
        <f t="shared" si="4"/>
        <v>356.92</v>
      </c>
      <c r="I144" s="85">
        <v>108</v>
      </c>
      <c r="J144" s="83">
        <f t="shared" si="5"/>
        <v>385.94</v>
      </c>
      <c r="K144" s="83">
        <f t="shared" si="6"/>
        <v>165.51</v>
      </c>
      <c r="L144" s="83">
        <f t="shared" si="7"/>
        <v>220.43</v>
      </c>
      <c r="M144" s="83">
        <f t="shared" si="8"/>
        <v>58193.560000000507</v>
      </c>
      <c r="N144" s="83">
        <v>0</v>
      </c>
      <c r="O144" s="83">
        <f t="shared" si="10"/>
        <v>385.94</v>
      </c>
    </row>
    <row r="145" spans="1:15" ht="15" customHeight="1" x14ac:dyDescent="0.35">
      <c r="A145" s="7">
        <v>109</v>
      </c>
      <c r="B145" s="67">
        <f t="shared" si="0"/>
        <v>356.92</v>
      </c>
      <c r="C145" s="67">
        <f t="shared" si="1"/>
        <v>187.81</v>
      </c>
      <c r="D145" s="67">
        <f t="shared" si="2"/>
        <v>169.11</v>
      </c>
      <c r="E145" s="67">
        <f t="shared" si="3"/>
        <v>66115.550000000032</v>
      </c>
      <c r="F145" s="83">
        <v>0</v>
      </c>
      <c r="G145" s="83">
        <f t="shared" si="4"/>
        <v>356.92</v>
      </c>
      <c r="I145" s="85">
        <v>109</v>
      </c>
      <c r="J145" s="83">
        <f t="shared" si="5"/>
        <v>385.31</v>
      </c>
      <c r="K145" s="83">
        <f t="shared" si="6"/>
        <v>164.88</v>
      </c>
      <c r="L145" s="83">
        <f t="shared" si="7"/>
        <v>220.43</v>
      </c>
      <c r="M145" s="83">
        <f t="shared" si="8"/>
        <v>57973.130000000507</v>
      </c>
      <c r="N145" s="83">
        <v>0</v>
      </c>
      <c r="O145" s="83">
        <f t="shared" si="10"/>
        <v>385.31</v>
      </c>
    </row>
    <row r="146" spans="1:15" ht="15" customHeight="1" x14ac:dyDescent="0.35">
      <c r="A146" s="7">
        <v>110</v>
      </c>
      <c r="B146" s="67">
        <f t="shared" si="0"/>
        <v>356.92</v>
      </c>
      <c r="C146" s="67">
        <f t="shared" si="1"/>
        <v>187.33</v>
      </c>
      <c r="D146" s="67">
        <f t="shared" si="2"/>
        <v>169.59</v>
      </c>
      <c r="E146" s="67">
        <f t="shared" si="3"/>
        <v>65945.960000000036</v>
      </c>
      <c r="F146" s="83">
        <v>0</v>
      </c>
      <c r="G146" s="83">
        <f t="shared" si="4"/>
        <v>356.92</v>
      </c>
      <c r="I146" s="85">
        <v>110</v>
      </c>
      <c r="J146" s="83">
        <f t="shared" si="5"/>
        <v>384.69</v>
      </c>
      <c r="K146" s="83">
        <f t="shared" si="6"/>
        <v>164.26</v>
      </c>
      <c r="L146" s="83">
        <f t="shared" si="7"/>
        <v>220.43</v>
      </c>
      <c r="M146" s="83">
        <f t="shared" si="8"/>
        <v>57752.700000000506</v>
      </c>
      <c r="N146" s="83">
        <v>0</v>
      </c>
      <c r="O146" s="83">
        <f t="shared" si="10"/>
        <v>384.69</v>
      </c>
    </row>
    <row r="147" spans="1:15" ht="15" customHeight="1" x14ac:dyDescent="0.35">
      <c r="A147" s="7">
        <v>111</v>
      </c>
      <c r="B147" s="67">
        <f t="shared" si="0"/>
        <v>356.92</v>
      </c>
      <c r="C147" s="67">
        <f t="shared" si="1"/>
        <v>186.85</v>
      </c>
      <c r="D147" s="67">
        <f t="shared" si="2"/>
        <v>170.07000000000002</v>
      </c>
      <c r="E147" s="67">
        <f t="shared" si="3"/>
        <v>65775.890000000029</v>
      </c>
      <c r="F147" s="83">
        <v>0</v>
      </c>
      <c r="G147" s="83">
        <f t="shared" si="4"/>
        <v>356.92</v>
      </c>
      <c r="I147" s="85">
        <v>111</v>
      </c>
      <c r="J147" s="83">
        <f t="shared" si="5"/>
        <v>384.06</v>
      </c>
      <c r="K147" s="83">
        <f t="shared" si="6"/>
        <v>163.63</v>
      </c>
      <c r="L147" s="83">
        <f t="shared" si="7"/>
        <v>220.43</v>
      </c>
      <c r="M147" s="83">
        <f t="shared" si="8"/>
        <v>57532.270000000506</v>
      </c>
      <c r="N147" s="83">
        <v>0</v>
      </c>
      <c r="O147" s="83">
        <f t="shared" si="10"/>
        <v>384.06</v>
      </c>
    </row>
    <row r="148" spans="1:15" ht="15" customHeight="1" x14ac:dyDescent="0.35">
      <c r="A148" s="7">
        <v>112</v>
      </c>
      <c r="B148" s="67">
        <f t="shared" si="0"/>
        <v>356.92</v>
      </c>
      <c r="C148" s="67">
        <f t="shared" si="1"/>
        <v>186.37</v>
      </c>
      <c r="D148" s="67">
        <f t="shared" si="2"/>
        <v>170.55</v>
      </c>
      <c r="E148" s="67">
        <f t="shared" si="3"/>
        <v>65605.340000000026</v>
      </c>
      <c r="F148" s="83">
        <v>0</v>
      </c>
      <c r="G148" s="83">
        <f t="shared" si="4"/>
        <v>356.92</v>
      </c>
      <c r="I148" s="85">
        <v>112</v>
      </c>
      <c r="J148" s="83">
        <f t="shared" si="5"/>
        <v>383.44</v>
      </c>
      <c r="K148" s="83">
        <f t="shared" si="6"/>
        <v>163.01</v>
      </c>
      <c r="L148" s="83">
        <f t="shared" si="7"/>
        <v>220.43</v>
      </c>
      <c r="M148" s="83">
        <f t="shared" si="8"/>
        <v>57311.840000000506</v>
      </c>
      <c r="N148" s="83">
        <v>0</v>
      </c>
      <c r="O148" s="83">
        <f t="shared" si="10"/>
        <v>383.44</v>
      </c>
    </row>
    <row r="149" spans="1:15" ht="15" customHeight="1" x14ac:dyDescent="0.35">
      <c r="A149" s="7">
        <v>113</v>
      </c>
      <c r="B149" s="67">
        <f t="shared" si="0"/>
        <v>356.92</v>
      </c>
      <c r="C149" s="67">
        <f t="shared" si="1"/>
        <v>185.88</v>
      </c>
      <c r="D149" s="67">
        <f t="shared" si="2"/>
        <v>171.04000000000002</v>
      </c>
      <c r="E149" s="67">
        <f t="shared" si="3"/>
        <v>65434.300000000025</v>
      </c>
      <c r="F149" s="83">
        <v>0</v>
      </c>
      <c r="G149" s="83">
        <f t="shared" si="4"/>
        <v>356.92</v>
      </c>
      <c r="I149" s="85">
        <v>113</v>
      </c>
      <c r="J149" s="83">
        <f t="shared" si="5"/>
        <v>382.81</v>
      </c>
      <c r="K149" s="83">
        <f t="shared" si="6"/>
        <v>162.38</v>
      </c>
      <c r="L149" s="83">
        <f t="shared" si="7"/>
        <v>220.43</v>
      </c>
      <c r="M149" s="83">
        <f t="shared" si="8"/>
        <v>57091.410000000506</v>
      </c>
      <c r="N149" s="83">
        <v>0</v>
      </c>
      <c r="O149" s="83">
        <f t="shared" si="10"/>
        <v>382.81</v>
      </c>
    </row>
    <row r="150" spans="1:15" ht="15" customHeight="1" x14ac:dyDescent="0.35">
      <c r="A150" s="7">
        <v>114</v>
      </c>
      <c r="B150" s="67">
        <f t="shared" si="0"/>
        <v>356.92</v>
      </c>
      <c r="C150" s="67">
        <f t="shared" si="1"/>
        <v>185.4</v>
      </c>
      <c r="D150" s="67">
        <f t="shared" si="2"/>
        <v>171.52</v>
      </c>
      <c r="E150" s="67">
        <f t="shared" si="3"/>
        <v>65262.780000000028</v>
      </c>
      <c r="F150" s="83">
        <v>0</v>
      </c>
      <c r="G150" s="83">
        <f t="shared" si="4"/>
        <v>356.92</v>
      </c>
      <c r="I150" s="85">
        <v>114</v>
      </c>
      <c r="J150" s="83">
        <f t="shared" si="5"/>
        <v>382.19</v>
      </c>
      <c r="K150" s="83">
        <f t="shared" si="6"/>
        <v>161.76</v>
      </c>
      <c r="L150" s="83">
        <f t="shared" si="7"/>
        <v>220.43</v>
      </c>
      <c r="M150" s="83">
        <f t="shared" si="8"/>
        <v>56870.980000000505</v>
      </c>
      <c r="N150" s="83">
        <v>0</v>
      </c>
      <c r="O150" s="83">
        <f t="shared" si="10"/>
        <v>382.19</v>
      </c>
    </row>
    <row r="151" spans="1:15" ht="15" customHeight="1" x14ac:dyDescent="0.35">
      <c r="A151" s="7">
        <v>115</v>
      </c>
      <c r="B151" s="67">
        <f t="shared" si="0"/>
        <v>356.92</v>
      </c>
      <c r="C151" s="67">
        <f t="shared" si="1"/>
        <v>184.91</v>
      </c>
      <c r="D151" s="67">
        <f t="shared" si="2"/>
        <v>172.01000000000002</v>
      </c>
      <c r="E151" s="67">
        <f t="shared" si="3"/>
        <v>65090.770000000026</v>
      </c>
      <c r="F151" s="83">
        <v>0</v>
      </c>
      <c r="G151" s="83">
        <f t="shared" si="4"/>
        <v>356.92</v>
      </c>
      <c r="I151" s="85">
        <v>115</v>
      </c>
      <c r="J151" s="83">
        <f t="shared" si="5"/>
        <v>381.56</v>
      </c>
      <c r="K151" s="83">
        <f t="shared" si="6"/>
        <v>161.13</v>
      </c>
      <c r="L151" s="83">
        <f t="shared" si="7"/>
        <v>220.43</v>
      </c>
      <c r="M151" s="83">
        <f t="shared" si="8"/>
        <v>56650.550000000505</v>
      </c>
      <c r="N151" s="83">
        <v>0</v>
      </c>
      <c r="O151" s="83">
        <f t="shared" si="10"/>
        <v>381.56</v>
      </c>
    </row>
    <row r="152" spans="1:15" ht="15" customHeight="1" x14ac:dyDescent="0.35">
      <c r="A152" s="7">
        <v>116</v>
      </c>
      <c r="B152" s="67">
        <f t="shared" si="0"/>
        <v>356.92</v>
      </c>
      <c r="C152" s="67">
        <f t="shared" si="1"/>
        <v>184.42</v>
      </c>
      <c r="D152" s="67">
        <f t="shared" si="2"/>
        <v>172.50000000000003</v>
      </c>
      <c r="E152" s="67">
        <f t="shared" si="3"/>
        <v>64918.270000000026</v>
      </c>
      <c r="F152" s="83">
        <v>0</v>
      </c>
      <c r="G152" s="83">
        <f t="shared" si="4"/>
        <v>356.92</v>
      </c>
      <c r="I152" s="85">
        <v>116</v>
      </c>
      <c r="J152" s="83">
        <f t="shared" si="5"/>
        <v>380.94</v>
      </c>
      <c r="K152" s="83">
        <f t="shared" si="6"/>
        <v>160.51</v>
      </c>
      <c r="L152" s="83">
        <f t="shared" si="7"/>
        <v>220.43</v>
      </c>
      <c r="M152" s="83">
        <f t="shared" si="8"/>
        <v>56430.120000000505</v>
      </c>
      <c r="N152" s="83">
        <v>0</v>
      </c>
      <c r="O152" s="83">
        <f t="shared" si="10"/>
        <v>380.94</v>
      </c>
    </row>
    <row r="153" spans="1:15" ht="15" customHeight="1" x14ac:dyDescent="0.35">
      <c r="A153" s="7">
        <v>117</v>
      </c>
      <c r="B153" s="67">
        <f t="shared" si="0"/>
        <v>356.92</v>
      </c>
      <c r="C153" s="67">
        <f t="shared" si="1"/>
        <v>183.94</v>
      </c>
      <c r="D153" s="67">
        <f t="shared" si="2"/>
        <v>172.98000000000002</v>
      </c>
      <c r="E153" s="67">
        <f t="shared" si="3"/>
        <v>64745.290000000023</v>
      </c>
      <c r="F153" s="83">
        <v>0</v>
      </c>
      <c r="G153" s="83">
        <f t="shared" si="4"/>
        <v>356.92</v>
      </c>
      <c r="I153" s="85">
        <v>117</v>
      </c>
      <c r="J153" s="83">
        <f t="shared" si="5"/>
        <v>380.32</v>
      </c>
      <c r="K153" s="83">
        <f t="shared" si="6"/>
        <v>159.88999999999999</v>
      </c>
      <c r="L153" s="83">
        <f t="shared" si="7"/>
        <v>220.43</v>
      </c>
      <c r="M153" s="83">
        <f t="shared" si="8"/>
        <v>56209.690000000504</v>
      </c>
      <c r="N153" s="83">
        <v>0</v>
      </c>
      <c r="O153" s="83">
        <f t="shared" si="10"/>
        <v>380.32</v>
      </c>
    </row>
    <row r="154" spans="1:15" ht="15" customHeight="1" x14ac:dyDescent="0.35">
      <c r="A154" s="7">
        <v>118</v>
      </c>
      <c r="B154" s="67">
        <f t="shared" si="0"/>
        <v>356.92</v>
      </c>
      <c r="C154" s="67">
        <f t="shared" si="1"/>
        <v>183.44</v>
      </c>
      <c r="D154" s="67">
        <f t="shared" si="2"/>
        <v>173.48000000000002</v>
      </c>
      <c r="E154" s="67">
        <f t="shared" si="3"/>
        <v>64571.810000000019</v>
      </c>
      <c r="F154" s="83">
        <v>0</v>
      </c>
      <c r="G154" s="83">
        <f t="shared" si="4"/>
        <v>356.92</v>
      </c>
      <c r="I154" s="85">
        <v>118</v>
      </c>
      <c r="J154" s="83">
        <f t="shared" si="5"/>
        <v>379.69</v>
      </c>
      <c r="K154" s="83">
        <f t="shared" si="6"/>
        <v>159.26</v>
      </c>
      <c r="L154" s="83">
        <f t="shared" si="7"/>
        <v>220.43</v>
      </c>
      <c r="M154" s="83">
        <f t="shared" si="8"/>
        <v>55989.260000000504</v>
      </c>
      <c r="N154" s="83">
        <v>0</v>
      </c>
      <c r="O154" s="83">
        <f t="shared" si="10"/>
        <v>379.69</v>
      </c>
    </row>
    <row r="155" spans="1:15" ht="15" customHeight="1" x14ac:dyDescent="0.35">
      <c r="A155" s="7">
        <v>119</v>
      </c>
      <c r="B155" s="67">
        <f t="shared" si="0"/>
        <v>356.92</v>
      </c>
      <c r="C155" s="67">
        <f t="shared" si="1"/>
        <v>182.95</v>
      </c>
      <c r="D155" s="67">
        <f t="shared" si="2"/>
        <v>173.97000000000003</v>
      </c>
      <c r="E155" s="67">
        <f t="shared" si="3"/>
        <v>64397.840000000018</v>
      </c>
      <c r="F155" s="83">
        <v>0</v>
      </c>
      <c r="G155" s="83">
        <f t="shared" si="4"/>
        <v>356.92</v>
      </c>
      <c r="I155" s="85">
        <v>119</v>
      </c>
      <c r="J155" s="83">
        <f t="shared" si="5"/>
        <v>379.07</v>
      </c>
      <c r="K155" s="83">
        <f t="shared" si="6"/>
        <v>158.63999999999999</v>
      </c>
      <c r="L155" s="83">
        <f t="shared" si="7"/>
        <v>220.43</v>
      </c>
      <c r="M155" s="83">
        <f t="shared" si="8"/>
        <v>55768.830000000504</v>
      </c>
      <c r="N155" s="83">
        <v>0</v>
      </c>
      <c r="O155" s="83">
        <f t="shared" si="10"/>
        <v>379.07</v>
      </c>
    </row>
    <row r="156" spans="1:15" ht="15" customHeight="1" x14ac:dyDescent="0.35">
      <c r="A156" s="7">
        <v>120</v>
      </c>
      <c r="B156" s="67">
        <f t="shared" si="0"/>
        <v>356.92</v>
      </c>
      <c r="C156" s="67">
        <f t="shared" si="1"/>
        <v>182.46</v>
      </c>
      <c r="D156" s="67">
        <f t="shared" si="2"/>
        <v>174.46</v>
      </c>
      <c r="E156" s="67">
        <f t="shared" si="3"/>
        <v>64223.380000000019</v>
      </c>
      <c r="F156" s="83">
        <v>0</v>
      </c>
      <c r="G156" s="83">
        <f t="shared" si="4"/>
        <v>356.92</v>
      </c>
      <c r="I156" s="85">
        <v>120</v>
      </c>
      <c r="J156" s="83">
        <f t="shared" si="5"/>
        <v>378.44</v>
      </c>
      <c r="K156" s="83">
        <f t="shared" si="6"/>
        <v>158.01</v>
      </c>
      <c r="L156" s="83">
        <f t="shared" si="7"/>
        <v>220.43</v>
      </c>
      <c r="M156" s="83">
        <f t="shared" si="8"/>
        <v>55548.400000000503</v>
      </c>
      <c r="N156" s="83">
        <v>0</v>
      </c>
      <c r="O156" s="83">
        <f t="shared" si="10"/>
        <v>378.44</v>
      </c>
    </row>
    <row r="157" spans="1:15" ht="15" customHeight="1" x14ac:dyDescent="0.35">
      <c r="A157" s="7">
        <v>121</v>
      </c>
      <c r="B157" s="67">
        <f t="shared" si="0"/>
        <v>356.92</v>
      </c>
      <c r="C157" s="67">
        <f t="shared" si="1"/>
        <v>181.97</v>
      </c>
      <c r="D157" s="67">
        <f t="shared" si="2"/>
        <v>174.95000000000002</v>
      </c>
      <c r="E157" s="67">
        <f t="shared" si="3"/>
        <v>64048.430000000022</v>
      </c>
      <c r="F157" s="83">
        <v>0</v>
      </c>
      <c r="G157" s="83">
        <f t="shared" si="4"/>
        <v>356.92</v>
      </c>
      <c r="I157" s="85">
        <v>121</v>
      </c>
      <c r="J157" s="83">
        <f t="shared" si="5"/>
        <v>377.82</v>
      </c>
      <c r="K157" s="83">
        <f t="shared" si="6"/>
        <v>157.38999999999999</v>
      </c>
      <c r="L157" s="83">
        <f t="shared" si="7"/>
        <v>220.43</v>
      </c>
      <c r="M157" s="83">
        <f t="shared" si="8"/>
        <v>55327.970000000503</v>
      </c>
      <c r="N157" s="83">
        <v>0</v>
      </c>
      <c r="O157" s="83">
        <f t="shared" si="10"/>
        <v>377.82</v>
      </c>
    </row>
    <row r="158" spans="1:15" ht="15" customHeight="1" x14ac:dyDescent="0.35">
      <c r="A158" s="7">
        <v>122</v>
      </c>
      <c r="B158" s="67">
        <f t="shared" si="0"/>
        <v>356.92</v>
      </c>
      <c r="C158" s="67">
        <f t="shared" si="1"/>
        <v>181.47</v>
      </c>
      <c r="D158" s="67">
        <f t="shared" si="2"/>
        <v>175.45000000000002</v>
      </c>
      <c r="E158" s="67">
        <f t="shared" si="3"/>
        <v>63872.980000000025</v>
      </c>
      <c r="F158" s="83">
        <v>0</v>
      </c>
      <c r="G158" s="83">
        <f t="shared" si="4"/>
        <v>356.92</v>
      </c>
      <c r="I158" s="85">
        <v>122</v>
      </c>
      <c r="J158" s="83">
        <f t="shared" si="5"/>
        <v>377.19</v>
      </c>
      <c r="K158" s="83">
        <f t="shared" si="6"/>
        <v>156.76</v>
      </c>
      <c r="L158" s="83">
        <f t="shared" si="7"/>
        <v>220.43</v>
      </c>
      <c r="M158" s="83">
        <f t="shared" si="8"/>
        <v>55107.540000000503</v>
      </c>
      <c r="N158" s="83">
        <v>0</v>
      </c>
      <c r="O158" s="83">
        <f t="shared" si="10"/>
        <v>377.19</v>
      </c>
    </row>
    <row r="159" spans="1:15" ht="15" customHeight="1" x14ac:dyDescent="0.35">
      <c r="A159" s="7">
        <v>123</v>
      </c>
      <c r="B159" s="67">
        <f t="shared" si="0"/>
        <v>356.92</v>
      </c>
      <c r="C159" s="67">
        <f t="shared" si="1"/>
        <v>180.97</v>
      </c>
      <c r="D159" s="67">
        <f t="shared" si="2"/>
        <v>175.95000000000002</v>
      </c>
      <c r="E159" s="67">
        <f t="shared" si="3"/>
        <v>63697.030000000028</v>
      </c>
      <c r="F159" s="83">
        <v>0</v>
      </c>
      <c r="G159" s="83">
        <f t="shared" si="4"/>
        <v>356.92</v>
      </c>
      <c r="I159" s="85">
        <v>123</v>
      </c>
      <c r="J159" s="83">
        <f t="shared" si="5"/>
        <v>376.57</v>
      </c>
      <c r="K159" s="83">
        <f t="shared" si="6"/>
        <v>156.13999999999999</v>
      </c>
      <c r="L159" s="83">
        <f t="shared" si="7"/>
        <v>220.43</v>
      </c>
      <c r="M159" s="83">
        <f t="shared" si="8"/>
        <v>54887.110000000503</v>
      </c>
      <c r="N159" s="83">
        <v>0</v>
      </c>
      <c r="O159" s="83">
        <f t="shared" si="10"/>
        <v>376.57</v>
      </c>
    </row>
    <row r="160" spans="1:15" ht="15" customHeight="1" x14ac:dyDescent="0.35">
      <c r="A160" s="7">
        <v>124</v>
      </c>
      <c r="B160" s="67">
        <f t="shared" si="0"/>
        <v>356.92</v>
      </c>
      <c r="C160" s="67">
        <f t="shared" si="1"/>
        <v>180.47</v>
      </c>
      <c r="D160" s="67">
        <f t="shared" si="2"/>
        <v>176.45000000000002</v>
      </c>
      <c r="E160" s="67">
        <f t="shared" si="3"/>
        <v>63520.580000000031</v>
      </c>
      <c r="F160" s="83">
        <v>0</v>
      </c>
      <c r="G160" s="83">
        <f t="shared" si="4"/>
        <v>356.92</v>
      </c>
      <c r="I160" s="85">
        <v>124</v>
      </c>
      <c r="J160" s="83">
        <f t="shared" si="5"/>
        <v>375.94</v>
      </c>
      <c r="K160" s="83">
        <f t="shared" si="6"/>
        <v>155.51</v>
      </c>
      <c r="L160" s="83">
        <f t="shared" si="7"/>
        <v>220.43</v>
      </c>
      <c r="M160" s="83">
        <f t="shared" si="8"/>
        <v>54666.680000000502</v>
      </c>
      <c r="N160" s="83">
        <v>0</v>
      </c>
      <c r="O160" s="83">
        <f t="shared" si="10"/>
        <v>375.94</v>
      </c>
    </row>
    <row r="161" spans="1:15" ht="15" customHeight="1" x14ac:dyDescent="0.35">
      <c r="A161" s="7">
        <v>125</v>
      </c>
      <c r="B161" s="67">
        <f t="shared" si="0"/>
        <v>356.92</v>
      </c>
      <c r="C161" s="67">
        <f t="shared" si="1"/>
        <v>179.97</v>
      </c>
      <c r="D161" s="67">
        <f t="shared" si="2"/>
        <v>176.95000000000002</v>
      </c>
      <c r="E161" s="67">
        <f t="shared" si="3"/>
        <v>63343.630000000034</v>
      </c>
      <c r="F161" s="83">
        <v>0</v>
      </c>
      <c r="G161" s="83">
        <f t="shared" si="4"/>
        <v>356.92</v>
      </c>
      <c r="I161" s="85">
        <v>125</v>
      </c>
      <c r="J161" s="83">
        <f t="shared" si="5"/>
        <v>375.32</v>
      </c>
      <c r="K161" s="83">
        <f t="shared" si="6"/>
        <v>154.88999999999999</v>
      </c>
      <c r="L161" s="83">
        <f t="shared" si="7"/>
        <v>220.43</v>
      </c>
      <c r="M161" s="83">
        <f t="shared" si="8"/>
        <v>54446.250000000502</v>
      </c>
      <c r="N161" s="83">
        <v>0</v>
      </c>
      <c r="O161" s="83">
        <f t="shared" si="10"/>
        <v>375.32</v>
      </c>
    </row>
    <row r="162" spans="1:15" ht="15" customHeight="1" x14ac:dyDescent="0.35">
      <c r="A162" s="7">
        <v>126</v>
      </c>
      <c r="B162" s="67">
        <f t="shared" si="0"/>
        <v>356.92</v>
      </c>
      <c r="C162" s="67">
        <f t="shared" si="1"/>
        <v>179.47</v>
      </c>
      <c r="D162" s="67">
        <f t="shared" si="2"/>
        <v>177.45000000000002</v>
      </c>
      <c r="E162" s="67">
        <f t="shared" si="3"/>
        <v>63166.180000000037</v>
      </c>
      <c r="F162" s="83">
        <v>0</v>
      </c>
      <c r="G162" s="83">
        <f t="shared" si="4"/>
        <v>356.92</v>
      </c>
      <c r="I162" s="85">
        <v>126</v>
      </c>
      <c r="J162" s="83">
        <f t="shared" si="5"/>
        <v>374.69</v>
      </c>
      <c r="K162" s="83">
        <f t="shared" si="6"/>
        <v>154.26</v>
      </c>
      <c r="L162" s="83">
        <f t="shared" si="7"/>
        <v>220.43</v>
      </c>
      <c r="M162" s="83">
        <f t="shared" si="8"/>
        <v>54225.820000000502</v>
      </c>
      <c r="N162" s="83">
        <v>0</v>
      </c>
      <c r="O162" s="83">
        <f t="shared" si="10"/>
        <v>374.69</v>
      </c>
    </row>
    <row r="163" spans="1:15" ht="15" customHeight="1" x14ac:dyDescent="0.35">
      <c r="A163" s="7">
        <v>127</v>
      </c>
      <c r="B163" s="67">
        <f t="shared" si="0"/>
        <v>356.92</v>
      </c>
      <c r="C163" s="67">
        <f t="shared" si="1"/>
        <v>178.97</v>
      </c>
      <c r="D163" s="67">
        <f t="shared" si="2"/>
        <v>177.95000000000002</v>
      </c>
      <c r="E163" s="67">
        <f t="shared" si="3"/>
        <v>62988.23000000004</v>
      </c>
      <c r="F163" s="83">
        <v>0</v>
      </c>
      <c r="G163" s="83">
        <f t="shared" si="4"/>
        <v>356.92</v>
      </c>
      <c r="I163" s="85">
        <v>127</v>
      </c>
      <c r="J163" s="83">
        <f t="shared" si="5"/>
        <v>374.07</v>
      </c>
      <c r="K163" s="83">
        <f t="shared" si="6"/>
        <v>153.63999999999999</v>
      </c>
      <c r="L163" s="83">
        <f t="shared" si="7"/>
        <v>220.43</v>
      </c>
      <c r="M163" s="83">
        <f t="shared" si="8"/>
        <v>54005.390000000501</v>
      </c>
      <c r="N163" s="83">
        <v>0</v>
      </c>
      <c r="O163" s="83">
        <f t="shared" si="10"/>
        <v>374.07</v>
      </c>
    </row>
    <row r="164" spans="1:15" ht="15" customHeight="1" x14ac:dyDescent="0.35">
      <c r="A164" s="7">
        <v>128</v>
      </c>
      <c r="B164" s="67">
        <f t="shared" si="0"/>
        <v>356.92</v>
      </c>
      <c r="C164" s="67">
        <f t="shared" si="1"/>
        <v>178.47</v>
      </c>
      <c r="D164" s="67">
        <f t="shared" si="2"/>
        <v>178.45000000000002</v>
      </c>
      <c r="E164" s="67">
        <f t="shared" si="3"/>
        <v>62809.780000000042</v>
      </c>
      <c r="F164" s="83">
        <v>0</v>
      </c>
      <c r="G164" s="83">
        <f t="shared" si="4"/>
        <v>356.92</v>
      </c>
      <c r="I164" s="85">
        <v>128</v>
      </c>
      <c r="J164" s="83">
        <f t="shared" si="5"/>
        <v>373.45000000000005</v>
      </c>
      <c r="K164" s="83">
        <f t="shared" si="6"/>
        <v>153.02000000000001</v>
      </c>
      <c r="L164" s="83">
        <f t="shared" si="7"/>
        <v>220.43</v>
      </c>
      <c r="M164" s="83">
        <f t="shared" si="8"/>
        <v>53784.960000000501</v>
      </c>
      <c r="N164" s="83">
        <v>0</v>
      </c>
      <c r="O164" s="83">
        <f t="shared" si="10"/>
        <v>373.45000000000005</v>
      </c>
    </row>
    <row r="165" spans="1:15" ht="15" customHeight="1" x14ac:dyDescent="0.35">
      <c r="A165" s="7">
        <v>129</v>
      </c>
      <c r="B165" s="67">
        <f t="shared" si="0"/>
        <v>356.92</v>
      </c>
      <c r="C165" s="67">
        <f t="shared" si="1"/>
        <v>177.96</v>
      </c>
      <c r="D165" s="67">
        <f t="shared" si="2"/>
        <v>178.96</v>
      </c>
      <c r="E165" s="67">
        <f t="shared" si="3"/>
        <v>62630.820000000043</v>
      </c>
      <c r="F165" s="83">
        <v>0</v>
      </c>
      <c r="G165" s="83">
        <f t="shared" si="4"/>
        <v>356.92</v>
      </c>
      <c r="I165" s="85">
        <v>129</v>
      </c>
      <c r="J165" s="83">
        <f t="shared" si="5"/>
        <v>372.82</v>
      </c>
      <c r="K165" s="83">
        <f t="shared" si="6"/>
        <v>152.38999999999999</v>
      </c>
      <c r="L165" s="83">
        <f t="shared" si="7"/>
        <v>220.43</v>
      </c>
      <c r="M165" s="83">
        <f t="shared" si="8"/>
        <v>53564.530000000501</v>
      </c>
      <c r="N165" s="83">
        <v>0</v>
      </c>
      <c r="O165" s="83">
        <f t="shared" si="10"/>
        <v>372.82</v>
      </c>
    </row>
    <row r="166" spans="1:15" ht="15" customHeight="1" x14ac:dyDescent="0.35">
      <c r="A166" s="7">
        <v>130</v>
      </c>
      <c r="B166" s="67">
        <f t="shared" si="0"/>
        <v>356.92</v>
      </c>
      <c r="C166" s="67">
        <f t="shared" si="1"/>
        <v>177.45</v>
      </c>
      <c r="D166" s="67">
        <f t="shared" si="2"/>
        <v>179.47000000000003</v>
      </c>
      <c r="E166" s="67">
        <f t="shared" si="3"/>
        <v>62451.350000000042</v>
      </c>
      <c r="F166" s="83">
        <v>0</v>
      </c>
      <c r="G166" s="83">
        <f t="shared" si="4"/>
        <v>356.92</v>
      </c>
      <c r="I166" s="85">
        <v>130</v>
      </c>
      <c r="J166" s="83">
        <f t="shared" si="5"/>
        <v>372.20000000000005</v>
      </c>
      <c r="K166" s="83">
        <f t="shared" si="6"/>
        <v>151.77000000000001</v>
      </c>
      <c r="L166" s="83">
        <f t="shared" si="7"/>
        <v>220.43</v>
      </c>
      <c r="M166" s="83">
        <f t="shared" si="8"/>
        <v>53344.100000000501</v>
      </c>
      <c r="N166" s="83">
        <v>0</v>
      </c>
      <c r="O166" s="83">
        <f t="shared" si="10"/>
        <v>372.20000000000005</v>
      </c>
    </row>
    <row r="167" spans="1:15" ht="15" customHeight="1" x14ac:dyDescent="0.35">
      <c r="A167" s="7">
        <v>131</v>
      </c>
      <c r="B167" s="67">
        <f t="shared" si="0"/>
        <v>356.92</v>
      </c>
      <c r="C167" s="67">
        <f t="shared" si="1"/>
        <v>176.95</v>
      </c>
      <c r="D167" s="67">
        <f t="shared" si="2"/>
        <v>179.97000000000003</v>
      </c>
      <c r="E167" s="67">
        <f t="shared" si="3"/>
        <v>62271.380000000041</v>
      </c>
      <c r="F167" s="83">
        <v>0</v>
      </c>
      <c r="G167" s="83">
        <f t="shared" si="4"/>
        <v>356.92</v>
      </c>
      <c r="I167" s="85">
        <v>131</v>
      </c>
      <c r="J167" s="83">
        <f t="shared" si="5"/>
        <v>371.57</v>
      </c>
      <c r="K167" s="83">
        <f t="shared" si="6"/>
        <v>151.13999999999999</v>
      </c>
      <c r="L167" s="83">
        <f t="shared" si="7"/>
        <v>220.43</v>
      </c>
      <c r="M167" s="83">
        <f t="shared" si="8"/>
        <v>53123.6700000005</v>
      </c>
      <c r="N167" s="83">
        <v>0</v>
      </c>
      <c r="O167" s="83">
        <f t="shared" si="10"/>
        <v>371.57</v>
      </c>
    </row>
    <row r="168" spans="1:15" ht="15" customHeight="1" x14ac:dyDescent="0.35">
      <c r="A168" s="7">
        <v>132</v>
      </c>
      <c r="B168" s="67">
        <f t="shared" si="0"/>
        <v>356.92</v>
      </c>
      <c r="C168" s="67">
        <f t="shared" si="1"/>
        <v>176.44</v>
      </c>
      <c r="D168" s="67">
        <f t="shared" si="2"/>
        <v>180.48000000000002</v>
      </c>
      <c r="E168" s="67">
        <f t="shared" si="3"/>
        <v>62090.900000000038</v>
      </c>
      <c r="F168" s="83">
        <v>0</v>
      </c>
      <c r="G168" s="83">
        <f t="shared" si="4"/>
        <v>356.92</v>
      </c>
      <c r="I168" s="85">
        <v>132</v>
      </c>
      <c r="J168" s="83">
        <f t="shared" si="5"/>
        <v>370.95000000000005</v>
      </c>
      <c r="K168" s="83">
        <f t="shared" si="6"/>
        <v>150.52000000000001</v>
      </c>
      <c r="L168" s="83">
        <f t="shared" si="7"/>
        <v>220.43</v>
      </c>
      <c r="M168" s="83">
        <f t="shared" si="8"/>
        <v>52903.2400000005</v>
      </c>
      <c r="N168" s="83">
        <v>0</v>
      </c>
      <c r="O168" s="83">
        <f t="shared" si="10"/>
        <v>370.95000000000005</v>
      </c>
    </row>
    <row r="169" spans="1:15" ht="15" customHeight="1" x14ac:dyDescent="0.35">
      <c r="A169" s="7">
        <v>133</v>
      </c>
      <c r="B169" s="67">
        <f t="shared" si="0"/>
        <v>356.92</v>
      </c>
      <c r="C169" s="67">
        <f t="shared" si="1"/>
        <v>175.92</v>
      </c>
      <c r="D169" s="67">
        <f t="shared" si="2"/>
        <v>181.00000000000003</v>
      </c>
      <c r="E169" s="67">
        <f t="shared" si="3"/>
        <v>61909.900000000038</v>
      </c>
      <c r="F169" s="83">
        <v>0</v>
      </c>
      <c r="G169" s="83">
        <f t="shared" si="4"/>
        <v>356.92</v>
      </c>
      <c r="I169" s="85">
        <v>133</v>
      </c>
      <c r="J169" s="83">
        <f t="shared" si="5"/>
        <v>370.32</v>
      </c>
      <c r="K169" s="83">
        <f t="shared" si="6"/>
        <v>149.88999999999999</v>
      </c>
      <c r="L169" s="83">
        <f t="shared" si="7"/>
        <v>220.43</v>
      </c>
      <c r="M169" s="83">
        <f t="shared" si="8"/>
        <v>52682.8100000005</v>
      </c>
      <c r="N169" s="83">
        <v>0</v>
      </c>
      <c r="O169" s="83">
        <f t="shared" si="10"/>
        <v>370.32</v>
      </c>
    </row>
    <row r="170" spans="1:15" ht="15" customHeight="1" x14ac:dyDescent="0.35">
      <c r="A170" s="7">
        <v>134</v>
      </c>
      <c r="B170" s="67">
        <f t="shared" si="0"/>
        <v>356.92</v>
      </c>
      <c r="C170" s="67">
        <f t="shared" si="1"/>
        <v>175.41</v>
      </c>
      <c r="D170" s="67">
        <f t="shared" si="2"/>
        <v>181.51000000000002</v>
      </c>
      <c r="E170" s="67">
        <f t="shared" si="3"/>
        <v>61728.390000000036</v>
      </c>
      <c r="F170" s="83">
        <v>0</v>
      </c>
      <c r="G170" s="83">
        <f t="shared" si="4"/>
        <v>356.92</v>
      </c>
      <c r="I170" s="85">
        <v>134</v>
      </c>
      <c r="J170" s="83">
        <f t="shared" si="5"/>
        <v>369.70000000000005</v>
      </c>
      <c r="K170" s="83">
        <f t="shared" si="6"/>
        <v>149.27000000000001</v>
      </c>
      <c r="L170" s="83">
        <f t="shared" si="7"/>
        <v>220.43</v>
      </c>
      <c r="M170" s="83">
        <f t="shared" si="8"/>
        <v>52462.380000000499</v>
      </c>
      <c r="N170" s="83">
        <v>0</v>
      </c>
      <c r="O170" s="83">
        <f t="shared" si="10"/>
        <v>369.70000000000005</v>
      </c>
    </row>
    <row r="171" spans="1:15" ht="15" customHeight="1" x14ac:dyDescent="0.35">
      <c r="A171" s="7">
        <v>135</v>
      </c>
      <c r="B171" s="67">
        <f t="shared" si="0"/>
        <v>356.92</v>
      </c>
      <c r="C171" s="67">
        <f t="shared" si="1"/>
        <v>174.9</v>
      </c>
      <c r="D171" s="67">
        <f t="shared" si="2"/>
        <v>182.02</v>
      </c>
      <c r="E171" s="67">
        <f t="shared" si="3"/>
        <v>61546.370000000039</v>
      </c>
      <c r="F171" s="83">
        <v>0</v>
      </c>
      <c r="G171" s="83">
        <f t="shared" si="4"/>
        <v>356.92</v>
      </c>
      <c r="I171" s="85">
        <v>135</v>
      </c>
      <c r="J171" s="83">
        <f t="shared" si="5"/>
        <v>369.07</v>
      </c>
      <c r="K171" s="83">
        <f t="shared" si="6"/>
        <v>148.63999999999999</v>
      </c>
      <c r="L171" s="83">
        <f t="shared" si="7"/>
        <v>220.43</v>
      </c>
      <c r="M171" s="83">
        <f t="shared" si="8"/>
        <v>52241.950000000499</v>
      </c>
      <c r="N171" s="83">
        <v>0</v>
      </c>
      <c r="O171" s="83">
        <f t="shared" si="10"/>
        <v>369.07</v>
      </c>
    </row>
    <row r="172" spans="1:15" ht="15" customHeight="1" x14ac:dyDescent="0.35">
      <c r="A172" s="7">
        <v>136</v>
      </c>
      <c r="B172" s="67">
        <f t="shared" si="0"/>
        <v>356.92</v>
      </c>
      <c r="C172" s="67">
        <f t="shared" si="1"/>
        <v>174.38</v>
      </c>
      <c r="D172" s="67">
        <f t="shared" si="2"/>
        <v>182.54000000000002</v>
      </c>
      <c r="E172" s="67">
        <f t="shared" si="3"/>
        <v>61363.830000000038</v>
      </c>
      <c r="F172" s="83">
        <v>0</v>
      </c>
      <c r="G172" s="83">
        <f t="shared" si="4"/>
        <v>356.92</v>
      </c>
      <c r="I172" s="85">
        <v>136</v>
      </c>
      <c r="J172" s="83">
        <f t="shared" si="5"/>
        <v>368.45000000000005</v>
      </c>
      <c r="K172" s="83">
        <f t="shared" si="6"/>
        <v>148.02000000000001</v>
      </c>
      <c r="L172" s="83">
        <f t="shared" si="7"/>
        <v>220.43</v>
      </c>
      <c r="M172" s="83">
        <f t="shared" si="8"/>
        <v>52021.520000000499</v>
      </c>
      <c r="N172" s="83">
        <v>0</v>
      </c>
      <c r="O172" s="83">
        <f t="shared" si="10"/>
        <v>368.45000000000005</v>
      </c>
    </row>
    <row r="173" spans="1:15" ht="15" customHeight="1" x14ac:dyDescent="0.35">
      <c r="A173" s="7">
        <v>137</v>
      </c>
      <c r="B173" s="67">
        <f t="shared" si="0"/>
        <v>356.92</v>
      </c>
      <c r="C173" s="67">
        <f t="shared" si="1"/>
        <v>173.86</v>
      </c>
      <c r="D173" s="67">
        <f t="shared" si="2"/>
        <v>183.06</v>
      </c>
      <c r="E173" s="67">
        <f t="shared" si="3"/>
        <v>61180.77000000004</v>
      </c>
      <c r="F173" s="83">
        <v>0</v>
      </c>
      <c r="G173" s="83">
        <f t="shared" si="4"/>
        <v>356.92</v>
      </c>
      <c r="I173" s="85">
        <v>137</v>
      </c>
      <c r="J173" s="83">
        <f t="shared" si="5"/>
        <v>367.82</v>
      </c>
      <c r="K173" s="83">
        <f t="shared" si="6"/>
        <v>147.38999999999999</v>
      </c>
      <c r="L173" s="83">
        <f t="shared" si="7"/>
        <v>220.43</v>
      </c>
      <c r="M173" s="83">
        <f t="shared" si="8"/>
        <v>51801.090000000499</v>
      </c>
      <c r="N173" s="83">
        <v>0</v>
      </c>
      <c r="O173" s="83">
        <f t="shared" si="10"/>
        <v>367.82</v>
      </c>
    </row>
    <row r="174" spans="1:15" ht="15" customHeight="1" x14ac:dyDescent="0.35">
      <c r="A174" s="7">
        <v>138</v>
      </c>
      <c r="B174" s="67">
        <f t="shared" si="0"/>
        <v>356.92</v>
      </c>
      <c r="C174" s="67">
        <f t="shared" si="1"/>
        <v>173.35</v>
      </c>
      <c r="D174" s="67">
        <f t="shared" si="2"/>
        <v>183.57000000000002</v>
      </c>
      <c r="E174" s="67">
        <f t="shared" si="3"/>
        <v>60997.200000000041</v>
      </c>
      <c r="F174" s="83">
        <v>0</v>
      </c>
      <c r="G174" s="83">
        <f t="shared" si="4"/>
        <v>356.92</v>
      </c>
      <c r="I174" s="85">
        <v>138</v>
      </c>
      <c r="J174" s="83">
        <f t="shared" si="5"/>
        <v>367.20000000000005</v>
      </c>
      <c r="K174" s="83">
        <f t="shared" si="6"/>
        <v>146.77000000000001</v>
      </c>
      <c r="L174" s="83">
        <f t="shared" si="7"/>
        <v>220.43</v>
      </c>
      <c r="M174" s="83">
        <f t="shared" si="8"/>
        <v>51580.660000000498</v>
      </c>
      <c r="N174" s="83">
        <v>0</v>
      </c>
      <c r="O174" s="83">
        <f t="shared" si="10"/>
        <v>367.20000000000005</v>
      </c>
    </row>
    <row r="175" spans="1:15" ht="15" customHeight="1" x14ac:dyDescent="0.35">
      <c r="A175" s="7">
        <v>139</v>
      </c>
      <c r="B175" s="67">
        <f t="shared" si="0"/>
        <v>356.92</v>
      </c>
      <c r="C175" s="67">
        <f t="shared" si="1"/>
        <v>172.83</v>
      </c>
      <c r="D175" s="67">
        <f t="shared" si="2"/>
        <v>184.09</v>
      </c>
      <c r="E175" s="67">
        <f t="shared" si="3"/>
        <v>60813.110000000044</v>
      </c>
      <c r="F175" s="83">
        <v>0</v>
      </c>
      <c r="G175" s="83">
        <f t="shared" si="4"/>
        <v>356.92</v>
      </c>
      <c r="I175" s="85">
        <v>139</v>
      </c>
      <c r="J175" s="83">
        <f t="shared" si="5"/>
        <v>366.58000000000004</v>
      </c>
      <c r="K175" s="83">
        <f t="shared" si="6"/>
        <v>146.15</v>
      </c>
      <c r="L175" s="83">
        <f t="shared" si="7"/>
        <v>220.43</v>
      </c>
      <c r="M175" s="83">
        <f t="shared" si="8"/>
        <v>51360.230000000498</v>
      </c>
      <c r="N175" s="83">
        <v>0</v>
      </c>
      <c r="O175" s="83">
        <f t="shared" si="10"/>
        <v>366.58000000000004</v>
      </c>
    </row>
    <row r="176" spans="1:15" ht="15" customHeight="1" x14ac:dyDescent="0.35">
      <c r="A176" s="7">
        <v>140</v>
      </c>
      <c r="B176" s="67">
        <f t="shared" si="0"/>
        <v>356.92</v>
      </c>
      <c r="C176" s="67">
        <f t="shared" si="1"/>
        <v>172.3</v>
      </c>
      <c r="D176" s="67">
        <f t="shared" si="2"/>
        <v>184.62</v>
      </c>
      <c r="E176" s="67">
        <f t="shared" si="3"/>
        <v>60628.490000000042</v>
      </c>
      <c r="F176" s="83">
        <v>0</v>
      </c>
      <c r="G176" s="83">
        <f t="shared" si="4"/>
        <v>356.92</v>
      </c>
      <c r="I176" s="85">
        <v>140</v>
      </c>
      <c r="J176" s="83">
        <f t="shared" si="5"/>
        <v>365.95000000000005</v>
      </c>
      <c r="K176" s="83">
        <f t="shared" si="6"/>
        <v>145.52000000000001</v>
      </c>
      <c r="L176" s="83">
        <f t="shared" si="7"/>
        <v>220.43</v>
      </c>
      <c r="M176" s="83">
        <f t="shared" si="8"/>
        <v>51139.800000000498</v>
      </c>
      <c r="N176" s="83">
        <v>0</v>
      </c>
      <c r="O176" s="83">
        <f t="shared" si="10"/>
        <v>365.95000000000005</v>
      </c>
    </row>
    <row r="177" spans="1:15" ht="15" customHeight="1" x14ac:dyDescent="0.35">
      <c r="A177" s="7">
        <v>141</v>
      </c>
      <c r="B177" s="67">
        <f t="shared" si="0"/>
        <v>356.92</v>
      </c>
      <c r="C177" s="67">
        <f t="shared" si="1"/>
        <v>171.78</v>
      </c>
      <c r="D177" s="67">
        <f t="shared" si="2"/>
        <v>185.14000000000001</v>
      </c>
      <c r="E177" s="67">
        <f t="shared" si="3"/>
        <v>60443.350000000042</v>
      </c>
      <c r="F177" s="83">
        <v>0</v>
      </c>
      <c r="G177" s="83">
        <f t="shared" si="4"/>
        <v>356.92</v>
      </c>
      <c r="I177" s="85">
        <v>141</v>
      </c>
      <c r="J177" s="83">
        <f t="shared" si="5"/>
        <v>365.33000000000004</v>
      </c>
      <c r="K177" s="83">
        <f t="shared" si="6"/>
        <v>144.9</v>
      </c>
      <c r="L177" s="83">
        <f t="shared" si="7"/>
        <v>220.43</v>
      </c>
      <c r="M177" s="83">
        <f t="shared" si="8"/>
        <v>50919.370000000497</v>
      </c>
      <c r="N177" s="83">
        <v>0</v>
      </c>
      <c r="O177" s="83">
        <f t="shared" si="10"/>
        <v>365.33000000000004</v>
      </c>
    </row>
    <row r="178" spans="1:15" ht="15" customHeight="1" x14ac:dyDescent="0.35">
      <c r="A178" s="7">
        <v>142</v>
      </c>
      <c r="B178" s="67">
        <f t="shared" si="0"/>
        <v>356.92</v>
      </c>
      <c r="C178" s="67">
        <f t="shared" si="1"/>
        <v>171.26</v>
      </c>
      <c r="D178" s="67">
        <f t="shared" si="2"/>
        <v>185.66000000000003</v>
      </c>
      <c r="E178" s="67">
        <f t="shared" si="3"/>
        <v>60257.690000000039</v>
      </c>
      <c r="F178" s="83">
        <v>0</v>
      </c>
      <c r="G178" s="83">
        <f t="shared" si="4"/>
        <v>356.92</v>
      </c>
      <c r="I178" s="85">
        <v>142</v>
      </c>
      <c r="J178" s="83">
        <f t="shared" si="5"/>
        <v>364.70000000000005</v>
      </c>
      <c r="K178" s="83">
        <f t="shared" si="6"/>
        <v>144.27000000000001</v>
      </c>
      <c r="L178" s="83">
        <f t="shared" si="7"/>
        <v>220.43</v>
      </c>
      <c r="M178" s="83">
        <f t="shared" si="8"/>
        <v>50698.940000000497</v>
      </c>
      <c r="N178" s="83">
        <v>0</v>
      </c>
      <c r="O178" s="83">
        <f t="shared" si="10"/>
        <v>364.70000000000005</v>
      </c>
    </row>
    <row r="179" spans="1:15" ht="15" customHeight="1" x14ac:dyDescent="0.35">
      <c r="A179" s="7">
        <v>143</v>
      </c>
      <c r="B179" s="67">
        <f t="shared" si="0"/>
        <v>356.92</v>
      </c>
      <c r="C179" s="67">
        <f t="shared" si="1"/>
        <v>170.73</v>
      </c>
      <c r="D179" s="67">
        <f t="shared" si="2"/>
        <v>186.19000000000003</v>
      </c>
      <c r="E179" s="67">
        <f t="shared" si="3"/>
        <v>60071.500000000036</v>
      </c>
      <c r="F179" s="83">
        <v>0</v>
      </c>
      <c r="G179" s="83">
        <f t="shared" si="4"/>
        <v>356.92</v>
      </c>
      <c r="I179" s="85">
        <v>143</v>
      </c>
      <c r="J179" s="83">
        <f t="shared" si="5"/>
        <v>364.08000000000004</v>
      </c>
      <c r="K179" s="83">
        <f t="shared" si="6"/>
        <v>143.65</v>
      </c>
      <c r="L179" s="83">
        <f t="shared" si="7"/>
        <v>220.43</v>
      </c>
      <c r="M179" s="83">
        <f t="shared" si="8"/>
        <v>50478.510000000497</v>
      </c>
      <c r="N179" s="83">
        <v>0</v>
      </c>
      <c r="O179" s="83">
        <f t="shared" si="10"/>
        <v>364.08000000000004</v>
      </c>
    </row>
    <row r="180" spans="1:15" ht="15" customHeight="1" x14ac:dyDescent="0.35">
      <c r="A180" s="7">
        <v>144</v>
      </c>
      <c r="B180" s="67">
        <f t="shared" si="0"/>
        <v>356.92</v>
      </c>
      <c r="C180" s="67">
        <f t="shared" si="1"/>
        <v>170.2</v>
      </c>
      <c r="D180" s="67">
        <f t="shared" si="2"/>
        <v>186.72000000000003</v>
      </c>
      <c r="E180" s="67">
        <f t="shared" si="3"/>
        <v>59884.780000000035</v>
      </c>
      <c r="F180" s="83">
        <v>0</v>
      </c>
      <c r="G180" s="83">
        <f t="shared" si="4"/>
        <v>356.92</v>
      </c>
      <c r="I180" s="85">
        <v>144</v>
      </c>
      <c r="J180" s="83">
        <f t="shared" si="5"/>
        <v>363.45000000000005</v>
      </c>
      <c r="K180" s="83">
        <f t="shared" si="6"/>
        <v>143.02000000000001</v>
      </c>
      <c r="L180" s="83">
        <f t="shared" si="7"/>
        <v>220.43</v>
      </c>
      <c r="M180" s="83">
        <f t="shared" si="8"/>
        <v>50258.080000000497</v>
      </c>
      <c r="N180" s="83">
        <v>0</v>
      </c>
      <c r="O180" s="83">
        <f t="shared" si="10"/>
        <v>363.45000000000005</v>
      </c>
    </row>
    <row r="181" spans="1:15" ht="15" customHeight="1" x14ac:dyDescent="0.35">
      <c r="A181" s="7">
        <v>145</v>
      </c>
      <c r="B181" s="67">
        <f t="shared" si="0"/>
        <v>356.92</v>
      </c>
      <c r="C181" s="67">
        <f t="shared" si="1"/>
        <v>169.67</v>
      </c>
      <c r="D181" s="67">
        <f t="shared" si="2"/>
        <v>187.25000000000003</v>
      </c>
      <c r="E181" s="67">
        <f t="shared" si="3"/>
        <v>59697.530000000035</v>
      </c>
      <c r="F181" s="83">
        <v>0</v>
      </c>
      <c r="G181" s="83">
        <f t="shared" si="4"/>
        <v>356.92</v>
      </c>
      <c r="I181" s="85">
        <v>145</v>
      </c>
      <c r="J181" s="83">
        <f t="shared" si="5"/>
        <v>362.83000000000004</v>
      </c>
      <c r="K181" s="83">
        <f t="shared" si="6"/>
        <v>142.4</v>
      </c>
      <c r="L181" s="83">
        <f t="shared" si="7"/>
        <v>220.43</v>
      </c>
      <c r="M181" s="83">
        <f t="shared" si="8"/>
        <v>50037.650000000496</v>
      </c>
      <c r="N181" s="83">
        <v>0</v>
      </c>
      <c r="O181" s="83">
        <f t="shared" si="10"/>
        <v>362.83000000000004</v>
      </c>
    </row>
    <row r="182" spans="1:15" ht="15" customHeight="1" x14ac:dyDescent="0.35">
      <c r="A182" s="7">
        <v>146</v>
      </c>
      <c r="B182" s="67">
        <f t="shared" si="0"/>
        <v>356.92</v>
      </c>
      <c r="C182" s="67">
        <f t="shared" si="1"/>
        <v>169.14</v>
      </c>
      <c r="D182" s="67">
        <f t="shared" si="2"/>
        <v>187.78000000000003</v>
      </c>
      <c r="E182" s="67">
        <f t="shared" si="3"/>
        <v>59509.750000000036</v>
      </c>
      <c r="F182" s="83">
        <v>0</v>
      </c>
      <c r="G182" s="83">
        <f t="shared" si="4"/>
        <v>356.92</v>
      </c>
      <c r="I182" s="85">
        <v>146</v>
      </c>
      <c r="J182" s="83">
        <f t="shared" si="5"/>
        <v>362.20000000000005</v>
      </c>
      <c r="K182" s="83">
        <f t="shared" si="6"/>
        <v>141.77000000000001</v>
      </c>
      <c r="L182" s="83">
        <f t="shared" si="7"/>
        <v>220.43</v>
      </c>
      <c r="M182" s="83">
        <f t="shared" si="8"/>
        <v>49817.220000000496</v>
      </c>
      <c r="N182" s="83">
        <v>0</v>
      </c>
      <c r="O182" s="83">
        <f t="shared" si="10"/>
        <v>362.20000000000005</v>
      </c>
    </row>
    <row r="183" spans="1:15" ht="15" customHeight="1" x14ac:dyDescent="0.35">
      <c r="A183" s="7">
        <v>147</v>
      </c>
      <c r="B183" s="67">
        <f t="shared" si="0"/>
        <v>356.92</v>
      </c>
      <c r="C183" s="67">
        <f t="shared" si="1"/>
        <v>168.61</v>
      </c>
      <c r="D183" s="67">
        <f t="shared" si="2"/>
        <v>188.31</v>
      </c>
      <c r="E183" s="67">
        <f t="shared" si="3"/>
        <v>59321.440000000039</v>
      </c>
      <c r="F183" s="83">
        <v>0</v>
      </c>
      <c r="G183" s="83">
        <f t="shared" si="4"/>
        <v>356.92</v>
      </c>
      <c r="I183" s="85">
        <v>147</v>
      </c>
      <c r="J183" s="83">
        <f t="shared" si="5"/>
        <v>361.58000000000004</v>
      </c>
      <c r="K183" s="83">
        <f t="shared" si="6"/>
        <v>141.15</v>
      </c>
      <c r="L183" s="83">
        <f t="shared" si="7"/>
        <v>220.43</v>
      </c>
      <c r="M183" s="83">
        <f t="shared" si="8"/>
        <v>49596.790000000496</v>
      </c>
      <c r="N183" s="83">
        <v>0</v>
      </c>
      <c r="O183" s="83">
        <f t="shared" si="10"/>
        <v>361.58000000000004</v>
      </c>
    </row>
    <row r="184" spans="1:15" ht="15" customHeight="1" x14ac:dyDescent="0.35">
      <c r="A184" s="7">
        <v>148</v>
      </c>
      <c r="B184" s="67">
        <f t="shared" si="0"/>
        <v>356.92</v>
      </c>
      <c r="C184" s="67">
        <f t="shared" si="1"/>
        <v>168.08</v>
      </c>
      <c r="D184" s="67">
        <f t="shared" si="2"/>
        <v>188.84</v>
      </c>
      <c r="E184" s="67">
        <f t="shared" si="3"/>
        <v>59132.600000000042</v>
      </c>
      <c r="F184" s="83">
        <v>0</v>
      </c>
      <c r="G184" s="83">
        <f t="shared" si="4"/>
        <v>356.92</v>
      </c>
      <c r="I184" s="85">
        <v>148</v>
      </c>
      <c r="J184" s="83">
        <f t="shared" si="5"/>
        <v>360.95000000000005</v>
      </c>
      <c r="K184" s="83">
        <f t="shared" si="6"/>
        <v>140.52000000000001</v>
      </c>
      <c r="L184" s="83">
        <f t="shared" si="7"/>
        <v>220.43</v>
      </c>
      <c r="M184" s="83">
        <f t="shared" si="8"/>
        <v>49376.360000000495</v>
      </c>
      <c r="N184" s="83">
        <v>0</v>
      </c>
      <c r="O184" s="83">
        <f t="shared" si="10"/>
        <v>360.95000000000005</v>
      </c>
    </row>
    <row r="185" spans="1:15" ht="15" customHeight="1" x14ac:dyDescent="0.35">
      <c r="A185" s="7">
        <v>149</v>
      </c>
      <c r="B185" s="67">
        <f t="shared" si="0"/>
        <v>356.92</v>
      </c>
      <c r="C185" s="67">
        <f t="shared" si="1"/>
        <v>167.54</v>
      </c>
      <c r="D185" s="67">
        <f t="shared" si="2"/>
        <v>189.38000000000002</v>
      </c>
      <c r="E185" s="67">
        <f t="shared" si="3"/>
        <v>58943.220000000045</v>
      </c>
      <c r="F185" s="83">
        <v>0</v>
      </c>
      <c r="G185" s="83">
        <f t="shared" si="4"/>
        <v>356.92</v>
      </c>
      <c r="I185" s="85">
        <v>149</v>
      </c>
      <c r="J185" s="83">
        <f t="shared" si="5"/>
        <v>360.33000000000004</v>
      </c>
      <c r="K185" s="83">
        <f t="shared" si="6"/>
        <v>139.9</v>
      </c>
      <c r="L185" s="83">
        <f t="shared" si="7"/>
        <v>220.43</v>
      </c>
      <c r="M185" s="83">
        <f t="shared" si="8"/>
        <v>49155.930000000495</v>
      </c>
      <c r="N185" s="83">
        <v>0</v>
      </c>
      <c r="O185" s="83">
        <f t="shared" si="10"/>
        <v>360.33000000000004</v>
      </c>
    </row>
    <row r="186" spans="1:15" ht="15" customHeight="1" x14ac:dyDescent="0.35">
      <c r="A186" s="7">
        <v>150</v>
      </c>
      <c r="B186" s="67">
        <f t="shared" si="0"/>
        <v>356.92</v>
      </c>
      <c r="C186" s="67">
        <f t="shared" si="1"/>
        <v>167.01</v>
      </c>
      <c r="D186" s="67">
        <f t="shared" si="2"/>
        <v>189.91000000000003</v>
      </c>
      <c r="E186" s="67">
        <f t="shared" si="3"/>
        <v>58753.310000000041</v>
      </c>
      <c r="F186" s="83">
        <v>0</v>
      </c>
      <c r="G186" s="83">
        <f t="shared" si="4"/>
        <v>356.92</v>
      </c>
      <c r="I186" s="85">
        <v>150</v>
      </c>
      <c r="J186" s="83">
        <f t="shared" si="5"/>
        <v>359.71000000000004</v>
      </c>
      <c r="K186" s="83">
        <f t="shared" si="6"/>
        <v>139.28</v>
      </c>
      <c r="L186" s="83">
        <f t="shared" si="7"/>
        <v>220.43</v>
      </c>
      <c r="M186" s="83">
        <f t="shared" si="8"/>
        <v>48935.500000000495</v>
      </c>
      <c r="N186" s="83">
        <v>0</v>
      </c>
      <c r="O186" s="83">
        <f t="shared" si="10"/>
        <v>359.71000000000004</v>
      </c>
    </row>
    <row r="187" spans="1:15" ht="15" customHeight="1" x14ac:dyDescent="0.35">
      <c r="A187" s="7">
        <v>151</v>
      </c>
      <c r="B187" s="67">
        <f t="shared" si="0"/>
        <v>356.92</v>
      </c>
      <c r="C187" s="67">
        <f t="shared" si="1"/>
        <v>166.47</v>
      </c>
      <c r="D187" s="67">
        <f t="shared" si="2"/>
        <v>190.45000000000002</v>
      </c>
      <c r="E187" s="67">
        <f t="shared" si="3"/>
        <v>58562.860000000044</v>
      </c>
      <c r="F187" s="83">
        <v>0</v>
      </c>
      <c r="G187" s="83">
        <f t="shared" si="4"/>
        <v>356.92</v>
      </c>
      <c r="I187" s="85">
        <v>151</v>
      </c>
      <c r="J187" s="83">
        <f t="shared" si="5"/>
        <v>359.08000000000004</v>
      </c>
      <c r="K187" s="83">
        <f t="shared" si="6"/>
        <v>138.65</v>
      </c>
      <c r="L187" s="83">
        <f t="shared" si="7"/>
        <v>220.43</v>
      </c>
      <c r="M187" s="83">
        <f t="shared" si="8"/>
        <v>48715.070000000494</v>
      </c>
      <c r="N187" s="83">
        <v>0</v>
      </c>
      <c r="O187" s="83">
        <f t="shared" si="10"/>
        <v>359.08000000000004</v>
      </c>
    </row>
    <row r="188" spans="1:15" ht="15" customHeight="1" x14ac:dyDescent="0.35">
      <c r="A188" s="7">
        <v>152</v>
      </c>
      <c r="B188" s="67">
        <f t="shared" si="0"/>
        <v>356.92</v>
      </c>
      <c r="C188" s="67">
        <f t="shared" si="1"/>
        <v>165.93</v>
      </c>
      <c r="D188" s="67">
        <f t="shared" si="2"/>
        <v>190.99</v>
      </c>
      <c r="E188" s="67">
        <f t="shared" si="3"/>
        <v>58371.870000000046</v>
      </c>
      <c r="F188" s="83">
        <v>0</v>
      </c>
      <c r="G188" s="83">
        <f t="shared" si="4"/>
        <v>356.92</v>
      </c>
      <c r="I188" s="85">
        <v>152</v>
      </c>
      <c r="J188" s="83">
        <f t="shared" si="5"/>
        <v>358.46000000000004</v>
      </c>
      <c r="K188" s="83">
        <f t="shared" si="6"/>
        <v>138.03</v>
      </c>
      <c r="L188" s="83">
        <f t="shared" si="7"/>
        <v>220.43</v>
      </c>
      <c r="M188" s="83">
        <f t="shared" si="8"/>
        <v>48494.640000000494</v>
      </c>
      <c r="N188" s="83">
        <v>0</v>
      </c>
      <c r="O188" s="83">
        <f t="shared" si="10"/>
        <v>358.46000000000004</v>
      </c>
    </row>
    <row r="189" spans="1:15" ht="15" customHeight="1" x14ac:dyDescent="0.35">
      <c r="A189" s="7">
        <v>153</v>
      </c>
      <c r="B189" s="67">
        <f t="shared" si="0"/>
        <v>356.92</v>
      </c>
      <c r="C189" s="67">
        <f t="shared" si="1"/>
        <v>165.39</v>
      </c>
      <c r="D189" s="67">
        <f t="shared" si="2"/>
        <v>191.53000000000003</v>
      </c>
      <c r="E189" s="67">
        <f t="shared" si="3"/>
        <v>58180.340000000047</v>
      </c>
      <c r="F189" s="83">
        <v>0</v>
      </c>
      <c r="G189" s="83">
        <f t="shared" si="4"/>
        <v>356.92</v>
      </c>
      <c r="I189" s="85">
        <v>153</v>
      </c>
      <c r="J189" s="83">
        <f t="shared" si="5"/>
        <v>357.83000000000004</v>
      </c>
      <c r="K189" s="83">
        <f t="shared" si="6"/>
        <v>137.4</v>
      </c>
      <c r="L189" s="83">
        <f t="shared" si="7"/>
        <v>220.43</v>
      </c>
      <c r="M189" s="83">
        <f t="shared" si="8"/>
        <v>48274.210000000494</v>
      </c>
      <c r="N189" s="83">
        <v>0</v>
      </c>
      <c r="O189" s="83">
        <f t="shared" si="10"/>
        <v>357.83000000000004</v>
      </c>
    </row>
    <row r="190" spans="1:15" ht="15" customHeight="1" x14ac:dyDescent="0.35">
      <c r="A190" s="7">
        <v>154</v>
      </c>
      <c r="B190" s="67">
        <f t="shared" si="0"/>
        <v>356.92</v>
      </c>
      <c r="C190" s="67">
        <f t="shared" si="1"/>
        <v>164.84</v>
      </c>
      <c r="D190" s="67">
        <f t="shared" si="2"/>
        <v>192.08</v>
      </c>
      <c r="E190" s="67">
        <f t="shared" si="3"/>
        <v>57988.260000000046</v>
      </c>
      <c r="F190" s="83">
        <v>0</v>
      </c>
      <c r="G190" s="83">
        <f t="shared" si="4"/>
        <v>356.92</v>
      </c>
      <c r="I190" s="85">
        <v>154</v>
      </c>
      <c r="J190" s="83">
        <f t="shared" si="5"/>
        <v>357.21000000000004</v>
      </c>
      <c r="K190" s="83">
        <f t="shared" si="6"/>
        <v>136.78</v>
      </c>
      <c r="L190" s="83">
        <f t="shared" si="7"/>
        <v>220.43</v>
      </c>
      <c r="M190" s="83">
        <f t="shared" si="8"/>
        <v>48053.780000000494</v>
      </c>
      <c r="N190" s="83">
        <v>0</v>
      </c>
      <c r="O190" s="83">
        <f t="shared" si="10"/>
        <v>357.21000000000004</v>
      </c>
    </row>
    <row r="191" spans="1:15" ht="15" customHeight="1" x14ac:dyDescent="0.35">
      <c r="A191" s="7">
        <v>155</v>
      </c>
      <c r="B191" s="67">
        <f t="shared" si="0"/>
        <v>356.92</v>
      </c>
      <c r="C191" s="67">
        <f t="shared" si="1"/>
        <v>164.3</v>
      </c>
      <c r="D191" s="67">
        <f t="shared" si="2"/>
        <v>192.62</v>
      </c>
      <c r="E191" s="67">
        <f t="shared" si="3"/>
        <v>57795.640000000043</v>
      </c>
      <c r="F191" s="83">
        <v>0</v>
      </c>
      <c r="G191" s="83">
        <f t="shared" si="4"/>
        <v>356.92</v>
      </c>
      <c r="I191" s="85">
        <v>155</v>
      </c>
      <c r="J191" s="83">
        <f t="shared" si="5"/>
        <v>356.58000000000004</v>
      </c>
      <c r="K191" s="83">
        <f t="shared" si="6"/>
        <v>136.15</v>
      </c>
      <c r="L191" s="83">
        <f t="shared" si="7"/>
        <v>220.43</v>
      </c>
      <c r="M191" s="83">
        <f t="shared" si="8"/>
        <v>47833.350000000493</v>
      </c>
      <c r="N191" s="83">
        <v>0</v>
      </c>
      <c r="O191" s="83">
        <f t="shared" si="10"/>
        <v>356.58000000000004</v>
      </c>
    </row>
    <row r="192" spans="1:15" ht="15" customHeight="1" x14ac:dyDescent="0.35">
      <c r="A192" s="7">
        <v>156</v>
      </c>
      <c r="B192" s="67">
        <f t="shared" si="0"/>
        <v>356.92</v>
      </c>
      <c r="C192" s="67">
        <f t="shared" si="1"/>
        <v>163.75</v>
      </c>
      <c r="D192" s="67">
        <f t="shared" si="2"/>
        <v>193.17000000000002</v>
      </c>
      <c r="E192" s="67">
        <f t="shared" si="3"/>
        <v>57602.470000000045</v>
      </c>
      <c r="F192" s="83">
        <v>0</v>
      </c>
      <c r="G192" s="83">
        <f t="shared" si="4"/>
        <v>356.92</v>
      </c>
      <c r="I192" s="85">
        <v>156</v>
      </c>
      <c r="J192" s="83">
        <f t="shared" si="5"/>
        <v>355.96000000000004</v>
      </c>
      <c r="K192" s="83">
        <f t="shared" si="6"/>
        <v>135.53</v>
      </c>
      <c r="L192" s="83">
        <f t="shared" si="7"/>
        <v>220.43</v>
      </c>
      <c r="M192" s="83">
        <f t="shared" si="8"/>
        <v>47612.920000000493</v>
      </c>
      <c r="N192" s="83">
        <v>0</v>
      </c>
      <c r="O192" s="83">
        <f t="shared" si="10"/>
        <v>355.96000000000004</v>
      </c>
    </row>
    <row r="193" spans="1:15" ht="15" customHeight="1" x14ac:dyDescent="0.35">
      <c r="A193" s="7">
        <v>157</v>
      </c>
      <c r="B193" s="67">
        <f t="shared" si="0"/>
        <v>356.92</v>
      </c>
      <c r="C193" s="67">
        <f t="shared" si="1"/>
        <v>163.21</v>
      </c>
      <c r="D193" s="67">
        <f t="shared" si="2"/>
        <v>193.71</v>
      </c>
      <c r="E193" s="67">
        <f t="shared" si="3"/>
        <v>57408.760000000046</v>
      </c>
      <c r="F193" s="83">
        <v>0</v>
      </c>
      <c r="G193" s="83">
        <f t="shared" si="4"/>
        <v>356.92</v>
      </c>
      <c r="I193" s="85">
        <v>157</v>
      </c>
      <c r="J193" s="83">
        <f t="shared" si="5"/>
        <v>355.33000000000004</v>
      </c>
      <c r="K193" s="83">
        <f t="shared" si="6"/>
        <v>134.9</v>
      </c>
      <c r="L193" s="83">
        <f t="shared" si="7"/>
        <v>220.43</v>
      </c>
      <c r="M193" s="83">
        <f t="shared" si="8"/>
        <v>47392.490000000493</v>
      </c>
      <c r="N193" s="83">
        <v>0</v>
      </c>
      <c r="O193" s="83">
        <f t="shared" si="10"/>
        <v>355.33000000000004</v>
      </c>
    </row>
    <row r="194" spans="1:15" ht="15" customHeight="1" x14ac:dyDescent="0.35">
      <c r="A194" s="7">
        <v>158</v>
      </c>
      <c r="B194" s="67">
        <f t="shared" si="0"/>
        <v>356.92</v>
      </c>
      <c r="C194" s="67">
        <f t="shared" si="1"/>
        <v>162.66</v>
      </c>
      <c r="D194" s="67">
        <f t="shared" si="2"/>
        <v>194.26000000000002</v>
      </c>
      <c r="E194" s="67">
        <f t="shared" si="3"/>
        <v>57214.500000000044</v>
      </c>
      <c r="F194" s="83">
        <v>0</v>
      </c>
      <c r="G194" s="83">
        <f t="shared" si="4"/>
        <v>356.92</v>
      </c>
      <c r="I194" s="85">
        <v>158</v>
      </c>
      <c r="J194" s="83">
        <f t="shared" si="5"/>
        <v>354.71000000000004</v>
      </c>
      <c r="K194" s="83">
        <f t="shared" si="6"/>
        <v>134.28</v>
      </c>
      <c r="L194" s="83">
        <f t="shared" si="7"/>
        <v>220.43</v>
      </c>
      <c r="M194" s="83">
        <f t="shared" si="8"/>
        <v>47172.060000000492</v>
      </c>
      <c r="N194" s="83">
        <v>0</v>
      </c>
      <c r="O194" s="83">
        <f t="shared" si="10"/>
        <v>354.71000000000004</v>
      </c>
    </row>
    <row r="195" spans="1:15" ht="15" customHeight="1" x14ac:dyDescent="0.35">
      <c r="A195" s="7">
        <v>159</v>
      </c>
      <c r="B195" s="67">
        <f t="shared" si="0"/>
        <v>356.92</v>
      </c>
      <c r="C195" s="67">
        <f t="shared" si="1"/>
        <v>162.11000000000001</v>
      </c>
      <c r="D195" s="67">
        <f t="shared" si="2"/>
        <v>194.81</v>
      </c>
      <c r="E195" s="67">
        <f t="shared" si="3"/>
        <v>57019.690000000046</v>
      </c>
      <c r="F195" s="83">
        <v>0</v>
      </c>
      <c r="G195" s="83">
        <f t="shared" si="4"/>
        <v>356.92</v>
      </c>
      <c r="I195" s="85">
        <v>159</v>
      </c>
      <c r="J195" s="83">
        <f t="shared" si="5"/>
        <v>354.08000000000004</v>
      </c>
      <c r="K195" s="83">
        <f t="shared" si="6"/>
        <v>133.65</v>
      </c>
      <c r="L195" s="83">
        <f t="shared" si="7"/>
        <v>220.43</v>
      </c>
      <c r="M195" s="83">
        <f t="shared" si="8"/>
        <v>46951.630000000492</v>
      </c>
      <c r="N195" s="83">
        <v>0</v>
      </c>
      <c r="O195" s="83">
        <f t="shared" si="10"/>
        <v>354.08000000000004</v>
      </c>
    </row>
    <row r="196" spans="1:15" ht="15" customHeight="1" x14ac:dyDescent="0.35">
      <c r="A196" s="7">
        <v>160</v>
      </c>
      <c r="B196" s="67">
        <f t="shared" si="0"/>
        <v>356.92</v>
      </c>
      <c r="C196" s="67">
        <f t="shared" si="1"/>
        <v>161.56</v>
      </c>
      <c r="D196" s="67">
        <f t="shared" si="2"/>
        <v>195.36</v>
      </c>
      <c r="E196" s="67">
        <f t="shared" si="3"/>
        <v>56824.330000000045</v>
      </c>
      <c r="F196" s="83">
        <v>0</v>
      </c>
      <c r="G196" s="83">
        <f t="shared" si="4"/>
        <v>356.92</v>
      </c>
      <c r="I196" s="85">
        <v>160</v>
      </c>
      <c r="J196" s="83">
        <f t="shared" si="5"/>
        <v>353.46000000000004</v>
      </c>
      <c r="K196" s="83">
        <f t="shared" si="6"/>
        <v>133.03</v>
      </c>
      <c r="L196" s="83">
        <f t="shared" si="7"/>
        <v>220.43</v>
      </c>
      <c r="M196" s="83">
        <f t="shared" si="8"/>
        <v>46731.200000000492</v>
      </c>
      <c r="N196" s="83">
        <v>0</v>
      </c>
      <c r="O196" s="83">
        <f t="shared" si="10"/>
        <v>353.46000000000004</v>
      </c>
    </row>
    <row r="197" spans="1:15" ht="15" customHeight="1" x14ac:dyDescent="0.35">
      <c r="A197" s="7">
        <v>161</v>
      </c>
      <c r="B197" s="67">
        <f t="shared" si="0"/>
        <v>356.92</v>
      </c>
      <c r="C197" s="67">
        <f t="shared" si="1"/>
        <v>161</v>
      </c>
      <c r="D197" s="67">
        <f t="shared" si="2"/>
        <v>195.92000000000002</v>
      </c>
      <c r="E197" s="67">
        <f t="shared" si="3"/>
        <v>56628.410000000047</v>
      </c>
      <c r="F197" s="83">
        <v>0</v>
      </c>
      <c r="G197" s="83">
        <f t="shared" si="4"/>
        <v>356.92</v>
      </c>
      <c r="I197" s="85">
        <v>161</v>
      </c>
      <c r="J197" s="83">
        <f t="shared" si="5"/>
        <v>352.84000000000003</v>
      </c>
      <c r="K197" s="83">
        <f t="shared" si="6"/>
        <v>132.41</v>
      </c>
      <c r="L197" s="83">
        <f t="shared" si="7"/>
        <v>220.43</v>
      </c>
      <c r="M197" s="83">
        <f t="shared" si="8"/>
        <v>46510.770000000492</v>
      </c>
      <c r="N197" s="83">
        <v>0</v>
      </c>
      <c r="O197" s="83">
        <f t="shared" si="10"/>
        <v>352.84000000000003</v>
      </c>
    </row>
    <row r="198" spans="1:15" ht="15" customHeight="1" x14ac:dyDescent="0.35">
      <c r="A198" s="7">
        <v>162</v>
      </c>
      <c r="B198" s="67">
        <f t="shared" si="0"/>
        <v>356.92</v>
      </c>
      <c r="C198" s="67">
        <f t="shared" si="1"/>
        <v>160.44999999999999</v>
      </c>
      <c r="D198" s="67">
        <f t="shared" si="2"/>
        <v>196.47000000000003</v>
      </c>
      <c r="E198" s="67">
        <f t="shared" si="3"/>
        <v>56431.940000000046</v>
      </c>
      <c r="F198" s="83">
        <v>0</v>
      </c>
      <c r="G198" s="83">
        <f t="shared" si="4"/>
        <v>356.92</v>
      </c>
      <c r="I198" s="85">
        <v>162</v>
      </c>
      <c r="J198" s="83">
        <f t="shared" si="5"/>
        <v>352.21000000000004</v>
      </c>
      <c r="K198" s="83">
        <f t="shared" si="6"/>
        <v>131.78</v>
      </c>
      <c r="L198" s="83">
        <f t="shared" si="7"/>
        <v>220.43</v>
      </c>
      <c r="M198" s="83">
        <f t="shared" si="8"/>
        <v>46290.340000000491</v>
      </c>
      <c r="N198" s="83">
        <v>0</v>
      </c>
      <c r="O198" s="83">
        <f t="shared" si="10"/>
        <v>352.21000000000004</v>
      </c>
    </row>
    <row r="199" spans="1:15" ht="15" customHeight="1" x14ac:dyDescent="0.35">
      <c r="A199" s="7">
        <v>163</v>
      </c>
      <c r="B199" s="67">
        <f t="shared" si="0"/>
        <v>356.92</v>
      </c>
      <c r="C199" s="67">
        <f t="shared" si="1"/>
        <v>159.88999999999999</v>
      </c>
      <c r="D199" s="67">
        <f t="shared" si="2"/>
        <v>197.03000000000003</v>
      </c>
      <c r="E199" s="67">
        <f t="shared" si="3"/>
        <v>56234.910000000047</v>
      </c>
      <c r="F199" s="83">
        <v>0</v>
      </c>
      <c r="G199" s="83">
        <f t="shared" si="4"/>
        <v>356.92</v>
      </c>
      <c r="I199" s="85">
        <v>163</v>
      </c>
      <c r="J199" s="83">
        <f t="shared" si="5"/>
        <v>351.59000000000003</v>
      </c>
      <c r="K199" s="83">
        <f t="shared" si="6"/>
        <v>131.16</v>
      </c>
      <c r="L199" s="83">
        <f t="shared" si="7"/>
        <v>220.43</v>
      </c>
      <c r="M199" s="83">
        <f t="shared" si="8"/>
        <v>46069.910000000491</v>
      </c>
      <c r="N199" s="83">
        <v>0</v>
      </c>
      <c r="O199" s="83">
        <f t="shared" si="10"/>
        <v>351.59000000000003</v>
      </c>
    </row>
    <row r="200" spans="1:15" ht="15" customHeight="1" x14ac:dyDescent="0.35">
      <c r="A200" s="7">
        <v>164</v>
      </c>
      <c r="B200" s="67">
        <f t="shared" si="0"/>
        <v>356.92</v>
      </c>
      <c r="C200" s="67">
        <f t="shared" si="1"/>
        <v>159.33000000000001</v>
      </c>
      <c r="D200" s="67">
        <f t="shared" si="2"/>
        <v>197.59</v>
      </c>
      <c r="E200" s="67">
        <f t="shared" si="3"/>
        <v>56037.320000000051</v>
      </c>
      <c r="F200" s="83">
        <v>0</v>
      </c>
      <c r="G200" s="83">
        <f t="shared" si="4"/>
        <v>356.92</v>
      </c>
      <c r="I200" s="85">
        <v>164</v>
      </c>
      <c r="J200" s="83">
        <f t="shared" si="5"/>
        <v>350.96000000000004</v>
      </c>
      <c r="K200" s="83">
        <f t="shared" si="6"/>
        <v>130.53</v>
      </c>
      <c r="L200" s="83">
        <f t="shared" si="7"/>
        <v>220.43</v>
      </c>
      <c r="M200" s="83">
        <f t="shared" si="8"/>
        <v>45849.480000000491</v>
      </c>
      <c r="N200" s="83">
        <v>0</v>
      </c>
      <c r="O200" s="83">
        <f t="shared" si="10"/>
        <v>350.96000000000004</v>
      </c>
    </row>
    <row r="201" spans="1:15" ht="15" customHeight="1" x14ac:dyDescent="0.35">
      <c r="A201" s="7">
        <v>165</v>
      </c>
      <c r="B201" s="67">
        <f t="shared" si="0"/>
        <v>356.92</v>
      </c>
      <c r="C201" s="67">
        <f t="shared" si="1"/>
        <v>158.77000000000001</v>
      </c>
      <c r="D201" s="67">
        <f t="shared" si="2"/>
        <v>198.15</v>
      </c>
      <c r="E201" s="67">
        <f t="shared" si="3"/>
        <v>55839.170000000049</v>
      </c>
      <c r="F201" s="83">
        <v>0</v>
      </c>
      <c r="G201" s="83">
        <f t="shared" si="4"/>
        <v>356.92</v>
      </c>
      <c r="I201" s="85">
        <v>165</v>
      </c>
      <c r="J201" s="83">
        <f t="shared" si="5"/>
        <v>350.34000000000003</v>
      </c>
      <c r="K201" s="83">
        <f t="shared" si="6"/>
        <v>129.91</v>
      </c>
      <c r="L201" s="83">
        <f t="shared" si="7"/>
        <v>220.43</v>
      </c>
      <c r="M201" s="83">
        <f t="shared" si="8"/>
        <v>45629.05000000049</v>
      </c>
      <c r="N201" s="83">
        <v>0</v>
      </c>
      <c r="O201" s="83">
        <f t="shared" si="10"/>
        <v>350.34000000000003</v>
      </c>
    </row>
    <row r="202" spans="1:15" ht="15" customHeight="1" x14ac:dyDescent="0.35">
      <c r="A202" s="7">
        <v>166</v>
      </c>
      <c r="B202" s="67">
        <f t="shared" si="0"/>
        <v>356.92</v>
      </c>
      <c r="C202" s="67">
        <f t="shared" si="1"/>
        <v>158.21</v>
      </c>
      <c r="D202" s="67">
        <f t="shared" si="2"/>
        <v>198.71</v>
      </c>
      <c r="E202" s="67">
        <f t="shared" si="3"/>
        <v>55640.46000000005</v>
      </c>
      <c r="F202" s="83">
        <v>0</v>
      </c>
      <c r="G202" s="83">
        <f t="shared" si="4"/>
        <v>356.92</v>
      </c>
      <c r="I202" s="85">
        <v>166</v>
      </c>
      <c r="J202" s="83">
        <f t="shared" si="5"/>
        <v>349.71000000000004</v>
      </c>
      <c r="K202" s="83">
        <f t="shared" si="6"/>
        <v>129.28</v>
      </c>
      <c r="L202" s="83">
        <f t="shared" si="7"/>
        <v>220.43</v>
      </c>
      <c r="M202" s="83">
        <f t="shared" si="8"/>
        <v>45408.62000000049</v>
      </c>
      <c r="N202" s="83">
        <v>0</v>
      </c>
      <c r="O202" s="83">
        <f t="shared" si="10"/>
        <v>349.71000000000004</v>
      </c>
    </row>
    <row r="203" spans="1:15" ht="15" customHeight="1" x14ac:dyDescent="0.35">
      <c r="A203" s="7">
        <v>167</v>
      </c>
      <c r="B203" s="67">
        <f t="shared" si="0"/>
        <v>356.92</v>
      </c>
      <c r="C203" s="67">
        <f t="shared" si="1"/>
        <v>157.65</v>
      </c>
      <c r="D203" s="67">
        <f t="shared" si="2"/>
        <v>199.27</v>
      </c>
      <c r="E203" s="67">
        <f t="shared" si="3"/>
        <v>55441.190000000053</v>
      </c>
      <c r="F203" s="83">
        <v>0</v>
      </c>
      <c r="G203" s="83">
        <f t="shared" si="4"/>
        <v>356.92</v>
      </c>
      <c r="I203" s="85">
        <v>167</v>
      </c>
      <c r="J203" s="83">
        <f t="shared" si="5"/>
        <v>349.09000000000003</v>
      </c>
      <c r="K203" s="83">
        <f t="shared" si="6"/>
        <v>128.66</v>
      </c>
      <c r="L203" s="83">
        <f t="shared" si="7"/>
        <v>220.43</v>
      </c>
      <c r="M203" s="83">
        <f t="shared" si="8"/>
        <v>45188.19000000049</v>
      </c>
      <c r="N203" s="83">
        <v>0</v>
      </c>
      <c r="O203" s="83">
        <f t="shared" si="10"/>
        <v>349.09000000000003</v>
      </c>
    </row>
    <row r="204" spans="1:15" ht="15" customHeight="1" x14ac:dyDescent="0.35">
      <c r="A204" s="7">
        <v>168</v>
      </c>
      <c r="B204" s="67">
        <f t="shared" si="0"/>
        <v>356.92</v>
      </c>
      <c r="C204" s="67">
        <f t="shared" si="1"/>
        <v>157.08000000000001</v>
      </c>
      <c r="D204" s="67">
        <f t="shared" si="2"/>
        <v>199.84</v>
      </c>
      <c r="E204" s="67">
        <f t="shared" si="3"/>
        <v>55241.350000000057</v>
      </c>
      <c r="F204" s="83">
        <v>0</v>
      </c>
      <c r="G204" s="83">
        <f t="shared" si="4"/>
        <v>356.92</v>
      </c>
      <c r="I204" s="85">
        <v>168</v>
      </c>
      <c r="J204" s="83">
        <f t="shared" si="5"/>
        <v>348.46000000000004</v>
      </c>
      <c r="K204" s="83">
        <f t="shared" si="6"/>
        <v>128.03</v>
      </c>
      <c r="L204" s="83">
        <f t="shared" si="7"/>
        <v>220.43</v>
      </c>
      <c r="M204" s="83">
        <f t="shared" si="8"/>
        <v>44967.76000000049</v>
      </c>
      <c r="N204" s="83">
        <v>0</v>
      </c>
      <c r="O204" s="83">
        <f t="shared" si="10"/>
        <v>348.46000000000004</v>
      </c>
    </row>
    <row r="205" spans="1:15" ht="15" customHeight="1" x14ac:dyDescent="0.35">
      <c r="A205" s="7">
        <v>169</v>
      </c>
      <c r="B205" s="67">
        <f t="shared" si="0"/>
        <v>356.92</v>
      </c>
      <c r="C205" s="67">
        <f t="shared" si="1"/>
        <v>156.52000000000001</v>
      </c>
      <c r="D205" s="67">
        <f t="shared" si="2"/>
        <v>200.4</v>
      </c>
      <c r="E205" s="67">
        <f t="shared" si="3"/>
        <v>55040.950000000055</v>
      </c>
      <c r="F205" s="83">
        <v>0</v>
      </c>
      <c r="G205" s="83">
        <f t="shared" si="4"/>
        <v>356.92</v>
      </c>
      <c r="I205" s="85">
        <v>169</v>
      </c>
      <c r="J205" s="83">
        <f t="shared" si="5"/>
        <v>347.84000000000003</v>
      </c>
      <c r="K205" s="83">
        <f t="shared" si="6"/>
        <v>127.41</v>
      </c>
      <c r="L205" s="83">
        <f t="shared" si="7"/>
        <v>220.43</v>
      </c>
      <c r="M205" s="83">
        <f t="shared" si="8"/>
        <v>44747.330000000489</v>
      </c>
      <c r="N205" s="83">
        <v>0</v>
      </c>
      <c r="O205" s="83">
        <f t="shared" si="10"/>
        <v>347.84000000000003</v>
      </c>
    </row>
    <row r="206" spans="1:15" ht="15" customHeight="1" x14ac:dyDescent="0.35">
      <c r="A206" s="7">
        <v>170</v>
      </c>
      <c r="B206" s="67">
        <f t="shared" si="0"/>
        <v>356.92</v>
      </c>
      <c r="C206" s="67">
        <f t="shared" si="1"/>
        <v>155.94999999999999</v>
      </c>
      <c r="D206" s="67">
        <f t="shared" si="2"/>
        <v>200.97000000000003</v>
      </c>
      <c r="E206" s="67">
        <f t="shared" si="3"/>
        <v>54839.980000000054</v>
      </c>
      <c r="F206" s="83">
        <v>0</v>
      </c>
      <c r="G206" s="83">
        <f t="shared" si="4"/>
        <v>356.92</v>
      </c>
      <c r="I206" s="85">
        <v>170</v>
      </c>
      <c r="J206" s="83">
        <f t="shared" si="5"/>
        <v>347.21000000000004</v>
      </c>
      <c r="K206" s="83">
        <f t="shared" si="6"/>
        <v>126.78</v>
      </c>
      <c r="L206" s="83">
        <f t="shared" si="7"/>
        <v>220.43</v>
      </c>
      <c r="M206" s="83">
        <f t="shared" si="8"/>
        <v>44526.900000000489</v>
      </c>
      <c r="N206" s="83">
        <v>0</v>
      </c>
      <c r="O206" s="83">
        <f t="shared" si="10"/>
        <v>347.21000000000004</v>
      </c>
    </row>
    <row r="207" spans="1:15" ht="15" customHeight="1" x14ac:dyDescent="0.35">
      <c r="A207" s="7">
        <v>171</v>
      </c>
      <c r="B207" s="67">
        <f t="shared" si="0"/>
        <v>356.92</v>
      </c>
      <c r="C207" s="67">
        <f t="shared" si="1"/>
        <v>155.38</v>
      </c>
      <c r="D207" s="67">
        <f t="shared" si="2"/>
        <v>201.54000000000002</v>
      </c>
      <c r="E207" s="67">
        <f t="shared" si="3"/>
        <v>54638.440000000053</v>
      </c>
      <c r="F207" s="83">
        <v>0</v>
      </c>
      <c r="G207" s="83">
        <f t="shared" si="4"/>
        <v>356.92</v>
      </c>
      <c r="I207" s="85">
        <v>171</v>
      </c>
      <c r="J207" s="83">
        <f t="shared" si="5"/>
        <v>346.59000000000003</v>
      </c>
      <c r="K207" s="83">
        <f t="shared" si="6"/>
        <v>126.16</v>
      </c>
      <c r="L207" s="83">
        <f t="shared" si="7"/>
        <v>220.43</v>
      </c>
      <c r="M207" s="83">
        <f t="shared" si="8"/>
        <v>44306.470000000489</v>
      </c>
      <c r="N207" s="83">
        <v>0</v>
      </c>
      <c r="O207" s="83">
        <f t="shared" si="10"/>
        <v>346.59000000000003</v>
      </c>
    </row>
    <row r="208" spans="1:15" ht="15" customHeight="1" x14ac:dyDescent="0.35">
      <c r="A208" s="7">
        <v>172</v>
      </c>
      <c r="B208" s="67">
        <f t="shared" si="0"/>
        <v>356.92</v>
      </c>
      <c r="C208" s="67">
        <f t="shared" si="1"/>
        <v>154.81</v>
      </c>
      <c r="D208" s="67">
        <f t="shared" si="2"/>
        <v>202.11</v>
      </c>
      <c r="E208" s="67">
        <f t="shared" si="3"/>
        <v>54436.330000000053</v>
      </c>
      <c r="F208" s="83">
        <v>0</v>
      </c>
      <c r="G208" s="83">
        <f t="shared" si="4"/>
        <v>356.92</v>
      </c>
      <c r="I208" s="85">
        <v>172</v>
      </c>
      <c r="J208" s="83">
        <f t="shared" si="5"/>
        <v>345.96000000000004</v>
      </c>
      <c r="K208" s="83">
        <f t="shared" si="6"/>
        <v>125.53</v>
      </c>
      <c r="L208" s="83">
        <f t="shared" si="7"/>
        <v>220.43</v>
      </c>
      <c r="M208" s="83">
        <f t="shared" si="8"/>
        <v>44086.040000000488</v>
      </c>
      <c r="N208" s="83">
        <v>0</v>
      </c>
      <c r="O208" s="83">
        <f t="shared" si="10"/>
        <v>345.96000000000004</v>
      </c>
    </row>
    <row r="209" spans="1:15" ht="15" customHeight="1" x14ac:dyDescent="0.35">
      <c r="A209" s="7">
        <v>173</v>
      </c>
      <c r="B209" s="67">
        <f t="shared" si="0"/>
        <v>356.92</v>
      </c>
      <c r="C209" s="67">
        <f t="shared" si="1"/>
        <v>154.24</v>
      </c>
      <c r="D209" s="67">
        <f t="shared" si="2"/>
        <v>202.68</v>
      </c>
      <c r="E209" s="67">
        <f t="shared" si="3"/>
        <v>54233.650000000052</v>
      </c>
      <c r="F209" s="83">
        <v>0</v>
      </c>
      <c r="G209" s="83">
        <f t="shared" si="4"/>
        <v>356.92</v>
      </c>
      <c r="I209" s="85">
        <v>173</v>
      </c>
      <c r="J209" s="83">
        <f t="shared" si="5"/>
        <v>345.34000000000003</v>
      </c>
      <c r="K209" s="83">
        <f t="shared" si="6"/>
        <v>124.91</v>
      </c>
      <c r="L209" s="83">
        <f t="shared" si="7"/>
        <v>220.43</v>
      </c>
      <c r="M209" s="83">
        <f t="shared" si="8"/>
        <v>43865.610000000488</v>
      </c>
      <c r="N209" s="83">
        <v>0</v>
      </c>
      <c r="O209" s="83">
        <f t="shared" si="10"/>
        <v>345.34000000000003</v>
      </c>
    </row>
    <row r="210" spans="1:15" ht="15" customHeight="1" x14ac:dyDescent="0.35">
      <c r="A210" s="7">
        <v>174</v>
      </c>
      <c r="B210" s="67">
        <f t="shared" si="0"/>
        <v>356.92</v>
      </c>
      <c r="C210" s="67">
        <f t="shared" si="1"/>
        <v>153.66</v>
      </c>
      <c r="D210" s="67">
        <f t="shared" si="2"/>
        <v>203.26000000000002</v>
      </c>
      <c r="E210" s="67">
        <f t="shared" si="3"/>
        <v>54030.39000000005</v>
      </c>
      <c r="F210" s="83">
        <v>0</v>
      </c>
      <c r="G210" s="83">
        <f t="shared" si="4"/>
        <v>356.92</v>
      </c>
      <c r="I210" s="85">
        <v>174</v>
      </c>
      <c r="J210" s="83">
        <f t="shared" si="5"/>
        <v>344.72</v>
      </c>
      <c r="K210" s="83">
        <f t="shared" si="6"/>
        <v>124.29</v>
      </c>
      <c r="L210" s="83">
        <f t="shared" si="7"/>
        <v>220.43</v>
      </c>
      <c r="M210" s="83">
        <f t="shared" si="8"/>
        <v>43645.180000000488</v>
      </c>
      <c r="N210" s="83">
        <v>0</v>
      </c>
      <c r="O210" s="83">
        <f t="shared" si="10"/>
        <v>344.72</v>
      </c>
    </row>
    <row r="211" spans="1:15" ht="15" customHeight="1" x14ac:dyDescent="0.35">
      <c r="A211" s="7">
        <v>175</v>
      </c>
      <c r="B211" s="67">
        <f t="shared" si="0"/>
        <v>356.92</v>
      </c>
      <c r="C211" s="67">
        <f t="shared" si="1"/>
        <v>153.09</v>
      </c>
      <c r="D211" s="67">
        <f t="shared" si="2"/>
        <v>203.83</v>
      </c>
      <c r="E211" s="67">
        <f t="shared" si="3"/>
        <v>53826.560000000049</v>
      </c>
      <c r="F211" s="83">
        <v>0</v>
      </c>
      <c r="G211" s="83">
        <f t="shared" si="4"/>
        <v>356.92</v>
      </c>
      <c r="I211" s="85">
        <v>175</v>
      </c>
      <c r="J211" s="83">
        <f t="shared" si="5"/>
        <v>344.09000000000003</v>
      </c>
      <c r="K211" s="83">
        <f t="shared" si="6"/>
        <v>123.66</v>
      </c>
      <c r="L211" s="83">
        <f t="shared" si="7"/>
        <v>220.43</v>
      </c>
      <c r="M211" s="83">
        <f t="shared" si="8"/>
        <v>43424.750000000487</v>
      </c>
      <c r="N211" s="83">
        <v>0</v>
      </c>
      <c r="O211" s="83">
        <f t="shared" si="10"/>
        <v>344.09000000000003</v>
      </c>
    </row>
    <row r="212" spans="1:15" ht="15" customHeight="1" x14ac:dyDescent="0.35">
      <c r="A212" s="7">
        <v>176</v>
      </c>
      <c r="B212" s="67">
        <f t="shared" si="0"/>
        <v>356.92</v>
      </c>
      <c r="C212" s="67">
        <f t="shared" si="1"/>
        <v>152.51</v>
      </c>
      <c r="D212" s="67">
        <f t="shared" si="2"/>
        <v>204.41000000000003</v>
      </c>
      <c r="E212" s="67">
        <f t="shared" si="3"/>
        <v>53622.150000000045</v>
      </c>
      <c r="F212" s="83">
        <v>0</v>
      </c>
      <c r="G212" s="83">
        <f t="shared" si="4"/>
        <v>356.92</v>
      </c>
      <c r="I212" s="85">
        <v>176</v>
      </c>
      <c r="J212" s="83">
        <f t="shared" si="5"/>
        <v>343.47</v>
      </c>
      <c r="K212" s="83">
        <f t="shared" si="6"/>
        <v>123.04</v>
      </c>
      <c r="L212" s="83">
        <f t="shared" si="7"/>
        <v>220.43</v>
      </c>
      <c r="M212" s="83">
        <f t="shared" si="8"/>
        <v>43204.320000000487</v>
      </c>
      <c r="N212" s="83">
        <v>0</v>
      </c>
      <c r="O212" s="83">
        <f t="shared" si="10"/>
        <v>343.47</v>
      </c>
    </row>
    <row r="213" spans="1:15" ht="15" customHeight="1" x14ac:dyDescent="0.35">
      <c r="A213" s="7">
        <v>177</v>
      </c>
      <c r="B213" s="67">
        <f t="shared" si="0"/>
        <v>356.92</v>
      </c>
      <c r="C213" s="67">
        <f t="shared" si="1"/>
        <v>151.93</v>
      </c>
      <c r="D213" s="67">
        <f t="shared" si="2"/>
        <v>204.99</v>
      </c>
      <c r="E213" s="67">
        <f t="shared" si="3"/>
        <v>53417.160000000047</v>
      </c>
      <c r="F213" s="83">
        <v>0</v>
      </c>
      <c r="G213" s="83">
        <f t="shared" si="4"/>
        <v>356.92</v>
      </c>
      <c r="I213" s="85">
        <v>177</v>
      </c>
      <c r="J213" s="83">
        <f t="shared" si="5"/>
        <v>342.84000000000003</v>
      </c>
      <c r="K213" s="83">
        <f t="shared" si="6"/>
        <v>122.41</v>
      </c>
      <c r="L213" s="83">
        <f t="shared" si="7"/>
        <v>220.43</v>
      </c>
      <c r="M213" s="83">
        <f t="shared" si="8"/>
        <v>42983.890000000487</v>
      </c>
      <c r="N213" s="83">
        <v>0</v>
      </c>
      <c r="O213" s="83">
        <f t="shared" si="10"/>
        <v>342.84000000000003</v>
      </c>
    </row>
    <row r="214" spans="1:15" ht="15" customHeight="1" x14ac:dyDescent="0.35">
      <c r="A214" s="7">
        <v>178</v>
      </c>
      <c r="B214" s="67">
        <f t="shared" si="0"/>
        <v>356.92</v>
      </c>
      <c r="C214" s="67">
        <f t="shared" si="1"/>
        <v>151.35</v>
      </c>
      <c r="D214" s="67">
        <f t="shared" si="2"/>
        <v>205.57000000000002</v>
      </c>
      <c r="E214" s="67">
        <f t="shared" si="3"/>
        <v>53211.590000000047</v>
      </c>
      <c r="F214" s="83">
        <v>0</v>
      </c>
      <c r="G214" s="83">
        <f t="shared" si="4"/>
        <v>356.92</v>
      </c>
      <c r="I214" s="85">
        <v>178</v>
      </c>
      <c r="J214" s="83">
        <f t="shared" si="5"/>
        <v>342.22</v>
      </c>
      <c r="K214" s="83">
        <f t="shared" si="6"/>
        <v>121.79</v>
      </c>
      <c r="L214" s="83">
        <f t="shared" si="7"/>
        <v>220.43</v>
      </c>
      <c r="M214" s="83">
        <f t="shared" si="8"/>
        <v>42763.460000000487</v>
      </c>
      <c r="N214" s="83">
        <v>0</v>
      </c>
      <c r="O214" s="83">
        <f t="shared" si="10"/>
        <v>342.22</v>
      </c>
    </row>
    <row r="215" spans="1:15" ht="15" customHeight="1" x14ac:dyDescent="0.35">
      <c r="A215" s="7">
        <v>179</v>
      </c>
      <c r="B215" s="67">
        <f t="shared" si="0"/>
        <v>356.92</v>
      </c>
      <c r="C215" s="67">
        <f t="shared" si="1"/>
        <v>150.77000000000001</v>
      </c>
      <c r="D215" s="67">
        <f t="shared" si="2"/>
        <v>206.15</v>
      </c>
      <c r="E215" s="67">
        <f t="shared" si="3"/>
        <v>53005.440000000046</v>
      </c>
      <c r="F215" s="83">
        <v>0</v>
      </c>
      <c r="G215" s="83">
        <f t="shared" si="4"/>
        <v>356.92</v>
      </c>
      <c r="I215" s="85">
        <v>179</v>
      </c>
      <c r="J215" s="83">
        <f t="shared" si="5"/>
        <v>341.59000000000003</v>
      </c>
      <c r="K215" s="83">
        <f t="shared" si="6"/>
        <v>121.16</v>
      </c>
      <c r="L215" s="83">
        <f t="shared" si="7"/>
        <v>220.43</v>
      </c>
      <c r="M215" s="83">
        <f t="shared" si="8"/>
        <v>42543.030000000486</v>
      </c>
      <c r="N215" s="83">
        <v>0</v>
      </c>
      <c r="O215" s="83">
        <f t="shared" si="10"/>
        <v>341.59000000000003</v>
      </c>
    </row>
    <row r="216" spans="1:15" ht="15" customHeight="1" x14ac:dyDescent="0.35">
      <c r="A216" s="7">
        <v>180</v>
      </c>
      <c r="B216" s="67">
        <f t="shared" si="0"/>
        <v>356.92</v>
      </c>
      <c r="C216" s="67">
        <f t="shared" si="1"/>
        <v>150.18</v>
      </c>
      <c r="D216" s="67">
        <f t="shared" si="2"/>
        <v>206.74</v>
      </c>
      <c r="E216" s="67">
        <f t="shared" si="3"/>
        <v>52798.700000000048</v>
      </c>
      <c r="F216" s="83">
        <v>0</v>
      </c>
      <c r="G216" s="83">
        <f t="shared" si="4"/>
        <v>356.92</v>
      </c>
      <c r="I216" s="85">
        <v>180</v>
      </c>
      <c r="J216" s="83">
        <f t="shared" si="5"/>
        <v>340.97</v>
      </c>
      <c r="K216" s="83">
        <f t="shared" si="6"/>
        <v>120.54</v>
      </c>
      <c r="L216" s="83">
        <f t="shared" si="7"/>
        <v>220.43</v>
      </c>
      <c r="M216" s="83">
        <f t="shared" si="8"/>
        <v>42322.600000000486</v>
      </c>
      <c r="N216" s="83">
        <v>0</v>
      </c>
      <c r="O216" s="83">
        <f t="shared" si="10"/>
        <v>340.97</v>
      </c>
    </row>
    <row r="217" spans="1:15" ht="15" customHeight="1" x14ac:dyDescent="0.35">
      <c r="A217" s="7">
        <v>181</v>
      </c>
      <c r="B217" s="67">
        <f t="shared" si="0"/>
        <v>356.92</v>
      </c>
      <c r="C217" s="67">
        <f t="shared" si="1"/>
        <v>149.6</v>
      </c>
      <c r="D217" s="67">
        <f t="shared" si="2"/>
        <v>207.32000000000002</v>
      </c>
      <c r="E217" s="67">
        <f t="shared" si="3"/>
        <v>52591.380000000048</v>
      </c>
      <c r="F217" s="83">
        <v>0</v>
      </c>
      <c r="G217" s="83">
        <f t="shared" si="4"/>
        <v>356.92</v>
      </c>
      <c r="I217" s="85">
        <v>181</v>
      </c>
      <c r="J217" s="83">
        <f t="shared" si="5"/>
        <v>340.34000000000003</v>
      </c>
      <c r="K217" s="83">
        <f t="shared" si="6"/>
        <v>119.91</v>
      </c>
      <c r="L217" s="83">
        <f t="shared" si="7"/>
        <v>220.43</v>
      </c>
      <c r="M217" s="83">
        <f t="shared" si="8"/>
        <v>42102.170000000486</v>
      </c>
      <c r="N217" s="83">
        <v>0</v>
      </c>
      <c r="O217" s="83">
        <f t="shared" si="10"/>
        <v>340.34000000000003</v>
      </c>
    </row>
    <row r="218" spans="1:15" ht="15" customHeight="1" x14ac:dyDescent="0.35">
      <c r="A218" s="7">
        <v>182</v>
      </c>
      <c r="B218" s="67">
        <f t="shared" si="0"/>
        <v>356.92</v>
      </c>
      <c r="C218" s="67">
        <f t="shared" si="1"/>
        <v>149.01</v>
      </c>
      <c r="D218" s="67">
        <f t="shared" si="2"/>
        <v>207.91000000000003</v>
      </c>
      <c r="E218" s="67">
        <f t="shared" si="3"/>
        <v>52383.470000000045</v>
      </c>
      <c r="F218" s="83">
        <v>0</v>
      </c>
      <c r="G218" s="83">
        <f t="shared" si="4"/>
        <v>356.92</v>
      </c>
      <c r="I218" s="85">
        <v>182</v>
      </c>
      <c r="J218" s="83">
        <f t="shared" si="5"/>
        <v>339.72</v>
      </c>
      <c r="K218" s="83">
        <f t="shared" si="6"/>
        <v>119.29</v>
      </c>
      <c r="L218" s="83">
        <f t="shared" si="7"/>
        <v>220.43</v>
      </c>
      <c r="M218" s="83">
        <f t="shared" si="8"/>
        <v>41881.740000000485</v>
      </c>
      <c r="N218" s="83">
        <v>0</v>
      </c>
      <c r="O218" s="83">
        <f t="shared" si="10"/>
        <v>339.72</v>
      </c>
    </row>
    <row r="219" spans="1:15" ht="15" customHeight="1" x14ac:dyDescent="0.35">
      <c r="A219" s="7">
        <v>183</v>
      </c>
      <c r="B219" s="67">
        <f t="shared" si="0"/>
        <v>356.92</v>
      </c>
      <c r="C219" s="67">
        <f t="shared" si="1"/>
        <v>148.41999999999999</v>
      </c>
      <c r="D219" s="67">
        <f t="shared" si="2"/>
        <v>208.50000000000003</v>
      </c>
      <c r="E219" s="67">
        <f t="shared" si="3"/>
        <v>52174.970000000045</v>
      </c>
      <c r="F219" s="83">
        <v>0</v>
      </c>
      <c r="G219" s="83">
        <f t="shared" si="4"/>
        <v>356.92</v>
      </c>
      <c r="I219" s="85">
        <v>183</v>
      </c>
      <c r="J219" s="83">
        <f t="shared" si="5"/>
        <v>339.09000000000003</v>
      </c>
      <c r="K219" s="83">
        <f t="shared" si="6"/>
        <v>118.66</v>
      </c>
      <c r="L219" s="83">
        <f t="shared" si="7"/>
        <v>220.43</v>
      </c>
      <c r="M219" s="83">
        <f t="shared" si="8"/>
        <v>41661.310000000485</v>
      </c>
      <c r="N219" s="83">
        <v>0</v>
      </c>
      <c r="O219" s="83">
        <f t="shared" si="10"/>
        <v>339.09000000000003</v>
      </c>
    </row>
    <row r="220" spans="1:15" ht="15" customHeight="1" x14ac:dyDescent="0.35">
      <c r="A220" s="7">
        <v>184</v>
      </c>
      <c r="B220" s="67">
        <f t="shared" si="0"/>
        <v>356.92</v>
      </c>
      <c r="C220" s="67">
        <f t="shared" si="1"/>
        <v>147.83000000000001</v>
      </c>
      <c r="D220" s="67">
        <f t="shared" si="2"/>
        <v>209.09</v>
      </c>
      <c r="E220" s="67">
        <f t="shared" si="3"/>
        <v>51965.880000000048</v>
      </c>
      <c r="F220" s="83">
        <v>0</v>
      </c>
      <c r="G220" s="83">
        <f t="shared" si="4"/>
        <v>356.92</v>
      </c>
      <c r="I220" s="85">
        <v>184</v>
      </c>
      <c r="J220" s="83">
        <f t="shared" si="5"/>
        <v>338.47</v>
      </c>
      <c r="K220" s="83">
        <f t="shared" si="6"/>
        <v>118.04</v>
      </c>
      <c r="L220" s="83">
        <f t="shared" si="7"/>
        <v>220.43</v>
      </c>
      <c r="M220" s="83">
        <f t="shared" si="8"/>
        <v>41440.880000000485</v>
      </c>
      <c r="N220" s="83">
        <v>0</v>
      </c>
      <c r="O220" s="83">
        <f t="shared" si="10"/>
        <v>338.47</v>
      </c>
    </row>
    <row r="221" spans="1:15" ht="15" customHeight="1" x14ac:dyDescent="0.35">
      <c r="A221" s="7">
        <v>185</v>
      </c>
      <c r="B221" s="67">
        <f t="shared" si="0"/>
        <v>356.92</v>
      </c>
      <c r="C221" s="67">
        <f t="shared" si="1"/>
        <v>147.24</v>
      </c>
      <c r="D221" s="67">
        <f t="shared" si="2"/>
        <v>209.68</v>
      </c>
      <c r="E221" s="67">
        <f t="shared" si="3"/>
        <v>51756.200000000048</v>
      </c>
      <c r="F221" s="83">
        <v>0</v>
      </c>
      <c r="G221" s="83">
        <f t="shared" si="4"/>
        <v>356.92</v>
      </c>
      <c r="I221" s="85">
        <v>185</v>
      </c>
      <c r="J221" s="83">
        <f t="shared" si="5"/>
        <v>337.85</v>
      </c>
      <c r="K221" s="83">
        <f t="shared" si="6"/>
        <v>117.42</v>
      </c>
      <c r="L221" s="83">
        <f t="shared" si="7"/>
        <v>220.43</v>
      </c>
      <c r="M221" s="83">
        <f t="shared" si="8"/>
        <v>41220.450000000485</v>
      </c>
      <c r="N221" s="83">
        <v>0</v>
      </c>
      <c r="O221" s="83">
        <f t="shared" si="10"/>
        <v>337.85</v>
      </c>
    </row>
    <row r="222" spans="1:15" ht="15" customHeight="1" x14ac:dyDescent="0.35">
      <c r="A222" s="7">
        <v>186</v>
      </c>
      <c r="B222" s="67">
        <f t="shared" si="0"/>
        <v>356.92</v>
      </c>
      <c r="C222" s="67">
        <f t="shared" si="1"/>
        <v>146.63999999999999</v>
      </c>
      <c r="D222" s="67">
        <f t="shared" si="2"/>
        <v>210.28000000000003</v>
      </c>
      <c r="E222" s="67">
        <f t="shared" si="3"/>
        <v>51545.920000000049</v>
      </c>
      <c r="F222" s="83">
        <v>0</v>
      </c>
      <c r="G222" s="83">
        <f t="shared" si="4"/>
        <v>356.92</v>
      </c>
      <c r="I222" s="85">
        <v>186</v>
      </c>
      <c r="J222" s="83">
        <f t="shared" si="5"/>
        <v>337.22</v>
      </c>
      <c r="K222" s="83">
        <f t="shared" si="6"/>
        <v>116.79</v>
      </c>
      <c r="L222" s="83">
        <f t="shared" si="7"/>
        <v>220.43</v>
      </c>
      <c r="M222" s="83">
        <f t="shared" si="8"/>
        <v>41000.020000000484</v>
      </c>
      <c r="N222" s="83">
        <v>0</v>
      </c>
      <c r="O222" s="83">
        <f t="shared" si="10"/>
        <v>337.22</v>
      </c>
    </row>
    <row r="223" spans="1:15" ht="15" customHeight="1" x14ac:dyDescent="0.35">
      <c r="A223" s="7">
        <v>187</v>
      </c>
      <c r="B223" s="67">
        <f t="shared" si="0"/>
        <v>356.92</v>
      </c>
      <c r="C223" s="67">
        <f t="shared" si="1"/>
        <v>146.05000000000001</v>
      </c>
      <c r="D223" s="67">
        <f t="shared" si="2"/>
        <v>210.87</v>
      </c>
      <c r="E223" s="67">
        <f t="shared" si="3"/>
        <v>51335.050000000047</v>
      </c>
      <c r="F223" s="83">
        <v>0</v>
      </c>
      <c r="G223" s="83">
        <f t="shared" si="4"/>
        <v>356.92</v>
      </c>
      <c r="I223" s="85">
        <v>187</v>
      </c>
      <c r="J223" s="83">
        <f t="shared" si="5"/>
        <v>336.6</v>
      </c>
      <c r="K223" s="83">
        <f t="shared" si="6"/>
        <v>116.17</v>
      </c>
      <c r="L223" s="83">
        <f t="shared" si="7"/>
        <v>220.43</v>
      </c>
      <c r="M223" s="83">
        <f t="shared" si="8"/>
        <v>40779.590000000484</v>
      </c>
      <c r="N223" s="83">
        <v>0</v>
      </c>
      <c r="O223" s="83">
        <f t="shared" si="10"/>
        <v>336.6</v>
      </c>
    </row>
    <row r="224" spans="1:15" ht="15" customHeight="1" x14ac:dyDescent="0.35">
      <c r="A224" s="7">
        <v>188</v>
      </c>
      <c r="B224" s="67">
        <f t="shared" si="0"/>
        <v>356.92</v>
      </c>
      <c r="C224" s="67">
        <f t="shared" si="1"/>
        <v>145.44999999999999</v>
      </c>
      <c r="D224" s="67">
        <f t="shared" si="2"/>
        <v>211.47000000000003</v>
      </c>
      <c r="E224" s="67">
        <f t="shared" si="3"/>
        <v>51123.580000000045</v>
      </c>
      <c r="F224" s="83">
        <v>0</v>
      </c>
      <c r="G224" s="83">
        <f t="shared" si="4"/>
        <v>356.92</v>
      </c>
      <c r="I224" s="85">
        <v>188</v>
      </c>
      <c r="J224" s="83">
        <f t="shared" si="5"/>
        <v>335.97</v>
      </c>
      <c r="K224" s="83">
        <f t="shared" si="6"/>
        <v>115.54</v>
      </c>
      <c r="L224" s="83">
        <f t="shared" si="7"/>
        <v>220.43</v>
      </c>
      <c r="M224" s="83">
        <f t="shared" si="8"/>
        <v>40559.160000000484</v>
      </c>
      <c r="N224" s="83">
        <v>0</v>
      </c>
      <c r="O224" s="83">
        <f t="shared" si="10"/>
        <v>335.97</v>
      </c>
    </row>
    <row r="225" spans="1:15" ht="15" customHeight="1" x14ac:dyDescent="0.35">
      <c r="A225" s="7">
        <v>189</v>
      </c>
      <c r="B225" s="67">
        <f t="shared" si="0"/>
        <v>356.92</v>
      </c>
      <c r="C225" s="67">
        <f t="shared" si="1"/>
        <v>144.85</v>
      </c>
      <c r="D225" s="67">
        <f t="shared" si="2"/>
        <v>212.07000000000002</v>
      </c>
      <c r="E225" s="67">
        <f t="shared" si="3"/>
        <v>50911.510000000046</v>
      </c>
      <c r="F225" s="83">
        <v>0</v>
      </c>
      <c r="G225" s="83">
        <f t="shared" si="4"/>
        <v>356.92</v>
      </c>
      <c r="I225" s="85">
        <v>189</v>
      </c>
      <c r="J225" s="83">
        <f t="shared" si="5"/>
        <v>335.35</v>
      </c>
      <c r="K225" s="83">
        <f t="shared" si="6"/>
        <v>114.92</v>
      </c>
      <c r="L225" s="83">
        <f t="shared" si="7"/>
        <v>220.43</v>
      </c>
      <c r="M225" s="83">
        <f t="shared" si="8"/>
        <v>40338.730000000483</v>
      </c>
      <c r="N225" s="83">
        <v>0</v>
      </c>
      <c r="O225" s="83">
        <f t="shared" si="10"/>
        <v>335.35</v>
      </c>
    </row>
    <row r="226" spans="1:15" ht="15" customHeight="1" x14ac:dyDescent="0.35">
      <c r="A226" s="7">
        <v>190</v>
      </c>
      <c r="B226" s="67">
        <f t="shared" si="0"/>
        <v>356.92</v>
      </c>
      <c r="C226" s="67">
        <f t="shared" si="1"/>
        <v>144.25</v>
      </c>
      <c r="D226" s="67">
        <f t="shared" si="2"/>
        <v>212.67000000000002</v>
      </c>
      <c r="E226" s="67">
        <f t="shared" si="3"/>
        <v>50698.840000000047</v>
      </c>
      <c r="F226" s="83">
        <v>0</v>
      </c>
      <c r="G226" s="83">
        <f t="shared" si="4"/>
        <v>356.92</v>
      </c>
      <c r="I226" s="85">
        <v>190</v>
      </c>
      <c r="J226" s="83">
        <f t="shared" si="5"/>
        <v>334.72</v>
      </c>
      <c r="K226" s="83">
        <f t="shared" si="6"/>
        <v>114.29</v>
      </c>
      <c r="L226" s="83">
        <f t="shared" si="7"/>
        <v>220.43</v>
      </c>
      <c r="M226" s="83">
        <f t="shared" si="8"/>
        <v>40118.300000000483</v>
      </c>
      <c r="N226" s="83">
        <v>0</v>
      </c>
      <c r="O226" s="83">
        <f t="shared" si="10"/>
        <v>334.72</v>
      </c>
    </row>
    <row r="227" spans="1:15" ht="15" customHeight="1" x14ac:dyDescent="0.35">
      <c r="A227" s="7">
        <v>191</v>
      </c>
      <c r="B227" s="67">
        <f t="shared" si="0"/>
        <v>356.92</v>
      </c>
      <c r="C227" s="67">
        <f t="shared" si="1"/>
        <v>143.65</v>
      </c>
      <c r="D227" s="67">
        <f t="shared" si="2"/>
        <v>213.27</v>
      </c>
      <c r="E227" s="67">
        <f t="shared" si="3"/>
        <v>50485.570000000051</v>
      </c>
      <c r="F227" s="83">
        <v>0</v>
      </c>
      <c r="G227" s="83">
        <f t="shared" si="4"/>
        <v>356.92</v>
      </c>
      <c r="I227" s="85">
        <v>191</v>
      </c>
      <c r="J227" s="83">
        <f t="shared" si="5"/>
        <v>334.1</v>
      </c>
      <c r="K227" s="83">
        <f t="shared" si="6"/>
        <v>113.67</v>
      </c>
      <c r="L227" s="83">
        <f t="shared" si="7"/>
        <v>220.43</v>
      </c>
      <c r="M227" s="83">
        <f t="shared" si="8"/>
        <v>39897.870000000483</v>
      </c>
      <c r="N227" s="83">
        <v>0</v>
      </c>
      <c r="O227" s="83">
        <f t="shared" si="10"/>
        <v>334.1</v>
      </c>
    </row>
    <row r="228" spans="1:15" ht="15" customHeight="1" x14ac:dyDescent="0.35">
      <c r="A228" s="7">
        <v>192</v>
      </c>
      <c r="B228" s="67">
        <f t="shared" si="0"/>
        <v>356.92</v>
      </c>
      <c r="C228" s="67">
        <f t="shared" si="1"/>
        <v>143.04</v>
      </c>
      <c r="D228" s="67">
        <f t="shared" si="2"/>
        <v>213.88000000000002</v>
      </c>
      <c r="E228" s="67">
        <f t="shared" si="3"/>
        <v>50271.690000000053</v>
      </c>
      <c r="F228" s="83">
        <v>0</v>
      </c>
      <c r="G228" s="83">
        <f t="shared" si="4"/>
        <v>356.92</v>
      </c>
      <c r="I228" s="85">
        <v>192</v>
      </c>
      <c r="J228" s="83">
        <f t="shared" si="5"/>
        <v>333.47</v>
      </c>
      <c r="K228" s="83">
        <f t="shared" si="6"/>
        <v>113.04</v>
      </c>
      <c r="L228" s="83">
        <f t="shared" si="7"/>
        <v>220.43</v>
      </c>
      <c r="M228" s="83">
        <f t="shared" si="8"/>
        <v>39677.440000000483</v>
      </c>
      <c r="N228" s="83">
        <v>0</v>
      </c>
      <c r="O228" s="83">
        <f t="shared" si="10"/>
        <v>333.47</v>
      </c>
    </row>
    <row r="229" spans="1:15" ht="15" customHeight="1" x14ac:dyDescent="0.35">
      <c r="A229" s="7">
        <v>193</v>
      </c>
      <c r="B229" s="67">
        <f t="shared" si="0"/>
        <v>356.92</v>
      </c>
      <c r="C229" s="67">
        <f t="shared" si="1"/>
        <v>142.44</v>
      </c>
      <c r="D229" s="67">
        <f t="shared" si="2"/>
        <v>214.48000000000002</v>
      </c>
      <c r="E229" s="67">
        <f t="shared" si="3"/>
        <v>50057.21000000005</v>
      </c>
      <c r="F229" s="83">
        <v>0</v>
      </c>
      <c r="G229" s="83">
        <f t="shared" si="4"/>
        <v>356.92</v>
      </c>
      <c r="I229" s="85">
        <v>193</v>
      </c>
      <c r="J229" s="83">
        <f t="shared" si="5"/>
        <v>332.85</v>
      </c>
      <c r="K229" s="83">
        <f t="shared" si="6"/>
        <v>112.42</v>
      </c>
      <c r="L229" s="83">
        <f t="shared" si="7"/>
        <v>220.43</v>
      </c>
      <c r="M229" s="83">
        <f t="shared" si="8"/>
        <v>39457.010000000482</v>
      </c>
      <c r="N229" s="83">
        <v>0</v>
      </c>
      <c r="O229" s="83">
        <f t="shared" si="10"/>
        <v>332.85</v>
      </c>
    </row>
    <row r="230" spans="1:15" ht="15" customHeight="1" x14ac:dyDescent="0.35">
      <c r="A230" s="7">
        <v>194</v>
      </c>
      <c r="B230" s="67">
        <f t="shared" si="0"/>
        <v>356.92</v>
      </c>
      <c r="C230" s="67">
        <f t="shared" si="1"/>
        <v>141.83000000000001</v>
      </c>
      <c r="D230" s="67">
        <f t="shared" si="2"/>
        <v>215.09</v>
      </c>
      <c r="E230" s="67">
        <f t="shared" si="3"/>
        <v>49842.120000000054</v>
      </c>
      <c r="F230" s="83">
        <v>0</v>
      </c>
      <c r="G230" s="83">
        <f t="shared" si="4"/>
        <v>356.92</v>
      </c>
      <c r="I230" s="85">
        <v>194</v>
      </c>
      <c r="J230" s="83">
        <f t="shared" si="5"/>
        <v>332.22</v>
      </c>
      <c r="K230" s="83">
        <f t="shared" si="6"/>
        <v>111.79</v>
      </c>
      <c r="L230" s="83">
        <f t="shared" si="7"/>
        <v>220.43</v>
      </c>
      <c r="M230" s="83">
        <f t="shared" si="8"/>
        <v>39236.580000000482</v>
      </c>
      <c r="N230" s="83">
        <v>0</v>
      </c>
      <c r="O230" s="83">
        <f t="shared" si="10"/>
        <v>332.22</v>
      </c>
    </row>
    <row r="231" spans="1:15" ht="15" customHeight="1" x14ac:dyDescent="0.35">
      <c r="A231" s="7">
        <v>195</v>
      </c>
      <c r="B231" s="67">
        <f t="shared" si="0"/>
        <v>356.92</v>
      </c>
      <c r="C231" s="67">
        <f t="shared" si="1"/>
        <v>141.22</v>
      </c>
      <c r="D231" s="67">
        <f t="shared" si="2"/>
        <v>215.70000000000002</v>
      </c>
      <c r="E231" s="67">
        <f t="shared" si="3"/>
        <v>49626.420000000056</v>
      </c>
      <c r="F231" s="83">
        <v>0</v>
      </c>
      <c r="G231" s="83">
        <f t="shared" si="4"/>
        <v>356.92</v>
      </c>
      <c r="I231" s="85">
        <v>195</v>
      </c>
      <c r="J231" s="83">
        <f t="shared" si="5"/>
        <v>331.6</v>
      </c>
      <c r="K231" s="83">
        <f t="shared" si="6"/>
        <v>111.17</v>
      </c>
      <c r="L231" s="83">
        <f t="shared" si="7"/>
        <v>220.43</v>
      </c>
      <c r="M231" s="83">
        <f t="shared" si="8"/>
        <v>39016.150000000482</v>
      </c>
      <c r="N231" s="83">
        <v>0</v>
      </c>
      <c r="O231" s="83">
        <f t="shared" si="10"/>
        <v>331.6</v>
      </c>
    </row>
    <row r="232" spans="1:15" ht="15" customHeight="1" x14ac:dyDescent="0.35">
      <c r="A232" s="7">
        <v>196</v>
      </c>
      <c r="B232" s="67">
        <f t="shared" si="0"/>
        <v>356.92</v>
      </c>
      <c r="C232" s="67">
        <f t="shared" si="1"/>
        <v>140.61000000000001</v>
      </c>
      <c r="D232" s="67">
        <f t="shared" si="2"/>
        <v>216.31</v>
      </c>
      <c r="E232" s="67">
        <f t="shared" si="3"/>
        <v>49410.110000000059</v>
      </c>
      <c r="F232" s="83">
        <v>0</v>
      </c>
      <c r="G232" s="83">
        <f t="shared" si="4"/>
        <v>356.92</v>
      </c>
      <c r="I232" s="85">
        <v>196</v>
      </c>
      <c r="J232" s="83">
        <f t="shared" si="5"/>
        <v>330.98</v>
      </c>
      <c r="K232" s="83">
        <f t="shared" si="6"/>
        <v>110.55</v>
      </c>
      <c r="L232" s="83">
        <f t="shared" si="7"/>
        <v>220.43</v>
      </c>
      <c r="M232" s="83">
        <f t="shared" si="8"/>
        <v>38795.720000000481</v>
      </c>
      <c r="N232" s="83">
        <v>0</v>
      </c>
      <c r="O232" s="83">
        <f t="shared" si="10"/>
        <v>330.98</v>
      </c>
    </row>
    <row r="233" spans="1:15" ht="15" customHeight="1" x14ac:dyDescent="0.35">
      <c r="A233" s="7">
        <v>197</v>
      </c>
      <c r="B233" s="67">
        <f t="shared" si="0"/>
        <v>356.92</v>
      </c>
      <c r="C233" s="67">
        <f t="shared" si="1"/>
        <v>140</v>
      </c>
      <c r="D233" s="67">
        <f t="shared" si="2"/>
        <v>216.92000000000002</v>
      </c>
      <c r="E233" s="67">
        <f t="shared" si="3"/>
        <v>49193.190000000061</v>
      </c>
      <c r="F233" s="83">
        <v>0</v>
      </c>
      <c r="G233" s="83">
        <f t="shared" si="4"/>
        <v>356.92</v>
      </c>
      <c r="I233" s="85">
        <v>197</v>
      </c>
      <c r="J233" s="83">
        <f t="shared" si="5"/>
        <v>330.35</v>
      </c>
      <c r="K233" s="83">
        <f t="shared" si="6"/>
        <v>109.92</v>
      </c>
      <c r="L233" s="83">
        <f t="shared" si="7"/>
        <v>220.43</v>
      </c>
      <c r="M233" s="83">
        <f t="shared" si="8"/>
        <v>38575.290000000481</v>
      </c>
      <c r="N233" s="83">
        <v>0</v>
      </c>
      <c r="O233" s="83">
        <f t="shared" si="10"/>
        <v>330.35</v>
      </c>
    </row>
    <row r="234" spans="1:15" ht="15" customHeight="1" x14ac:dyDescent="0.35">
      <c r="A234" s="7">
        <v>198</v>
      </c>
      <c r="B234" s="67">
        <f t="shared" si="0"/>
        <v>356.92</v>
      </c>
      <c r="C234" s="67">
        <f t="shared" si="1"/>
        <v>139.38</v>
      </c>
      <c r="D234" s="67">
        <f t="shared" si="2"/>
        <v>217.54000000000002</v>
      </c>
      <c r="E234" s="67">
        <f t="shared" si="3"/>
        <v>48975.65000000006</v>
      </c>
      <c r="F234" s="83">
        <v>0</v>
      </c>
      <c r="G234" s="83">
        <f t="shared" si="4"/>
        <v>356.92</v>
      </c>
      <c r="I234" s="85">
        <v>198</v>
      </c>
      <c r="J234" s="83">
        <f t="shared" si="5"/>
        <v>329.73</v>
      </c>
      <c r="K234" s="83">
        <f t="shared" si="6"/>
        <v>109.3</v>
      </c>
      <c r="L234" s="83">
        <f t="shared" si="7"/>
        <v>220.43</v>
      </c>
      <c r="M234" s="83">
        <f t="shared" si="8"/>
        <v>38354.860000000481</v>
      </c>
      <c r="N234" s="83">
        <v>0</v>
      </c>
      <c r="O234" s="83">
        <f t="shared" si="10"/>
        <v>329.73</v>
      </c>
    </row>
    <row r="235" spans="1:15" ht="15" customHeight="1" x14ac:dyDescent="0.35">
      <c r="A235" s="7">
        <v>199</v>
      </c>
      <c r="B235" s="67">
        <f t="shared" si="0"/>
        <v>356.92</v>
      </c>
      <c r="C235" s="67">
        <f t="shared" si="1"/>
        <v>138.76</v>
      </c>
      <c r="D235" s="67">
        <f t="shared" si="2"/>
        <v>218.16000000000003</v>
      </c>
      <c r="E235" s="67">
        <f t="shared" si="3"/>
        <v>48757.490000000056</v>
      </c>
      <c r="F235" s="83">
        <v>0</v>
      </c>
      <c r="G235" s="83">
        <f t="shared" si="4"/>
        <v>356.92</v>
      </c>
      <c r="I235" s="85">
        <v>199</v>
      </c>
      <c r="J235" s="83">
        <f t="shared" si="5"/>
        <v>329.1</v>
      </c>
      <c r="K235" s="83">
        <f t="shared" si="6"/>
        <v>108.67</v>
      </c>
      <c r="L235" s="83">
        <f t="shared" si="7"/>
        <v>220.43</v>
      </c>
      <c r="M235" s="83">
        <f t="shared" si="8"/>
        <v>38134.430000000481</v>
      </c>
      <c r="N235" s="83">
        <v>0</v>
      </c>
      <c r="O235" s="83">
        <f t="shared" si="10"/>
        <v>329.1</v>
      </c>
    </row>
    <row r="236" spans="1:15" ht="15" customHeight="1" x14ac:dyDescent="0.35">
      <c r="A236" s="7">
        <v>200</v>
      </c>
      <c r="B236" s="67">
        <f t="shared" si="0"/>
        <v>356.92</v>
      </c>
      <c r="C236" s="67">
        <f t="shared" si="1"/>
        <v>138.15</v>
      </c>
      <c r="D236" s="67">
        <f t="shared" si="2"/>
        <v>218.77</v>
      </c>
      <c r="E236" s="67">
        <f t="shared" si="3"/>
        <v>48538.720000000059</v>
      </c>
      <c r="F236" s="83">
        <v>0</v>
      </c>
      <c r="G236" s="83">
        <f t="shared" si="4"/>
        <v>356.92</v>
      </c>
      <c r="I236" s="85">
        <v>200</v>
      </c>
      <c r="J236" s="83">
        <f t="shared" si="5"/>
        <v>328.48</v>
      </c>
      <c r="K236" s="83">
        <f t="shared" si="6"/>
        <v>108.05</v>
      </c>
      <c r="L236" s="83">
        <f t="shared" si="7"/>
        <v>220.43</v>
      </c>
      <c r="M236" s="83">
        <f t="shared" si="8"/>
        <v>37914.00000000048</v>
      </c>
      <c r="N236" s="83">
        <v>0</v>
      </c>
      <c r="O236" s="83">
        <f t="shared" si="10"/>
        <v>328.48</v>
      </c>
    </row>
    <row r="237" spans="1:15" ht="15" customHeight="1" x14ac:dyDescent="0.35">
      <c r="A237" s="7">
        <v>201</v>
      </c>
      <c r="B237" s="67">
        <f t="shared" si="0"/>
        <v>356.92</v>
      </c>
      <c r="C237" s="67">
        <f t="shared" si="1"/>
        <v>137.53</v>
      </c>
      <c r="D237" s="67">
        <f t="shared" si="2"/>
        <v>219.39000000000001</v>
      </c>
      <c r="E237" s="67">
        <f t="shared" si="3"/>
        <v>48319.33000000006</v>
      </c>
      <c r="F237" s="83">
        <v>0</v>
      </c>
      <c r="G237" s="83">
        <f t="shared" si="4"/>
        <v>356.92</v>
      </c>
      <c r="I237" s="85">
        <v>201</v>
      </c>
      <c r="J237" s="83">
        <f t="shared" si="5"/>
        <v>327.85</v>
      </c>
      <c r="K237" s="83">
        <f t="shared" si="6"/>
        <v>107.42</v>
      </c>
      <c r="L237" s="83">
        <f t="shared" si="7"/>
        <v>220.43</v>
      </c>
      <c r="M237" s="83">
        <f t="shared" si="8"/>
        <v>37693.57000000048</v>
      </c>
      <c r="N237" s="83">
        <v>0</v>
      </c>
      <c r="O237" s="83">
        <f t="shared" si="10"/>
        <v>327.85</v>
      </c>
    </row>
    <row r="238" spans="1:15" ht="15" customHeight="1" x14ac:dyDescent="0.35">
      <c r="A238" s="7">
        <v>202</v>
      </c>
      <c r="B238" s="67">
        <f t="shared" si="0"/>
        <v>356.92</v>
      </c>
      <c r="C238" s="67">
        <f t="shared" si="1"/>
        <v>136.9</v>
      </c>
      <c r="D238" s="67">
        <f t="shared" si="2"/>
        <v>220.02</v>
      </c>
      <c r="E238" s="67">
        <f t="shared" si="3"/>
        <v>48099.310000000063</v>
      </c>
      <c r="F238" s="83">
        <v>0</v>
      </c>
      <c r="G238" s="83">
        <f t="shared" si="4"/>
        <v>356.92</v>
      </c>
      <c r="I238" s="85">
        <v>202</v>
      </c>
      <c r="J238" s="83">
        <f t="shared" si="5"/>
        <v>327.23</v>
      </c>
      <c r="K238" s="83">
        <f t="shared" si="6"/>
        <v>106.8</v>
      </c>
      <c r="L238" s="83">
        <f t="shared" si="7"/>
        <v>220.43</v>
      </c>
      <c r="M238" s="83">
        <f t="shared" si="8"/>
        <v>37473.14000000048</v>
      </c>
      <c r="N238" s="83">
        <v>0</v>
      </c>
      <c r="O238" s="83">
        <f t="shared" si="10"/>
        <v>327.23</v>
      </c>
    </row>
    <row r="239" spans="1:15" ht="15" customHeight="1" x14ac:dyDescent="0.35">
      <c r="A239" s="7">
        <v>203</v>
      </c>
      <c r="B239" s="67">
        <f t="shared" si="0"/>
        <v>356.92</v>
      </c>
      <c r="C239" s="67">
        <f t="shared" si="1"/>
        <v>136.28</v>
      </c>
      <c r="D239" s="67">
        <f t="shared" si="2"/>
        <v>220.64000000000001</v>
      </c>
      <c r="E239" s="67">
        <f t="shared" si="3"/>
        <v>47878.670000000064</v>
      </c>
      <c r="F239" s="83">
        <v>0</v>
      </c>
      <c r="G239" s="83">
        <f t="shared" si="4"/>
        <v>356.92</v>
      </c>
      <c r="I239" s="85">
        <v>203</v>
      </c>
      <c r="J239" s="83">
        <f t="shared" si="5"/>
        <v>326.60000000000002</v>
      </c>
      <c r="K239" s="83">
        <f t="shared" si="6"/>
        <v>106.17</v>
      </c>
      <c r="L239" s="83">
        <f t="shared" si="7"/>
        <v>220.43</v>
      </c>
      <c r="M239" s="83">
        <f t="shared" si="8"/>
        <v>37252.710000000479</v>
      </c>
      <c r="N239" s="83">
        <v>0</v>
      </c>
      <c r="O239" s="83">
        <f t="shared" si="10"/>
        <v>326.60000000000002</v>
      </c>
    </row>
    <row r="240" spans="1:15" ht="15" customHeight="1" x14ac:dyDescent="0.35">
      <c r="A240" s="7">
        <v>204</v>
      </c>
      <c r="B240" s="67">
        <f t="shared" si="0"/>
        <v>356.92</v>
      </c>
      <c r="C240" s="67">
        <f t="shared" si="1"/>
        <v>135.66</v>
      </c>
      <c r="D240" s="67">
        <f t="shared" si="2"/>
        <v>221.26000000000002</v>
      </c>
      <c r="E240" s="67">
        <f t="shared" si="3"/>
        <v>47657.410000000062</v>
      </c>
      <c r="F240" s="83">
        <v>0</v>
      </c>
      <c r="G240" s="83">
        <f t="shared" si="4"/>
        <v>356.92</v>
      </c>
      <c r="I240" s="85">
        <v>204</v>
      </c>
      <c r="J240" s="83">
        <f t="shared" si="5"/>
        <v>325.98</v>
      </c>
      <c r="K240" s="83">
        <f t="shared" si="6"/>
        <v>105.55</v>
      </c>
      <c r="L240" s="83">
        <f t="shared" si="7"/>
        <v>220.43</v>
      </c>
      <c r="M240" s="83">
        <f t="shared" si="8"/>
        <v>37032.280000000479</v>
      </c>
      <c r="N240" s="83">
        <v>0</v>
      </c>
      <c r="O240" s="83">
        <f t="shared" si="10"/>
        <v>325.98</v>
      </c>
    </row>
    <row r="241" spans="1:15" ht="15" customHeight="1" x14ac:dyDescent="0.35">
      <c r="A241" s="7">
        <v>205</v>
      </c>
      <c r="B241" s="67">
        <f t="shared" si="0"/>
        <v>356.92</v>
      </c>
      <c r="C241" s="67">
        <f t="shared" si="1"/>
        <v>135.03</v>
      </c>
      <c r="D241" s="67">
        <f t="shared" si="2"/>
        <v>221.89000000000001</v>
      </c>
      <c r="E241" s="67">
        <f t="shared" si="3"/>
        <v>47435.520000000062</v>
      </c>
      <c r="F241" s="83">
        <v>0</v>
      </c>
      <c r="G241" s="83">
        <f t="shared" si="4"/>
        <v>356.92</v>
      </c>
      <c r="I241" s="85">
        <v>205</v>
      </c>
      <c r="J241" s="83">
        <f t="shared" si="5"/>
        <v>325.35000000000002</v>
      </c>
      <c r="K241" s="83">
        <f t="shared" si="6"/>
        <v>104.92</v>
      </c>
      <c r="L241" s="83">
        <f t="shared" si="7"/>
        <v>220.43</v>
      </c>
      <c r="M241" s="83">
        <f t="shared" si="8"/>
        <v>36811.850000000479</v>
      </c>
      <c r="N241" s="83">
        <v>0</v>
      </c>
      <c r="O241" s="83">
        <f t="shared" si="10"/>
        <v>325.35000000000002</v>
      </c>
    </row>
    <row r="242" spans="1:15" ht="15" customHeight="1" x14ac:dyDescent="0.35">
      <c r="A242" s="7">
        <v>206</v>
      </c>
      <c r="B242" s="67">
        <f t="shared" si="0"/>
        <v>356.92</v>
      </c>
      <c r="C242" s="67">
        <f t="shared" si="1"/>
        <v>134.4</v>
      </c>
      <c r="D242" s="67">
        <f t="shared" si="2"/>
        <v>222.52</v>
      </c>
      <c r="E242" s="67">
        <f t="shared" si="3"/>
        <v>47213.000000000065</v>
      </c>
      <c r="F242" s="83">
        <v>0</v>
      </c>
      <c r="G242" s="83">
        <f t="shared" si="4"/>
        <v>356.92</v>
      </c>
      <c r="I242" s="85">
        <v>206</v>
      </c>
      <c r="J242" s="83">
        <f t="shared" si="5"/>
        <v>324.73</v>
      </c>
      <c r="K242" s="83">
        <f t="shared" si="6"/>
        <v>104.3</v>
      </c>
      <c r="L242" s="83">
        <f t="shared" si="7"/>
        <v>220.43</v>
      </c>
      <c r="M242" s="83">
        <f t="shared" si="8"/>
        <v>36591.420000000478</v>
      </c>
      <c r="N242" s="83">
        <v>0</v>
      </c>
      <c r="O242" s="83">
        <f t="shared" si="10"/>
        <v>324.73</v>
      </c>
    </row>
    <row r="243" spans="1:15" ht="15" customHeight="1" x14ac:dyDescent="0.35">
      <c r="A243" s="7">
        <v>207</v>
      </c>
      <c r="B243" s="67">
        <f t="shared" si="0"/>
        <v>356.92</v>
      </c>
      <c r="C243" s="67">
        <f t="shared" si="1"/>
        <v>133.77000000000001</v>
      </c>
      <c r="D243" s="67">
        <f t="shared" si="2"/>
        <v>223.15</v>
      </c>
      <c r="E243" s="67">
        <f t="shared" si="3"/>
        <v>46989.850000000064</v>
      </c>
      <c r="F243" s="83">
        <v>0</v>
      </c>
      <c r="G243" s="83">
        <f t="shared" si="4"/>
        <v>356.92</v>
      </c>
      <c r="I243" s="85">
        <v>207</v>
      </c>
      <c r="J243" s="83">
        <f t="shared" si="5"/>
        <v>324.11</v>
      </c>
      <c r="K243" s="83">
        <f t="shared" si="6"/>
        <v>103.68</v>
      </c>
      <c r="L243" s="83">
        <f t="shared" si="7"/>
        <v>220.43</v>
      </c>
      <c r="M243" s="83">
        <f t="shared" si="8"/>
        <v>36370.990000000478</v>
      </c>
      <c r="N243" s="83">
        <v>0</v>
      </c>
      <c r="O243" s="83">
        <f t="shared" si="10"/>
        <v>324.11</v>
      </c>
    </row>
    <row r="244" spans="1:15" ht="15" customHeight="1" x14ac:dyDescent="0.35">
      <c r="A244" s="7">
        <v>208</v>
      </c>
      <c r="B244" s="67">
        <f t="shared" si="0"/>
        <v>356.92</v>
      </c>
      <c r="C244" s="67">
        <f t="shared" si="1"/>
        <v>133.13999999999999</v>
      </c>
      <c r="D244" s="67">
        <f t="shared" si="2"/>
        <v>223.78000000000003</v>
      </c>
      <c r="E244" s="67">
        <f t="shared" si="3"/>
        <v>46766.070000000065</v>
      </c>
      <c r="F244" s="83">
        <v>0</v>
      </c>
      <c r="G244" s="83">
        <f t="shared" si="4"/>
        <v>356.92</v>
      </c>
      <c r="I244" s="85">
        <v>208</v>
      </c>
      <c r="J244" s="83">
        <f t="shared" si="5"/>
        <v>323.48</v>
      </c>
      <c r="K244" s="83">
        <f t="shared" si="6"/>
        <v>103.05</v>
      </c>
      <c r="L244" s="83">
        <f t="shared" si="7"/>
        <v>220.43</v>
      </c>
      <c r="M244" s="83">
        <f t="shared" si="8"/>
        <v>36150.560000000478</v>
      </c>
      <c r="N244" s="83">
        <v>0</v>
      </c>
      <c r="O244" s="83">
        <f t="shared" si="10"/>
        <v>323.48</v>
      </c>
    </row>
    <row r="245" spans="1:15" ht="15" customHeight="1" x14ac:dyDescent="0.35">
      <c r="A245" s="7">
        <v>209</v>
      </c>
      <c r="B245" s="67">
        <f t="shared" si="0"/>
        <v>356.92</v>
      </c>
      <c r="C245" s="67">
        <f t="shared" si="1"/>
        <v>132.5</v>
      </c>
      <c r="D245" s="67">
        <f t="shared" si="2"/>
        <v>224.42000000000002</v>
      </c>
      <c r="E245" s="67">
        <f t="shared" si="3"/>
        <v>46541.650000000067</v>
      </c>
      <c r="F245" s="83">
        <v>0</v>
      </c>
      <c r="G245" s="83">
        <f t="shared" si="4"/>
        <v>356.92</v>
      </c>
      <c r="I245" s="85">
        <v>209</v>
      </c>
      <c r="J245" s="83">
        <f t="shared" si="5"/>
        <v>322.86</v>
      </c>
      <c r="K245" s="83">
        <f t="shared" si="6"/>
        <v>102.43</v>
      </c>
      <c r="L245" s="83">
        <f t="shared" si="7"/>
        <v>220.43</v>
      </c>
      <c r="M245" s="83">
        <f t="shared" si="8"/>
        <v>35930.130000000478</v>
      </c>
      <c r="N245" s="83">
        <v>0</v>
      </c>
      <c r="O245" s="83">
        <f t="shared" si="10"/>
        <v>322.86</v>
      </c>
    </row>
    <row r="246" spans="1:15" ht="15" customHeight="1" x14ac:dyDescent="0.35">
      <c r="A246" s="7">
        <v>210</v>
      </c>
      <c r="B246" s="67">
        <f t="shared" si="0"/>
        <v>356.92</v>
      </c>
      <c r="C246" s="67">
        <f t="shared" si="1"/>
        <v>131.87</v>
      </c>
      <c r="D246" s="67">
        <f t="shared" si="2"/>
        <v>225.05</v>
      </c>
      <c r="E246" s="67">
        <f t="shared" si="3"/>
        <v>46316.600000000064</v>
      </c>
      <c r="F246" s="83">
        <v>0</v>
      </c>
      <c r="G246" s="83">
        <f t="shared" si="4"/>
        <v>356.92</v>
      </c>
      <c r="I246" s="85">
        <v>210</v>
      </c>
      <c r="J246" s="83">
        <f t="shared" si="5"/>
        <v>322.23</v>
      </c>
      <c r="K246" s="83">
        <f t="shared" si="6"/>
        <v>101.8</v>
      </c>
      <c r="L246" s="83">
        <f t="shared" si="7"/>
        <v>220.43</v>
      </c>
      <c r="M246" s="83">
        <f t="shared" si="8"/>
        <v>35709.700000000477</v>
      </c>
      <c r="N246" s="83">
        <v>0</v>
      </c>
      <c r="O246" s="83">
        <f t="shared" si="10"/>
        <v>322.23</v>
      </c>
    </row>
    <row r="247" spans="1:15" ht="15" customHeight="1" x14ac:dyDescent="0.35">
      <c r="A247" s="7">
        <v>211</v>
      </c>
      <c r="B247" s="67">
        <f t="shared" si="0"/>
        <v>356.92</v>
      </c>
      <c r="C247" s="67">
        <f t="shared" si="1"/>
        <v>131.22999999999999</v>
      </c>
      <c r="D247" s="67">
        <f t="shared" si="2"/>
        <v>225.69000000000003</v>
      </c>
      <c r="E247" s="67">
        <f t="shared" si="3"/>
        <v>46090.910000000062</v>
      </c>
      <c r="F247" s="83">
        <v>0</v>
      </c>
      <c r="G247" s="83">
        <f t="shared" si="4"/>
        <v>356.92</v>
      </c>
      <c r="I247" s="85">
        <v>211</v>
      </c>
      <c r="J247" s="83">
        <f t="shared" si="5"/>
        <v>321.61</v>
      </c>
      <c r="K247" s="83">
        <f t="shared" si="6"/>
        <v>101.18</v>
      </c>
      <c r="L247" s="83">
        <f t="shared" si="7"/>
        <v>220.43</v>
      </c>
      <c r="M247" s="83">
        <f t="shared" si="8"/>
        <v>35489.270000000477</v>
      </c>
      <c r="N247" s="83">
        <v>0</v>
      </c>
      <c r="O247" s="83">
        <f t="shared" si="10"/>
        <v>321.61</v>
      </c>
    </row>
    <row r="248" spans="1:15" ht="15" customHeight="1" x14ac:dyDescent="0.35">
      <c r="A248" s="7">
        <v>212</v>
      </c>
      <c r="B248" s="67">
        <f t="shared" si="0"/>
        <v>356.92</v>
      </c>
      <c r="C248" s="67">
        <f t="shared" si="1"/>
        <v>130.59</v>
      </c>
      <c r="D248" s="67">
        <f t="shared" si="2"/>
        <v>226.33</v>
      </c>
      <c r="E248" s="67">
        <f t="shared" si="3"/>
        <v>45864.58000000006</v>
      </c>
      <c r="F248" s="83">
        <v>0</v>
      </c>
      <c r="G248" s="83">
        <f t="shared" si="4"/>
        <v>356.92</v>
      </c>
      <c r="I248" s="85">
        <v>212</v>
      </c>
      <c r="J248" s="83">
        <f t="shared" si="5"/>
        <v>320.98</v>
      </c>
      <c r="K248" s="83">
        <f t="shared" si="6"/>
        <v>100.55</v>
      </c>
      <c r="L248" s="83">
        <f t="shared" si="7"/>
        <v>220.43</v>
      </c>
      <c r="M248" s="83">
        <f t="shared" si="8"/>
        <v>35268.840000000477</v>
      </c>
      <c r="N248" s="83">
        <v>0</v>
      </c>
      <c r="O248" s="83">
        <f t="shared" si="10"/>
        <v>320.98</v>
      </c>
    </row>
    <row r="249" spans="1:15" ht="15" customHeight="1" x14ac:dyDescent="0.35">
      <c r="A249" s="7">
        <v>213</v>
      </c>
      <c r="B249" s="67">
        <f t="shared" si="0"/>
        <v>356.92</v>
      </c>
      <c r="C249" s="67">
        <f t="shared" si="1"/>
        <v>129.94999999999999</v>
      </c>
      <c r="D249" s="67">
        <f t="shared" si="2"/>
        <v>226.97000000000003</v>
      </c>
      <c r="E249" s="67">
        <f t="shared" si="3"/>
        <v>45637.610000000059</v>
      </c>
      <c r="F249" s="83">
        <v>0</v>
      </c>
      <c r="G249" s="83">
        <f t="shared" si="4"/>
        <v>356.92</v>
      </c>
      <c r="I249" s="85">
        <v>213</v>
      </c>
      <c r="J249" s="83">
        <f t="shared" si="5"/>
        <v>320.36</v>
      </c>
      <c r="K249" s="83">
        <f t="shared" si="6"/>
        <v>99.93</v>
      </c>
      <c r="L249" s="83">
        <f t="shared" si="7"/>
        <v>220.43</v>
      </c>
      <c r="M249" s="83">
        <f t="shared" si="8"/>
        <v>35048.410000000476</v>
      </c>
      <c r="N249" s="83">
        <v>0</v>
      </c>
      <c r="O249" s="83">
        <f t="shared" si="10"/>
        <v>320.36</v>
      </c>
    </row>
    <row r="250" spans="1:15" ht="15" customHeight="1" x14ac:dyDescent="0.35">
      <c r="A250" s="7">
        <v>214</v>
      </c>
      <c r="B250" s="67">
        <f t="shared" si="0"/>
        <v>356.92</v>
      </c>
      <c r="C250" s="67">
        <f t="shared" si="1"/>
        <v>129.31</v>
      </c>
      <c r="D250" s="67">
        <f t="shared" si="2"/>
        <v>227.61</v>
      </c>
      <c r="E250" s="67">
        <f t="shared" si="3"/>
        <v>45410.000000000058</v>
      </c>
      <c r="F250" s="83">
        <v>0</v>
      </c>
      <c r="G250" s="83">
        <f t="shared" si="4"/>
        <v>356.92</v>
      </c>
      <c r="I250" s="85">
        <v>214</v>
      </c>
      <c r="J250" s="83">
        <f t="shared" si="5"/>
        <v>319.73</v>
      </c>
      <c r="K250" s="83">
        <f t="shared" si="6"/>
        <v>99.3</v>
      </c>
      <c r="L250" s="83">
        <f t="shared" si="7"/>
        <v>220.43</v>
      </c>
      <c r="M250" s="83">
        <f t="shared" si="8"/>
        <v>34827.980000000476</v>
      </c>
      <c r="N250" s="83">
        <v>0</v>
      </c>
      <c r="O250" s="83">
        <f t="shared" si="10"/>
        <v>319.73</v>
      </c>
    </row>
    <row r="251" spans="1:15" ht="15" customHeight="1" x14ac:dyDescent="0.35">
      <c r="A251" s="7">
        <v>215</v>
      </c>
      <c r="B251" s="67">
        <f t="shared" si="0"/>
        <v>356.92</v>
      </c>
      <c r="C251" s="67">
        <f t="shared" si="1"/>
        <v>128.66</v>
      </c>
      <c r="D251" s="67">
        <f t="shared" si="2"/>
        <v>228.26000000000002</v>
      </c>
      <c r="E251" s="67">
        <f t="shared" si="3"/>
        <v>45181.740000000056</v>
      </c>
      <c r="F251" s="83">
        <v>0</v>
      </c>
      <c r="G251" s="83">
        <f t="shared" si="4"/>
        <v>356.92</v>
      </c>
      <c r="I251" s="85">
        <v>215</v>
      </c>
      <c r="J251" s="83">
        <f t="shared" si="5"/>
        <v>319.11</v>
      </c>
      <c r="K251" s="83">
        <f t="shared" si="6"/>
        <v>98.68</v>
      </c>
      <c r="L251" s="83">
        <f t="shared" si="7"/>
        <v>220.43</v>
      </c>
      <c r="M251" s="83">
        <f t="shared" si="8"/>
        <v>34607.550000000476</v>
      </c>
      <c r="N251" s="83">
        <v>0</v>
      </c>
      <c r="O251" s="83">
        <f t="shared" si="10"/>
        <v>319.11</v>
      </c>
    </row>
    <row r="252" spans="1:15" ht="15" customHeight="1" x14ac:dyDescent="0.35">
      <c r="A252" s="7">
        <v>216</v>
      </c>
      <c r="B252" s="67">
        <f t="shared" si="0"/>
        <v>356.92</v>
      </c>
      <c r="C252" s="67">
        <f t="shared" si="1"/>
        <v>128.01</v>
      </c>
      <c r="D252" s="67">
        <f t="shared" si="2"/>
        <v>228.91000000000003</v>
      </c>
      <c r="E252" s="67">
        <f t="shared" si="3"/>
        <v>44952.830000000053</v>
      </c>
      <c r="F252" s="83">
        <v>0</v>
      </c>
      <c r="G252" s="83">
        <f t="shared" si="4"/>
        <v>356.92</v>
      </c>
      <c r="I252" s="85">
        <v>216</v>
      </c>
      <c r="J252" s="83">
        <f t="shared" si="5"/>
        <v>318.48</v>
      </c>
      <c r="K252" s="83">
        <f t="shared" si="6"/>
        <v>98.05</v>
      </c>
      <c r="L252" s="83">
        <f t="shared" si="7"/>
        <v>220.43</v>
      </c>
      <c r="M252" s="83">
        <f t="shared" si="8"/>
        <v>34387.120000000476</v>
      </c>
      <c r="N252" s="83">
        <v>0</v>
      </c>
      <c r="O252" s="83">
        <f t="shared" si="10"/>
        <v>318.48</v>
      </c>
    </row>
    <row r="253" spans="1:15" ht="15" customHeight="1" x14ac:dyDescent="0.35">
      <c r="A253" s="7">
        <v>217</v>
      </c>
      <c r="B253" s="67">
        <f t="shared" si="0"/>
        <v>356.92</v>
      </c>
      <c r="C253" s="67">
        <f t="shared" si="1"/>
        <v>127.37</v>
      </c>
      <c r="D253" s="67">
        <f t="shared" si="2"/>
        <v>229.55</v>
      </c>
      <c r="E253" s="67">
        <f t="shared" si="3"/>
        <v>44723.28000000005</v>
      </c>
      <c r="F253" s="83">
        <v>0</v>
      </c>
      <c r="G253" s="83">
        <f t="shared" si="4"/>
        <v>356.92</v>
      </c>
      <c r="I253" s="85">
        <v>217</v>
      </c>
      <c r="J253" s="83">
        <f t="shared" si="5"/>
        <v>317.86</v>
      </c>
      <c r="K253" s="83">
        <f t="shared" si="6"/>
        <v>97.43</v>
      </c>
      <c r="L253" s="83">
        <f t="shared" si="7"/>
        <v>220.43</v>
      </c>
      <c r="M253" s="83">
        <f t="shared" si="8"/>
        <v>34166.690000000475</v>
      </c>
      <c r="N253" s="83">
        <v>0</v>
      </c>
      <c r="O253" s="83">
        <f t="shared" si="10"/>
        <v>317.86</v>
      </c>
    </row>
    <row r="254" spans="1:15" ht="15" customHeight="1" x14ac:dyDescent="0.35">
      <c r="A254" s="7">
        <v>218</v>
      </c>
      <c r="B254" s="67">
        <f t="shared" si="0"/>
        <v>356.92</v>
      </c>
      <c r="C254" s="67">
        <f t="shared" si="1"/>
        <v>126.72</v>
      </c>
      <c r="D254" s="67">
        <f t="shared" si="2"/>
        <v>230.20000000000002</v>
      </c>
      <c r="E254" s="67">
        <f t="shared" si="3"/>
        <v>44493.080000000053</v>
      </c>
      <c r="F254" s="83">
        <v>0</v>
      </c>
      <c r="G254" s="83">
        <f t="shared" si="4"/>
        <v>356.92</v>
      </c>
      <c r="I254" s="85">
        <v>218</v>
      </c>
      <c r="J254" s="83">
        <f t="shared" si="5"/>
        <v>317.24</v>
      </c>
      <c r="K254" s="83">
        <f t="shared" si="6"/>
        <v>96.81</v>
      </c>
      <c r="L254" s="83">
        <f t="shared" si="7"/>
        <v>220.43</v>
      </c>
      <c r="M254" s="83">
        <f t="shared" si="8"/>
        <v>33946.260000000475</v>
      </c>
      <c r="N254" s="83">
        <v>0</v>
      </c>
      <c r="O254" s="83">
        <f t="shared" si="10"/>
        <v>317.24</v>
      </c>
    </row>
    <row r="255" spans="1:15" ht="15" customHeight="1" x14ac:dyDescent="0.35">
      <c r="A255" s="7">
        <v>219</v>
      </c>
      <c r="B255" s="67">
        <f t="shared" si="0"/>
        <v>356.92</v>
      </c>
      <c r="C255" s="67">
        <f t="shared" si="1"/>
        <v>126.06</v>
      </c>
      <c r="D255" s="67">
        <f t="shared" si="2"/>
        <v>230.86</v>
      </c>
      <c r="E255" s="67">
        <f t="shared" si="3"/>
        <v>44262.220000000052</v>
      </c>
      <c r="F255" s="83">
        <v>0</v>
      </c>
      <c r="G255" s="83">
        <f t="shared" si="4"/>
        <v>356.92</v>
      </c>
      <c r="I255" s="85">
        <v>219</v>
      </c>
      <c r="J255" s="83">
        <f t="shared" si="5"/>
        <v>316.61</v>
      </c>
      <c r="K255" s="83">
        <f t="shared" si="6"/>
        <v>96.18</v>
      </c>
      <c r="L255" s="83">
        <f t="shared" si="7"/>
        <v>220.43</v>
      </c>
      <c r="M255" s="83">
        <f t="shared" si="8"/>
        <v>33725.830000000475</v>
      </c>
      <c r="N255" s="83">
        <v>0</v>
      </c>
      <c r="O255" s="83">
        <f t="shared" si="10"/>
        <v>316.61</v>
      </c>
    </row>
    <row r="256" spans="1:15" ht="15" customHeight="1" x14ac:dyDescent="0.35">
      <c r="A256" s="7">
        <v>220</v>
      </c>
      <c r="B256" s="67">
        <f t="shared" si="0"/>
        <v>356.92</v>
      </c>
      <c r="C256" s="67">
        <f t="shared" si="1"/>
        <v>125.41</v>
      </c>
      <c r="D256" s="67">
        <f t="shared" si="2"/>
        <v>231.51000000000002</v>
      </c>
      <c r="E256" s="67">
        <f t="shared" si="3"/>
        <v>44030.71000000005</v>
      </c>
      <c r="F256" s="83">
        <v>0</v>
      </c>
      <c r="G256" s="83">
        <f t="shared" si="4"/>
        <v>356.92</v>
      </c>
      <c r="I256" s="85">
        <v>220</v>
      </c>
      <c r="J256" s="83">
        <f t="shared" si="5"/>
        <v>315.99</v>
      </c>
      <c r="K256" s="83">
        <f t="shared" si="6"/>
        <v>95.56</v>
      </c>
      <c r="L256" s="83">
        <f t="shared" si="7"/>
        <v>220.43</v>
      </c>
      <c r="M256" s="83">
        <f t="shared" si="8"/>
        <v>33505.400000000474</v>
      </c>
      <c r="N256" s="83">
        <v>0</v>
      </c>
      <c r="O256" s="83">
        <f t="shared" si="10"/>
        <v>315.99</v>
      </c>
    </row>
    <row r="257" spans="1:15" ht="15" customHeight="1" x14ac:dyDescent="0.35">
      <c r="A257" s="7">
        <v>221</v>
      </c>
      <c r="B257" s="67">
        <f t="shared" si="0"/>
        <v>356.92</v>
      </c>
      <c r="C257" s="67">
        <f t="shared" si="1"/>
        <v>124.75</v>
      </c>
      <c r="D257" s="67">
        <f t="shared" si="2"/>
        <v>232.17000000000002</v>
      </c>
      <c r="E257" s="67">
        <f t="shared" si="3"/>
        <v>43798.540000000052</v>
      </c>
      <c r="F257" s="83">
        <v>0</v>
      </c>
      <c r="G257" s="83">
        <f t="shared" si="4"/>
        <v>356.92</v>
      </c>
      <c r="I257" s="85">
        <v>221</v>
      </c>
      <c r="J257" s="83">
        <f t="shared" si="5"/>
        <v>315.36</v>
      </c>
      <c r="K257" s="83">
        <f t="shared" si="6"/>
        <v>94.93</v>
      </c>
      <c r="L257" s="83">
        <f t="shared" si="7"/>
        <v>220.43</v>
      </c>
      <c r="M257" s="83">
        <f t="shared" si="8"/>
        <v>33284.970000000474</v>
      </c>
      <c r="N257" s="83">
        <v>0</v>
      </c>
      <c r="O257" s="83">
        <f t="shared" si="10"/>
        <v>315.36</v>
      </c>
    </row>
    <row r="258" spans="1:15" ht="15" customHeight="1" x14ac:dyDescent="0.35">
      <c r="A258" s="7">
        <v>222</v>
      </c>
      <c r="B258" s="67">
        <f t="shared" si="0"/>
        <v>356.92</v>
      </c>
      <c r="C258" s="67">
        <f t="shared" si="1"/>
        <v>124.1</v>
      </c>
      <c r="D258" s="67">
        <f t="shared" si="2"/>
        <v>232.82000000000002</v>
      </c>
      <c r="E258" s="67">
        <f t="shared" si="3"/>
        <v>43565.720000000052</v>
      </c>
      <c r="F258" s="83">
        <v>0</v>
      </c>
      <c r="G258" s="83">
        <f t="shared" si="4"/>
        <v>356.92</v>
      </c>
      <c r="I258" s="85">
        <v>222</v>
      </c>
      <c r="J258" s="83">
        <f t="shared" si="5"/>
        <v>314.74</v>
      </c>
      <c r="K258" s="83">
        <f t="shared" si="6"/>
        <v>94.31</v>
      </c>
      <c r="L258" s="83">
        <f t="shared" si="7"/>
        <v>220.43</v>
      </c>
      <c r="M258" s="83">
        <f t="shared" si="8"/>
        <v>33064.540000000474</v>
      </c>
      <c r="N258" s="83">
        <v>0</v>
      </c>
      <c r="O258" s="83">
        <f t="shared" si="10"/>
        <v>314.74</v>
      </c>
    </row>
    <row r="259" spans="1:15" ht="15" customHeight="1" x14ac:dyDescent="0.35">
      <c r="A259" s="7">
        <v>223</v>
      </c>
      <c r="B259" s="67">
        <f t="shared" si="0"/>
        <v>356.92</v>
      </c>
      <c r="C259" s="67">
        <f t="shared" si="1"/>
        <v>123.44</v>
      </c>
      <c r="D259" s="67">
        <f t="shared" si="2"/>
        <v>233.48000000000002</v>
      </c>
      <c r="E259" s="67">
        <f t="shared" si="3"/>
        <v>43332.240000000049</v>
      </c>
      <c r="F259" s="83">
        <v>0</v>
      </c>
      <c r="G259" s="83">
        <f t="shared" si="4"/>
        <v>356.92</v>
      </c>
      <c r="I259" s="85">
        <v>223</v>
      </c>
      <c r="J259" s="83">
        <f t="shared" si="5"/>
        <v>314.11</v>
      </c>
      <c r="K259" s="83">
        <f t="shared" si="6"/>
        <v>93.68</v>
      </c>
      <c r="L259" s="83">
        <f t="shared" si="7"/>
        <v>220.43</v>
      </c>
      <c r="M259" s="83">
        <f t="shared" si="8"/>
        <v>32844.110000000474</v>
      </c>
      <c r="N259" s="83">
        <v>0</v>
      </c>
      <c r="O259" s="83">
        <f t="shared" si="10"/>
        <v>314.11</v>
      </c>
    </row>
    <row r="260" spans="1:15" ht="15" customHeight="1" x14ac:dyDescent="0.35">
      <c r="A260" s="7">
        <v>224</v>
      </c>
      <c r="B260" s="67">
        <f t="shared" si="0"/>
        <v>356.92</v>
      </c>
      <c r="C260" s="67">
        <f t="shared" si="1"/>
        <v>122.77</v>
      </c>
      <c r="D260" s="67">
        <f t="shared" si="2"/>
        <v>234.15000000000003</v>
      </c>
      <c r="E260" s="67">
        <f t="shared" si="3"/>
        <v>43098.090000000047</v>
      </c>
      <c r="F260" s="83">
        <v>0</v>
      </c>
      <c r="G260" s="83">
        <f t="shared" si="4"/>
        <v>356.92</v>
      </c>
      <c r="I260" s="85">
        <v>224</v>
      </c>
      <c r="J260" s="83">
        <f t="shared" si="5"/>
        <v>313.49</v>
      </c>
      <c r="K260" s="83">
        <f t="shared" si="6"/>
        <v>93.06</v>
      </c>
      <c r="L260" s="83">
        <f t="shared" si="7"/>
        <v>220.43</v>
      </c>
      <c r="M260" s="83">
        <f t="shared" si="8"/>
        <v>32623.680000000473</v>
      </c>
      <c r="N260" s="83">
        <v>0</v>
      </c>
      <c r="O260" s="83">
        <f t="shared" si="10"/>
        <v>313.49</v>
      </c>
    </row>
    <row r="261" spans="1:15" ht="15" customHeight="1" x14ac:dyDescent="0.35">
      <c r="A261" s="7">
        <v>225</v>
      </c>
      <c r="B261" s="67">
        <f t="shared" si="0"/>
        <v>356.92</v>
      </c>
      <c r="C261" s="67">
        <f t="shared" si="1"/>
        <v>122.11</v>
      </c>
      <c r="D261" s="67">
        <f t="shared" si="2"/>
        <v>234.81</v>
      </c>
      <c r="E261" s="67">
        <f t="shared" si="3"/>
        <v>42863.28000000005</v>
      </c>
      <c r="F261" s="83">
        <v>0</v>
      </c>
      <c r="G261" s="83">
        <f t="shared" si="4"/>
        <v>356.92</v>
      </c>
      <c r="I261" s="85">
        <v>225</v>
      </c>
      <c r="J261" s="83">
        <f t="shared" si="5"/>
        <v>312.86</v>
      </c>
      <c r="K261" s="83">
        <f t="shared" si="6"/>
        <v>92.43</v>
      </c>
      <c r="L261" s="83">
        <f t="shared" si="7"/>
        <v>220.43</v>
      </c>
      <c r="M261" s="83">
        <f t="shared" si="8"/>
        <v>32403.250000000473</v>
      </c>
      <c r="N261" s="83">
        <v>0</v>
      </c>
      <c r="O261" s="83">
        <f t="shared" si="10"/>
        <v>312.86</v>
      </c>
    </row>
    <row r="262" spans="1:15" ht="15" customHeight="1" x14ac:dyDescent="0.35">
      <c r="A262" s="7">
        <v>226</v>
      </c>
      <c r="B262" s="67">
        <f t="shared" si="0"/>
        <v>356.92</v>
      </c>
      <c r="C262" s="67">
        <f t="shared" si="1"/>
        <v>121.45</v>
      </c>
      <c r="D262" s="67">
        <f t="shared" si="2"/>
        <v>235.47000000000003</v>
      </c>
      <c r="E262" s="67">
        <f t="shared" si="3"/>
        <v>42627.810000000049</v>
      </c>
      <c r="F262" s="83">
        <v>0</v>
      </c>
      <c r="G262" s="83">
        <f t="shared" si="4"/>
        <v>356.92</v>
      </c>
      <c r="I262" s="85">
        <v>226</v>
      </c>
      <c r="J262" s="83">
        <f t="shared" si="5"/>
        <v>312.24</v>
      </c>
      <c r="K262" s="83">
        <f t="shared" si="6"/>
        <v>91.81</v>
      </c>
      <c r="L262" s="83">
        <f t="shared" si="7"/>
        <v>220.43</v>
      </c>
      <c r="M262" s="83">
        <f t="shared" si="8"/>
        <v>32182.820000000473</v>
      </c>
      <c r="N262" s="83">
        <v>0</v>
      </c>
      <c r="O262" s="83">
        <f t="shared" si="10"/>
        <v>312.24</v>
      </c>
    </row>
    <row r="263" spans="1:15" ht="15" customHeight="1" x14ac:dyDescent="0.35">
      <c r="A263" s="7">
        <v>227</v>
      </c>
      <c r="B263" s="67">
        <f t="shared" si="0"/>
        <v>356.92</v>
      </c>
      <c r="C263" s="67">
        <f t="shared" si="1"/>
        <v>120.78</v>
      </c>
      <c r="D263" s="67">
        <f t="shared" si="2"/>
        <v>236.14000000000001</v>
      </c>
      <c r="E263" s="67">
        <f t="shared" si="3"/>
        <v>42391.670000000049</v>
      </c>
      <c r="F263" s="83">
        <v>0</v>
      </c>
      <c r="G263" s="83">
        <f t="shared" si="4"/>
        <v>356.92</v>
      </c>
      <c r="I263" s="85">
        <v>227</v>
      </c>
      <c r="J263" s="83">
        <f t="shared" si="5"/>
        <v>311.61</v>
      </c>
      <c r="K263" s="83">
        <f t="shared" si="6"/>
        <v>91.18</v>
      </c>
      <c r="L263" s="83">
        <f t="shared" si="7"/>
        <v>220.43</v>
      </c>
      <c r="M263" s="83">
        <f t="shared" si="8"/>
        <v>31962.390000000472</v>
      </c>
      <c r="N263" s="83">
        <v>0</v>
      </c>
      <c r="O263" s="83">
        <f t="shared" si="10"/>
        <v>311.61</v>
      </c>
    </row>
    <row r="264" spans="1:15" ht="15" customHeight="1" x14ac:dyDescent="0.35">
      <c r="A264" s="7">
        <v>228</v>
      </c>
      <c r="B264" s="67">
        <f t="shared" si="0"/>
        <v>356.92</v>
      </c>
      <c r="C264" s="67">
        <f t="shared" si="1"/>
        <v>120.11</v>
      </c>
      <c r="D264" s="67">
        <f t="shared" si="2"/>
        <v>236.81</v>
      </c>
      <c r="E264" s="67">
        <f t="shared" si="3"/>
        <v>42154.860000000052</v>
      </c>
      <c r="F264" s="83">
        <v>0</v>
      </c>
      <c r="G264" s="83">
        <f t="shared" si="4"/>
        <v>356.92</v>
      </c>
      <c r="I264" s="85">
        <v>228</v>
      </c>
      <c r="J264" s="83">
        <f t="shared" si="5"/>
        <v>310.99</v>
      </c>
      <c r="K264" s="83">
        <f t="shared" si="6"/>
        <v>90.56</v>
      </c>
      <c r="L264" s="83">
        <f t="shared" si="7"/>
        <v>220.43</v>
      </c>
      <c r="M264" s="83">
        <f t="shared" si="8"/>
        <v>31741.960000000472</v>
      </c>
      <c r="N264" s="83">
        <v>0</v>
      </c>
      <c r="O264" s="83">
        <f t="shared" si="10"/>
        <v>310.99</v>
      </c>
    </row>
    <row r="265" spans="1:15" ht="15" customHeight="1" x14ac:dyDescent="0.35">
      <c r="A265" s="7">
        <v>229</v>
      </c>
      <c r="B265" s="67">
        <f t="shared" si="0"/>
        <v>356.92</v>
      </c>
      <c r="C265" s="67">
        <f t="shared" si="1"/>
        <v>119.44</v>
      </c>
      <c r="D265" s="67">
        <f t="shared" si="2"/>
        <v>237.48000000000002</v>
      </c>
      <c r="E265" s="67">
        <f t="shared" si="3"/>
        <v>41917.380000000048</v>
      </c>
      <c r="F265" s="83">
        <v>0</v>
      </c>
      <c r="G265" s="83">
        <f t="shared" si="4"/>
        <v>356.92</v>
      </c>
      <c r="I265" s="85">
        <v>229</v>
      </c>
      <c r="J265" s="83">
        <f t="shared" si="5"/>
        <v>310.37</v>
      </c>
      <c r="K265" s="83">
        <f t="shared" si="6"/>
        <v>89.94</v>
      </c>
      <c r="L265" s="83">
        <f t="shared" si="7"/>
        <v>220.43</v>
      </c>
      <c r="M265" s="83">
        <f t="shared" si="8"/>
        <v>31521.530000000472</v>
      </c>
      <c r="N265" s="83">
        <v>0</v>
      </c>
      <c r="O265" s="83">
        <f t="shared" si="10"/>
        <v>310.37</v>
      </c>
    </row>
    <row r="266" spans="1:15" ht="15" customHeight="1" x14ac:dyDescent="0.35">
      <c r="A266" s="7">
        <v>230</v>
      </c>
      <c r="B266" s="67">
        <f t="shared" si="0"/>
        <v>356.92</v>
      </c>
      <c r="C266" s="67">
        <f t="shared" si="1"/>
        <v>118.77</v>
      </c>
      <c r="D266" s="67">
        <f t="shared" si="2"/>
        <v>238.15000000000003</v>
      </c>
      <c r="E266" s="67">
        <f t="shared" si="3"/>
        <v>41679.230000000047</v>
      </c>
      <c r="F266" s="83">
        <v>0</v>
      </c>
      <c r="G266" s="83">
        <f t="shared" si="4"/>
        <v>356.92</v>
      </c>
      <c r="I266" s="85">
        <v>230</v>
      </c>
      <c r="J266" s="83">
        <f t="shared" si="5"/>
        <v>309.74</v>
      </c>
      <c r="K266" s="83">
        <f t="shared" si="6"/>
        <v>89.31</v>
      </c>
      <c r="L266" s="83">
        <f t="shared" si="7"/>
        <v>220.43</v>
      </c>
      <c r="M266" s="83">
        <f t="shared" si="8"/>
        <v>31301.100000000471</v>
      </c>
      <c r="N266" s="83">
        <v>0</v>
      </c>
      <c r="O266" s="83">
        <f t="shared" si="10"/>
        <v>309.74</v>
      </c>
    </row>
    <row r="267" spans="1:15" ht="15" customHeight="1" x14ac:dyDescent="0.35">
      <c r="A267" s="7">
        <v>231</v>
      </c>
      <c r="B267" s="67">
        <f t="shared" si="0"/>
        <v>356.92</v>
      </c>
      <c r="C267" s="67">
        <f t="shared" si="1"/>
        <v>118.09</v>
      </c>
      <c r="D267" s="67">
        <f t="shared" si="2"/>
        <v>238.83</v>
      </c>
      <c r="E267" s="67">
        <f t="shared" si="3"/>
        <v>41440.400000000045</v>
      </c>
      <c r="F267" s="83">
        <v>0</v>
      </c>
      <c r="G267" s="83">
        <f t="shared" si="4"/>
        <v>356.92</v>
      </c>
      <c r="I267" s="85">
        <v>231</v>
      </c>
      <c r="J267" s="83">
        <f t="shared" si="5"/>
        <v>309.12</v>
      </c>
      <c r="K267" s="83">
        <f t="shared" si="6"/>
        <v>88.69</v>
      </c>
      <c r="L267" s="83">
        <f t="shared" si="7"/>
        <v>220.43</v>
      </c>
      <c r="M267" s="83">
        <f t="shared" si="8"/>
        <v>31080.670000000471</v>
      </c>
      <c r="N267" s="83">
        <v>0</v>
      </c>
      <c r="O267" s="83">
        <f t="shared" si="10"/>
        <v>309.12</v>
      </c>
    </row>
    <row r="268" spans="1:15" ht="15" customHeight="1" x14ac:dyDescent="0.35">
      <c r="A268" s="7">
        <v>232</v>
      </c>
      <c r="B268" s="67">
        <f t="shared" si="0"/>
        <v>356.92</v>
      </c>
      <c r="C268" s="67">
        <f t="shared" si="1"/>
        <v>117.41</v>
      </c>
      <c r="D268" s="67">
        <f t="shared" si="2"/>
        <v>239.51000000000002</v>
      </c>
      <c r="E268" s="67">
        <f t="shared" si="3"/>
        <v>41200.890000000043</v>
      </c>
      <c r="F268" s="83">
        <v>0</v>
      </c>
      <c r="G268" s="83">
        <f t="shared" si="4"/>
        <v>356.92</v>
      </c>
      <c r="I268" s="85">
        <v>232</v>
      </c>
      <c r="J268" s="83">
        <f t="shared" si="5"/>
        <v>308.49</v>
      </c>
      <c r="K268" s="83">
        <f t="shared" si="6"/>
        <v>88.06</v>
      </c>
      <c r="L268" s="83">
        <f t="shared" si="7"/>
        <v>220.43</v>
      </c>
      <c r="M268" s="83">
        <f t="shared" si="8"/>
        <v>30860.240000000471</v>
      </c>
      <c r="N268" s="83">
        <v>0</v>
      </c>
      <c r="O268" s="83">
        <f t="shared" si="10"/>
        <v>308.49</v>
      </c>
    </row>
    <row r="269" spans="1:15" ht="15" customHeight="1" x14ac:dyDescent="0.35">
      <c r="A269" s="7">
        <v>233</v>
      </c>
      <c r="B269" s="67">
        <f t="shared" si="0"/>
        <v>356.92</v>
      </c>
      <c r="C269" s="67">
        <f t="shared" si="1"/>
        <v>116.74</v>
      </c>
      <c r="D269" s="67">
        <f t="shared" si="2"/>
        <v>240.18</v>
      </c>
      <c r="E269" s="67">
        <f t="shared" si="3"/>
        <v>40960.710000000043</v>
      </c>
      <c r="F269" s="83">
        <v>0</v>
      </c>
      <c r="G269" s="83">
        <f t="shared" si="4"/>
        <v>356.92</v>
      </c>
      <c r="I269" s="85">
        <v>233</v>
      </c>
      <c r="J269" s="83">
        <f t="shared" si="5"/>
        <v>307.87</v>
      </c>
      <c r="K269" s="83">
        <f t="shared" si="6"/>
        <v>87.44</v>
      </c>
      <c r="L269" s="83">
        <f t="shared" si="7"/>
        <v>220.43</v>
      </c>
      <c r="M269" s="83">
        <f t="shared" si="8"/>
        <v>30639.810000000471</v>
      </c>
      <c r="N269" s="83">
        <v>0</v>
      </c>
      <c r="O269" s="83">
        <f t="shared" si="10"/>
        <v>307.87</v>
      </c>
    </row>
    <row r="270" spans="1:15" ht="15" customHeight="1" x14ac:dyDescent="0.35">
      <c r="A270" s="7">
        <v>234</v>
      </c>
      <c r="B270" s="67">
        <f t="shared" si="0"/>
        <v>356.92</v>
      </c>
      <c r="C270" s="67">
        <f t="shared" si="1"/>
        <v>116.06</v>
      </c>
      <c r="D270" s="67">
        <f t="shared" si="2"/>
        <v>240.86</v>
      </c>
      <c r="E270" s="67">
        <f t="shared" si="3"/>
        <v>40719.850000000042</v>
      </c>
      <c r="F270" s="83">
        <v>0</v>
      </c>
      <c r="G270" s="83">
        <f t="shared" si="4"/>
        <v>356.92</v>
      </c>
      <c r="I270" s="85">
        <v>234</v>
      </c>
      <c r="J270" s="83">
        <f t="shared" si="5"/>
        <v>307.24</v>
      </c>
      <c r="K270" s="83">
        <f t="shared" si="6"/>
        <v>86.81</v>
      </c>
      <c r="L270" s="83">
        <f t="shared" si="7"/>
        <v>220.43</v>
      </c>
      <c r="M270" s="83">
        <f t="shared" si="8"/>
        <v>30419.38000000047</v>
      </c>
      <c r="N270" s="83">
        <v>0</v>
      </c>
      <c r="O270" s="83">
        <f t="shared" si="10"/>
        <v>307.24</v>
      </c>
    </row>
    <row r="271" spans="1:15" ht="15" customHeight="1" x14ac:dyDescent="0.35">
      <c r="A271" s="7">
        <v>235</v>
      </c>
      <c r="B271" s="67">
        <f t="shared" si="0"/>
        <v>356.92</v>
      </c>
      <c r="C271" s="67">
        <f t="shared" si="1"/>
        <v>115.37</v>
      </c>
      <c r="D271" s="67">
        <f t="shared" si="2"/>
        <v>241.55</v>
      </c>
      <c r="E271" s="67">
        <f t="shared" si="3"/>
        <v>40478.300000000039</v>
      </c>
      <c r="F271" s="83">
        <v>0</v>
      </c>
      <c r="G271" s="83">
        <f t="shared" si="4"/>
        <v>356.92</v>
      </c>
      <c r="I271" s="85">
        <v>235</v>
      </c>
      <c r="J271" s="83">
        <f t="shared" si="5"/>
        <v>306.62</v>
      </c>
      <c r="K271" s="83">
        <f t="shared" si="6"/>
        <v>86.19</v>
      </c>
      <c r="L271" s="83">
        <f t="shared" si="7"/>
        <v>220.43</v>
      </c>
      <c r="M271" s="83">
        <f t="shared" si="8"/>
        <v>30198.95000000047</v>
      </c>
      <c r="N271" s="83">
        <v>0</v>
      </c>
      <c r="O271" s="83">
        <f t="shared" si="10"/>
        <v>306.62</v>
      </c>
    </row>
    <row r="272" spans="1:15" ht="15" customHeight="1" x14ac:dyDescent="0.35">
      <c r="A272" s="7">
        <v>236</v>
      </c>
      <c r="B272" s="67">
        <f t="shared" si="0"/>
        <v>356.92</v>
      </c>
      <c r="C272" s="67">
        <f t="shared" si="1"/>
        <v>114.69</v>
      </c>
      <c r="D272" s="67">
        <f t="shared" si="2"/>
        <v>242.23000000000002</v>
      </c>
      <c r="E272" s="67">
        <f t="shared" si="3"/>
        <v>40236.070000000036</v>
      </c>
      <c r="F272" s="83">
        <v>0</v>
      </c>
      <c r="G272" s="83">
        <f t="shared" si="4"/>
        <v>356.92</v>
      </c>
      <c r="I272" s="85">
        <v>236</v>
      </c>
      <c r="J272" s="83">
        <f t="shared" si="5"/>
        <v>305.99</v>
      </c>
      <c r="K272" s="83">
        <f t="shared" si="6"/>
        <v>85.56</v>
      </c>
      <c r="L272" s="83">
        <f t="shared" si="7"/>
        <v>220.43</v>
      </c>
      <c r="M272" s="83">
        <f t="shared" si="8"/>
        <v>29978.52000000047</v>
      </c>
      <c r="N272" s="83">
        <v>0</v>
      </c>
      <c r="O272" s="83">
        <f t="shared" si="10"/>
        <v>305.99</v>
      </c>
    </row>
    <row r="273" spans="1:15" ht="15" customHeight="1" x14ac:dyDescent="0.35">
      <c r="A273" s="7">
        <v>237</v>
      </c>
      <c r="B273" s="67">
        <f t="shared" si="0"/>
        <v>356.92</v>
      </c>
      <c r="C273" s="67">
        <f t="shared" si="1"/>
        <v>114</v>
      </c>
      <c r="D273" s="67">
        <f t="shared" si="2"/>
        <v>242.92000000000002</v>
      </c>
      <c r="E273" s="67">
        <f t="shared" si="3"/>
        <v>39993.150000000038</v>
      </c>
      <c r="F273" s="83">
        <v>0</v>
      </c>
      <c r="G273" s="83">
        <f t="shared" si="4"/>
        <v>356.92</v>
      </c>
      <c r="I273" s="85">
        <v>237</v>
      </c>
      <c r="J273" s="83">
        <f t="shared" si="5"/>
        <v>305.37</v>
      </c>
      <c r="K273" s="83">
        <f t="shared" si="6"/>
        <v>84.94</v>
      </c>
      <c r="L273" s="83">
        <f t="shared" si="7"/>
        <v>220.43</v>
      </c>
      <c r="M273" s="83">
        <f t="shared" si="8"/>
        <v>29758.090000000469</v>
      </c>
      <c r="N273" s="83">
        <v>0</v>
      </c>
      <c r="O273" s="83">
        <f t="shared" si="10"/>
        <v>305.37</v>
      </c>
    </row>
    <row r="274" spans="1:15" ht="15" customHeight="1" x14ac:dyDescent="0.35">
      <c r="A274" s="7">
        <v>238</v>
      </c>
      <c r="B274" s="67">
        <f t="shared" si="0"/>
        <v>356.92</v>
      </c>
      <c r="C274" s="67">
        <f t="shared" si="1"/>
        <v>113.31</v>
      </c>
      <c r="D274" s="67">
        <f t="shared" si="2"/>
        <v>243.61</v>
      </c>
      <c r="E274" s="67">
        <f t="shared" si="3"/>
        <v>39749.540000000037</v>
      </c>
      <c r="F274" s="83">
        <v>0</v>
      </c>
      <c r="G274" s="83">
        <f t="shared" si="4"/>
        <v>356.92</v>
      </c>
      <c r="I274" s="85">
        <v>238</v>
      </c>
      <c r="J274" s="83">
        <f t="shared" si="5"/>
        <v>304.74</v>
      </c>
      <c r="K274" s="83">
        <f t="shared" si="6"/>
        <v>84.31</v>
      </c>
      <c r="L274" s="83">
        <f t="shared" si="7"/>
        <v>220.43</v>
      </c>
      <c r="M274" s="83">
        <f t="shared" si="8"/>
        <v>29537.660000000469</v>
      </c>
      <c r="N274" s="83">
        <v>0</v>
      </c>
      <c r="O274" s="83">
        <f t="shared" si="10"/>
        <v>304.74</v>
      </c>
    </row>
    <row r="275" spans="1:15" ht="15" customHeight="1" x14ac:dyDescent="0.35">
      <c r="A275" s="7">
        <v>239</v>
      </c>
      <c r="B275" s="67">
        <f t="shared" si="0"/>
        <v>356.92</v>
      </c>
      <c r="C275" s="67">
        <f t="shared" si="1"/>
        <v>112.62</v>
      </c>
      <c r="D275" s="67">
        <f t="shared" si="2"/>
        <v>244.3</v>
      </c>
      <c r="E275" s="67">
        <f t="shared" si="3"/>
        <v>39505.240000000034</v>
      </c>
      <c r="F275" s="83">
        <v>0</v>
      </c>
      <c r="G275" s="83">
        <f t="shared" si="4"/>
        <v>356.92</v>
      </c>
      <c r="I275" s="85">
        <v>239</v>
      </c>
      <c r="J275" s="83">
        <f t="shared" si="5"/>
        <v>304.12</v>
      </c>
      <c r="K275" s="83">
        <f t="shared" si="6"/>
        <v>83.69</v>
      </c>
      <c r="L275" s="83">
        <f t="shared" si="7"/>
        <v>220.43</v>
      </c>
      <c r="M275" s="83">
        <f t="shared" si="8"/>
        <v>29317.230000000469</v>
      </c>
      <c r="N275" s="83">
        <v>0</v>
      </c>
      <c r="O275" s="83">
        <f t="shared" si="10"/>
        <v>304.12</v>
      </c>
    </row>
    <row r="276" spans="1:15" ht="15" customHeight="1" x14ac:dyDescent="0.35">
      <c r="A276" s="7">
        <v>240</v>
      </c>
      <c r="B276" s="67">
        <f t="shared" si="0"/>
        <v>356.92</v>
      </c>
      <c r="C276" s="67">
        <f t="shared" si="1"/>
        <v>111.93</v>
      </c>
      <c r="D276" s="67">
        <f t="shared" si="2"/>
        <v>244.99</v>
      </c>
      <c r="E276" s="67">
        <f t="shared" si="3"/>
        <v>39260.250000000036</v>
      </c>
      <c r="F276" s="83">
        <v>0</v>
      </c>
      <c r="G276" s="83">
        <f t="shared" si="4"/>
        <v>356.92</v>
      </c>
      <c r="I276" s="85">
        <v>240</v>
      </c>
      <c r="J276" s="83">
        <f t="shared" si="5"/>
        <v>303.5</v>
      </c>
      <c r="K276" s="83">
        <f t="shared" si="6"/>
        <v>83.07</v>
      </c>
      <c r="L276" s="83">
        <f t="shared" si="7"/>
        <v>220.43</v>
      </c>
      <c r="M276" s="83">
        <f t="shared" si="8"/>
        <v>29096.800000000469</v>
      </c>
      <c r="N276" s="83">
        <v>0</v>
      </c>
      <c r="O276" s="83">
        <f t="shared" si="10"/>
        <v>303.5</v>
      </c>
    </row>
    <row r="277" spans="1:15" ht="15" customHeight="1" x14ac:dyDescent="0.35">
      <c r="A277" s="7">
        <v>241</v>
      </c>
      <c r="B277" s="67">
        <f t="shared" si="0"/>
        <v>356.92</v>
      </c>
      <c r="C277" s="67">
        <f t="shared" si="1"/>
        <v>111.24</v>
      </c>
      <c r="D277" s="67">
        <f t="shared" si="2"/>
        <v>245.68</v>
      </c>
      <c r="E277" s="67">
        <f t="shared" si="3"/>
        <v>39014.570000000036</v>
      </c>
      <c r="F277" s="83">
        <v>0</v>
      </c>
      <c r="G277" s="83">
        <f t="shared" si="4"/>
        <v>356.92</v>
      </c>
      <c r="I277" s="85">
        <v>241</v>
      </c>
      <c r="J277" s="83">
        <f t="shared" si="5"/>
        <v>302.87</v>
      </c>
      <c r="K277" s="83">
        <f t="shared" si="6"/>
        <v>82.44</v>
      </c>
      <c r="L277" s="83">
        <f t="shared" si="7"/>
        <v>220.43</v>
      </c>
      <c r="M277" s="83">
        <f t="shared" si="8"/>
        <v>28876.370000000468</v>
      </c>
      <c r="N277" s="83">
        <v>0</v>
      </c>
      <c r="O277" s="83">
        <f t="shared" si="10"/>
        <v>302.87</v>
      </c>
    </row>
    <row r="278" spans="1:15" ht="15" customHeight="1" x14ac:dyDescent="0.35">
      <c r="A278" s="7">
        <v>242</v>
      </c>
      <c r="B278" s="67">
        <f t="shared" si="0"/>
        <v>356.92</v>
      </c>
      <c r="C278" s="67">
        <f t="shared" si="1"/>
        <v>110.54</v>
      </c>
      <c r="D278" s="67">
        <f t="shared" si="2"/>
        <v>246.38</v>
      </c>
      <c r="E278" s="67">
        <f t="shared" si="3"/>
        <v>38768.190000000039</v>
      </c>
      <c r="F278" s="83">
        <v>0</v>
      </c>
      <c r="G278" s="83">
        <f t="shared" si="4"/>
        <v>356.92</v>
      </c>
      <c r="I278" s="85">
        <v>242</v>
      </c>
      <c r="J278" s="83">
        <f t="shared" si="5"/>
        <v>302.25</v>
      </c>
      <c r="K278" s="83">
        <f t="shared" si="6"/>
        <v>81.819999999999993</v>
      </c>
      <c r="L278" s="83">
        <f t="shared" si="7"/>
        <v>220.43</v>
      </c>
      <c r="M278" s="83">
        <f t="shared" si="8"/>
        <v>28655.940000000468</v>
      </c>
      <c r="N278" s="83">
        <v>0</v>
      </c>
      <c r="O278" s="83">
        <f t="shared" si="10"/>
        <v>302.25</v>
      </c>
    </row>
    <row r="279" spans="1:15" ht="15" customHeight="1" x14ac:dyDescent="0.35">
      <c r="A279" s="7">
        <v>243</v>
      </c>
      <c r="B279" s="67">
        <f t="shared" si="0"/>
        <v>356.92</v>
      </c>
      <c r="C279" s="67">
        <f t="shared" si="1"/>
        <v>109.84</v>
      </c>
      <c r="D279" s="67">
        <f t="shared" si="2"/>
        <v>247.08</v>
      </c>
      <c r="E279" s="67">
        <f t="shared" si="3"/>
        <v>38521.110000000037</v>
      </c>
      <c r="F279" s="83">
        <v>0</v>
      </c>
      <c r="G279" s="83">
        <f t="shared" si="4"/>
        <v>356.92</v>
      </c>
      <c r="I279" s="85">
        <v>243</v>
      </c>
      <c r="J279" s="83">
        <f t="shared" si="5"/>
        <v>301.62</v>
      </c>
      <c r="K279" s="83">
        <f t="shared" si="6"/>
        <v>81.19</v>
      </c>
      <c r="L279" s="83">
        <f t="shared" si="7"/>
        <v>220.43</v>
      </c>
      <c r="M279" s="83">
        <f t="shared" si="8"/>
        <v>28435.510000000468</v>
      </c>
      <c r="N279" s="83">
        <v>0</v>
      </c>
      <c r="O279" s="83">
        <f t="shared" si="10"/>
        <v>301.62</v>
      </c>
    </row>
    <row r="280" spans="1:15" ht="15" customHeight="1" x14ac:dyDescent="0.35">
      <c r="A280" s="7">
        <v>244</v>
      </c>
      <c r="B280" s="67">
        <f t="shared" si="0"/>
        <v>356.92</v>
      </c>
      <c r="C280" s="67">
        <f t="shared" si="1"/>
        <v>109.14</v>
      </c>
      <c r="D280" s="67">
        <f t="shared" si="2"/>
        <v>247.78000000000003</v>
      </c>
      <c r="E280" s="67">
        <f t="shared" si="3"/>
        <v>38273.330000000038</v>
      </c>
      <c r="F280" s="83">
        <v>0</v>
      </c>
      <c r="G280" s="83">
        <f t="shared" si="4"/>
        <v>356.92</v>
      </c>
      <c r="I280" s="85">
        <v>244</v>
      </c>
      <c r="J280" s="83">
        <f t="shared" si="5"/>
        <v>301</v>
      </c>
      <c r="K280" s="83">
        <f t="shared" si="6"/>
        <v>80.569999999999993</v>
      </c>
      <c r="L280" s="83">
        <f t="shared" si="7"/>
        <v>220.43</v>
      </c>
      <c r="M280" s="83">
        <f t="shared" si="8"/>
        <v>28215.080000000467</v>
      </c>
      <c r="N280" s="83">
        <v>0</v>
      </c>
      <c r="O280" s="83">
        <f t="shared" si="10"/>
        <v>301</v>
      </c>
    </row>
    <row r="281" spans="1:15" ht="15" customHeight="1" x14ac:dyDescent="0.35">
      <c r="A281" s="7">
        <v>245</v>
      </c>
      <c r="B281" s="67">
        <f t="shared" si="0"/>
        <v>356.92</v>
      </c>
      <c r="C281" s="67">
        <f t="shared" si="1"/>
        <v>108.44</v>
      </c>
      <c r="D281" s="67">
        <f t="shared" si="2"/>
        <v>248.48000000000002</v>
      </c>
      <c r="E281" s="67">
        <f t="shared" si="3"/>
        <v>38024.850000000035</v>
      </c>
      <c r="F281" s="83">
        <v>0</v>
      </c>
      <c r="G281" s="83">
        <f t="shared" si="4"/>
        <v>356.92</v>
      </c>
      <c r="I281" s="85">
        <v>245</v>
      </c>
      <c r="J281" s="83">
        <f t="shared" si="5"/>
        <v>300.37</v>
      </c>
      <c r="K281" s="83">
        <f t="shared" si="6"/>
        <v>79.94</v>
      </c>
      <c r="L281" s="83">
        <f t="shared" si="7"/>
        <v>220.43</v>
      </c>
      <c r="M281" s="83">
        <f t="shared" si="8"/>
        <v>27994.650000000467</v>
      </c>
      <c r="N281" s="83">
        <v>0</v>
      </c>
      <c r="O281" s="83">
        <f t="shared" si="10"/>
        <v>300.37</v>
      </c>
    </row>
    <row r="282" spans="1:15" ht="15" customHeight="1" x14ac:dyDescent="0.35">
      <c r="A282" s="7">
        <v>246</v>
      </c>
      <c r="B282" s="67">
        <f t="shared" si="0"/>
        <v>356.92</v>
      </c>
      <c r="C282" s="67">
        <f t="shared" si="1"/>
        <v>107.74</v>
      </c>
      <c r="D282" s="67">
        <f t="shared" si="2"/>
        <v>249.18</v>
      </c>
      <c r="E282" s="67">
        <f t="shared" si="3"/>
        <v>37775.670000000035</v>
      </c>
      <c r="F282" s="83">
        <v>0</v>
      </c>
      <c r="G282" s="83">
        <f t="shared" si="4"/>
        <v>356.92</v>
      </c>
      <c r="I282" s="85">
        <v>246</v>
      </c>
      <c r="J282" s="83">
        <f t="shared" si="5"/>
        <v>299.75</v>
      </c>
      <c r="K282" s="83">
        <f t="shared" si="6"/>
        <v>79.319999999999993</v>
      </c>
      <c r="L282" s="83">
        <f t="shared" si="7"/>
        <v>220.43</v>
      </c>
      <c r="M282" s="83">
        <f t="shared" si="8"/>
        <v>27774.220000000467</v>
      </c>
      <c r="N282" s="83">
        <v>0</v>
      </c>
      <c r="O282" s="83">
        <f t="shared" si="10"/>
        <v>299.75</v>
      </c>
    </row>
    <row r="283" spans="1:15" ht="15" customHeight="1" x14ac:dyDescent="0.35">
      <c r="A283" s="7">
        <v>247</v>
      </c>
      <c r="B283" s="67">
        <f t="shared" si="0"/>
        <v>356.92</v>
      </c>
      <c r="C283" s="67">
        <f t="shared" si="1"/>
        <v>107.03</v>
      </c>
      <c r="D283" s="67">
        <f t="shared" si="2"/>
        <v>249.89000000000001</v>
      </c>
      <c r="E283" s="67">
        <f t="shared" si="3"/>
        <v>37525.780000000035</v>
      </c>
      <c r="F283" s="83">
        <v>0</v>
      </c>
      <c r="G283" s="83">
        <f t="shared" si="4"/>
        <v>356.92</v>
      </c>
      <c r="I283" s="85">
        <v>247</v>
      </c>
      <c r="J283" s="83">
        <f t="shared" si="5"/>
        <v>299.12</v>
      </c>
      <c r="K283" s="83">
        <f t="shared" si="6"/>
        <v>78.69</v>
      </c>
      <c r="L283" s="83">
        <f t="shared" si="7"/>
        <v>220.43</v>
      </c>
      <c r="M283" s="83">
        <f t="shared" si="8"/>
        <v>27553.790000000467</v>
      </c>
      <c r="N283" s="83">
        <v>0</v>
      </c>
      <c r="O283" s="83">
        <f t="shared" si="10"/>
        <v>299.12</v>
      </c>
    </row>
    <row r="284" spans="1:15" ht="15" customHeight="1" x14ac:dyDescent="0.35">
      <c r="A284" s="7">
        <v>248</v>
      </c>
      <c r="B284" s="67">
        <f t="shared" si="0"/>
        <v>356.92</v>
      </c>
      <c r="C284" s="67">
        <f t="shared" si="1"/>
        <v>106.32</v>
      </c>
      <c r="D284" s="67">
        <f t="shared" si="2"/>
        <v>250.60000000000002</v>
      </c>
      <c r="E284" s="67">
        <f t="shared" si="3"/>
        <v>37275.180000000037</v>
      </c>
      <c r="F284" s="83">
        <v>0</v>
      </c>
      <c r="G284" s="83">
        <f t="shared" si="4"/>
        <v>356.92</v>
      </c>
      <c r="I284" s="85">
        <v>248</v>
      </c>
      <c r="J284" s="83">
        <f t="shared" si="5"/>
        <v>298.5</v>
      </c>
      <c r="K284" s="83">
        <f t="shared" si="6"/>
        <v>78.069999999999993</v>
      </c>
      <c r="L284" s="83">
        <f t="shared" si="7"/>
        <v>220.43</v>
      </c>
      <c r="M284" s="83">
        <f t="shared" si="8"/>
        <v>27333.360000000466</v>
      </c>
      <c r="N284" s="83">
        <v>0</v>
      </c>
      <c r="O284" s="83">
        <f t="shared" si="10"/>
        <v>298.5</v>
      </c>
    </row>
    <row r="285" spans="1:15" ht="15" customHeight="1" x14ac:dyDescent="0.35">
      <c r="A285" s="7">
        <v>249</v>
      </c>
      <c r="B285" s="67">
        <f t="shared" si="0"/>
        <v>356.92</v>
      </c>
      <c r="C285" s="67">
        <f t="shared" si="1"/>
        <v>105.61</v>
      </c>
      <c r="D285" s="67">
        <f t="shared" si="2"/>
        <v>251.31</v>
      </c>
      <c r="E285" s="67">
        <f t="shared" si="3"/>
        <v>37023.870000000039</v>
      </c>
      <c r="F285" s="83">
        <v>0</v>
      </c>
      <c r="G285" s="83">
        <f t="shared" si="4"/>
        <v>356.92</v>
      </c>
      <c r="I285" s="85">
        <v>249</v>
      </c>
      <c r="J285" s="83">
        <f t="shared" si="5"/>
        <v>297.87</v>
      </c>
      <c r="K285" s="83">
        <f t="shared" si="6"/>
        <v>77.44</v>
      </c>
      <c r="L285" s="83">
        <f t="shared" si="7"/>
        <v>220.43</v>
      </c>
      <c r="M285" s="83">
        <f t="shared" si="8"/>
        <v>27112.930000000466</v>
      </c>
      <c r="N285" s="83">
        <v>0</v>
      </c>
      <c r="O285" s="83">
        <f t="shared" si="10"/>
        <v>297.87</v>
      </c>
    </row>
    <row r="286" spans="1:15" ht="15" customHeight="1" x14ac:dyDescent="0.35">
      <c r="A286" s="7">
        <v>250</v>
      </c>
      <c r="B286" s="67">
        <f t="shared" si="0"/>
        <v>356.92</v>
      </c>
      <c r="C286" s="67">
        <f t="shared" si="1"/>
        <v>104.9</v>
      </c>
      <c r="D286" s="67">
        <f t="shared" si="2"/>
        <v>252.02</v>
      </c>
      <c r="E286" s="67">
        <f t="shared" si="3"/>
        <v>36771.850000000042</v>
      </c>
      <c r="F286" s="83">
        <v>0</v>
      </c>
      <c r="G286" s="83">
        <f t="shared" si="4"/>
        <v>356.92</v>
      </c>
      <c r="I286" s="85">
        <v>250</v>
      </c>
      <c r="J286" s="83">
        <f t="shared" si="5"/>
        <v>297.25</v>
      </c>
      <c r="K286" s="83">
        <f t="shared" si="6"/>
        <v>76.819999999999993</v>
      </c>
      <c r="L286" s="83">
        <f t="shared" si="7"/>
        <v>220.43</v>
      </c>
      <c r="M286" s="83">
        <f t="shared" si="8"/>
        <v>26892.500000000466</v>
      </c>
      <c r="N286" s="83">
        <v>0</v>
      </c>
      <c r="O286" s="83">
        <f t="shared" si="10"/>
        <v>297.25</v>
      </c>
    </row>
    <row r="287" spans="1:15" ht="15" customHeight="1" x14ac:dyDescent="0.35">
      <c r="A287" s="7">
        <v>251</v>
      </c>
      <c r="B287" s="67">
        <f t="shared" si="0"/>
        <v>356.92</v>
      </c>
      <c r="C287" s="67">
        <f t="shared" si="1"/>
        <v>104.19</v>
      </c>
      <c r="D287" s="67">
        <f t="shared" si="2"/>
        <v>252.73000000000002</v>
      </c>
      <c r="E287" s="67">
        <f t="shared" si="3"/>
        <v>36519.120000000039</v>
      </c>
      <c r="F287" s="83">
        <v>0</v>
      </c>
      <c r="G287" s="83">
        <f t="shared" si="4"/>
        <v>356.92</v>
      </c>
      <c r="I287" s="85">
        <v>251</v>
      </c>
      <c r="J287" s="83">
        <f t="shared" si="5"/>
        <v>296.63</v>
      </c>
      <c r="K287" s="83">
        <f t="shared" si="6"/>
        <v>76.2</v>
      </c>
      <c r="L287" s="83">
        <f t="shared" si="7"/>
        <v>220.43</v>
      </c>
      <c r="M287" s="83">
        <f t="shared" si="8"/>
        <v>26672.070000000465</v>
      </c>
      <c r="N287" s="83">
        <v>0</v>
      </c>
      <c r="O287" s="83">
        <f t="shared" si="10"/>
        <v>296.63</v>
      </c>
    </row>
    <row r="288" spans="1:15" ht="15" customHeight="1" x14ac:dyDescent="0.35">
      <c r="A288" s="7">
        <v>252</v>
      </c>
      <c r="B288" s="67">
        <f t="shared" si="0"/>
        <v>356.92</v>
      </c>
      <c r="C288" s="67">
        <f t="shared" si="1"/>
        <v>103.47</v>
      </c>
      <c r="D288" s="67">
        <f t="shared" si="2"/>
        <v>253.45000000000002</v>
      </c>
      <c r="E288" s="67">
        <f t="shared" si="3"/>
        <v>36265.670000000042</v>
      </c>
      <c r="F288" s="83">
        <v>0</v>
      </c>
      <c r="G288" s="83">
        <f t="shared" si="4"/>
        <v>356.92</v>
      </c>
      <c r="I288" s="85">
        <v>252</v>
      </c>
      <c r="J288" s="83">
        <f t="shared" si="5"/>
        <v>296</v>
      </c>
      <c r="K288" s="83">
        <f t="shared" si="6"/>
        <v>75.569999999999993</v>
      </c>
      <c r="L288" s="83">
        <f t="shared" si="7"/>
        <v>220.43</v>
      </c>
      <c r="M288" s="83">
        <f t="shared" si="8"/>
        <v>26451.640000000465</v>
      </c>
      <c r="N288" s="83">
        <v>0</v>
      </c>
      <c r="O288" s="83">
        <f t="shared" si="10"/>
        <v>296</v>
      </c>
    </row>
    <row r="289" spans="1:15" ht="15" customHeight="1" x14ac:dyDescent="0.35">
      <c r="A289" s="7">
        <v>253</v>
      </c>
      <c r="B289" s="67">
        <f t="shared" si="0"/>
        <v>356.92</v>
      </c>
      <c r="C289" s="67">
        <f t="shared" si="1"/>
        <v>102.75</v>
      </c>
      <c r="D289" s="67">
        <f t="shared" si="2"/>
        <v>254.17000000000002</v>
      </c>
      <c r="E289" s="67">
        <f t="shared" si="3"/>
        <v>36011.500000000044</v>
      </c>
      <c r="F289" s="83">
        <v>0</v>
      </c>
      <c r="G289" s="83">
        <f t="shared" si="4"/>
        <v>356.92</v>
      </c>
      <c r="I289" s="85">
        <v>253</v>
      </c>
      <c r="J289" s="83">
        <f t="shared" si="5"/>
        <v>295.38</v>
      </c>
      <c r="K289" s="83">
        <f t="shared" si="6"/>
        <v>74.95</v>
      </c>
      <c r="L289" s="83">
        <f t="shared" si="7"/>
        <v>220.43</v>
      </c>
      <c r="M289" s="83">
        <f t="shared" si="8"/>
        <v>26231.210000000465</v>
      </c>
      <c r="N289" s="83">
        <v>0</v>
      </c>
      <c r="O289" s="83">
        <f t="shared" si="10"/>
        <v>295.38</v>
      </c>
    </row>
    <row r="290" spans="1:15" ht="15" customHeight="1" x14ac:dyDescent="0.35">
      <c r="A290" s="7">
        <v>254</v>
      </c>
      <c r="B290" s="67">
        <f t="shared" si="0"/>
        <v>356.92</v>
      </c>
      <c r="C290" s="67">
        <f t="shared" si="1"/>
        <v>102.03</v>
      </c>
      <c r="D290" s="67">
        <f t="shared" si="2"/>
        <v>254.89000000000001</v>
      </c>
      <c r="E290" s="67">
        <f t="shared" si="3"/>
        <v>35756.610000000044</v>
      </c>
      <c r="F290" s="83">
        <v>0</v>
      </c>
      <c r="G290" s="83">
        <f t="shared" si="4"/>
        <v>356.92</v>
      </c>
      <c r="I290" s="85">
        <v>254</v>
      </c>
      <c r="J290" s="83">
        <f t="shared" si="5"/>
        <v>294.75</v>
      </c>
      <c r="K290" s="83">
        <f t="shared" si="6"/>
        <v>74.319999999999993</v>
      </c>
      <c r="L290" s="83">
        <f t="shared" si="7"/>
        <v>220.43</v>
      </c>
      <c r="M290" s="83">
        <f t="shared" si="8"/>
        <v>26010.780000000464</v>
      </c>
      <c r="N290" s="83">
        <v>0</v>
      </c>
      <c r="O290" s="83">
        <f t="shared" si="10"/>
        <v>294.75</v>
      </c>
    </row>
    <row r="291" spans="1:15" ht="15" customHeight="1" x14ac:dyDescent="0.35">
      <c r="A291" s="7">
        <v>255</v>
      </c>
      <c r="B291" s="67">
        <f t="shared" si="0"/>
        <v>356.92</v>
      </c>
      <c r="C291" s="67">
        <f t="shared" si="1"/>
        <v>101.31</v>
      </c>
      <c r="D291" s="67">
        <f t="shared" si="2"/>
        <v>255.61</v>
      </c>
      <c r="E291" s="67">
        <f t="shared" si="3"/>
        <v>35501.000000000044</v>
      </c>
      <c r="F291" s="83">
        <v>0</v>
      </c>
      <c r="G291" s="83">
        <f t="shared" si="4"/>
        <v>356.92</v>
      </c>
      <c r="I291" s="85">
        <v>255</v>
      </c>
      <c r="J291" s="83">
        <f t="shared" si="5"/>
        <v>294.13</v>
      </c>
      <c r="K291" s="83">
        <f t="shared" si="6"/>
        <v>73.7</v>
      </c>
      <c r="L291" s="83">
        <f t="shared" si="7"/>
        <v>220.43</v>
      </c>
      <c r="M291" s="83">
        <f t="shared" si="8"/>
        <v>25790.350000000464</v>
      </c>
      <c r="N291" s="83">
        <v>0</v>
      </c>
      <c r="O291" s="83">
        <f t="shared" si="10"/>
        <v>294.13</v>
      </c>
    </row>
    <row r="292" spans="1:15" ht="15" customHeight="1" x14ac:dyDescent="0.35">
      <c r="A292" s="7">
        <v>256</v>
      </c>
      <c r="B292" s="67">
        <f t="shared" ref="B292:B408" si="12">-$B$21</f>
        <v>356.92</v>
      </c>
      <c r="C292" s="67">
        <f t="shared" ref="C292:C408" si="13">ROUND(E291*$B$16,2)</f>
        <v>100.59</v>
      </c>
      <c r="D292" s="67">
        <f t="shared" ref="D292:D408" si="14">B292-C292</f>
        <v>256.33000000000004</v>
      </c>
      <c r="E292" s="67">
        <f t="shared" ref="E292:E408" si="15">E291-D292</f>
        <v>35244.670000000042</v>
      </c>
      <c r="F292" s="83">
        <v>0</v>
      </c>
      <c r="G292" s="83">
        <f t="shared" ref="G292:G408" si="16">B292-F292</f>
        <v>356.92</v>
      </c>
      <c r="I292" s="85">
        <v>256</v>
      </c>
      <c r="J292" s="83">
        <f t="shared" ref="J292:J408" si="17">L292+K292</f>
        <v>293.5</v>
      </c>
      <c r="K292" s="83">
        <f t="shared" ref="K292:K408" si="18">ROUND(M291*$B$16,2)</f>
        <v>73.069999999999993</v>
      </c>
      <c r="L292" s="83">
        <f t="shared" ref="L292:L408" si="19">$B$24</f>
        <v>220.43</v>
      </c>
      <c r="M292" s="83">
        <f t="shared" ref="M292:M408" si="20">M291-L292</f>
        <v>25569.920000000464</v>
      </c>
      <c r="N292" s="83">
        <v>0</v>
      </c>
      <c r="O292" s="83">
        <f t="shared" ref="O292:O408" si="21">J292-N292</f>
        <v>293.5</v>
      </c>
    </row>
    <row r="293" spans="1:15" ht="15" customHeight="1" x14ac:dyDescent="0.35">
      <c r="A293" s="7">
        <v>257</v>
      </c>
      <c r="B293" s="67">
        <f t="shared" si="12"/>
        <v>356.92</v>
      </c>
      <c r="C293" s="67">
        <f t="shared" si="13"/>
        <v>99.86</v>
      </c>
      <c r="D293" s="67">
        <f t="shared" si="14"/>
        <v>257.06</v>
      </c>
      <c r="E293" s="67">
        <f t="shared" si="15"/>
        <v>34987.610000000044</v>
      </c>
      <c r="F293" s="83">
        <v>0</v>
      </c>
      <c r="G293" s="83">
        <f t="shared" si="16"/>
        <v>356.92</v>
      </c>
      <c r="I293" s="85">
        <v>257</v>
      </c>
      <c r="J293" s="83">
        <f t="shared" si="17"/>
        <v>292.88</v>
      </c>
      <c r="K293" s="83">
        <f t="shared" si="18"/>
        <v>72.45</v>
      </c>
      <c r="L293" s="83">
        <f t="shared" si="19"/>
        <v>220.43</v>
      </c>
      <c r="M293" s="83">
        <f t="shared" si="20"/>
        <v>25349.490000000464</v>
      </c>
      <c r="N293" s="83">
        <v>0</v>
      </c>
      <c r="O293" s="83">
        <f t="shared" si="21"/>
        <v>292.88</v>
      </c>
    </row>
    <row r="294" spans="1:15" ht="15" customHeight="1" x14ac:dyDescent="0.35">
      <c r="A294" s="7">
        <v>258</v>
      </c>
      <c r="B294" s="67">
        <f t="shared" si="12"/>
        <v>356.92</v>
      </c>
      <c r="C294" s="67">
        <f t="shared" si="13"/>
        <v>99.13</v>
      </c>
      <c r="D294" s="67">
        <f t="shared" si="14"/>
        <v>257.79000000000002</v>
      </c>
      <c r="E294" s="67">
        <f t="shared" si="15"/>
        <v>34729.820000000043</v>
      </c>
      <c r="F294" s="83">
        <v>0</v>
      </c>
      <c r="G294" s="83">
        <f t="shared" si="16"/>
        <v>356.92</v>
      </c>
      <c r="I294" s="85">
        <v>258</v>
      </c>
      <c r="J294" s="83">
        <f t="shared" si="17"/>
        <v>292.25</v>
      </c>
      <c r="K294" s="83">
        <f t="shared" si="18"/>
        <v>71.819999999999993</v>
      </c>
      <c r="L294" s="83">
        <f t="shared" si="19"/>
        <v>220.43</v>
      </c>
      <c r="M294" s="83">
        <f t="shared" si="20"/>
        <v>25129.060000000463</v>
      </c>
      <c r="N294" s="83">
        <v>0</v>
      </c>
      <c r="O294" s="83">
        <f t="shared" si="21"/>
        <v>292.25</v>
      </c>
    </row>
    <row r="295" spans="1:15" ht="15" customHeight="1" x14ac:dyDescent="0.35">
      <c r="A295" s="7">
        <v>259</v>
      </c>
      <c r="B295" s="67">
        <f t="shared" si="12"/>
        <v>356.92</v>
      </c>
      <c r="C295" s="67">
        <f t="shared" si="13"/>
        <v>98.4</v>
      </c>
      <c r="D295" s="67">
        <f t="shared" si="14"/>
        <v>258.52</v>
      </c>
      <c r="E295" s="67">
        <f t="shared" si="15"/>
        <v>34471.300000000047</v>
      </c>
      <c r="F295" s="83">
        <v>0</v>
      </c>
      <c r="G295" s="83">
        <f t="shared" si="16"/>
        <v>356.92</v>
      </c>
      <c r="I295" s="85">
        <v>259</v>
      </c>
      <c r="J295" s="83">
        <f t="shared" si="17"/>
        <v>291.63</v>
      </c>
      <c r="K295" s="83">
        <f t="shared" si="18"/>
        <v>71.2</v>
      </c>
      <c r="L295" s="83">
        <f t="shared" si="19"/>
        <v>220.43</v>
      </c>
      <c r="M295" s="83">
        <f t="shared" si="20"/>
        <v>24908.630000000463</v>
      </c>
      <c r="N295" s="83">
        <v>0</v>
      </c>
      <c r="O295" s="83">
        <f t="shared" si="21"/>
        <v>291.63</v>
      </c>
    </row>
    <row r="296" spans="1:15" ht="15" customHeight="1" x14ac:dyDescent="0.35">
      <c r="A296" s="7">
        <v>260</v>
      </c>
      <c r="B296" s="67">
        <f t="shared" si="12"/>
        <v>356.92</v>
      </c>
      <c r="C296" s="67">
        <f t="shared" si="13"/>
        <v>97.67</v>
      </c>
      <c r="D296" s="67">
        <f t="shared" si="14"/>
        <v>259.25</v>
      </c>
      <c r="E296" s="67">
        <f t="shared" si="15"/>
        <v>34212.050000000047</v>
      </c>
      <c r="F296" s="83">
        <v>0</v>
      </c>
      <c r="G296" s="83">
        <f t="shared" si="16"/>
        <v>356.92</v>
      </c>
      <c r="I296" s="85">
        <v>260</v>
      </c>
      <c r="J296" s="83">
        <f t="shared" si="17"/>
        <v>291</v>
      </c>
      <c r="K296" s="83">
        <f t="shared" si="18"/>
        <v>70.569999999999993</v>
      </c>
      <c r="L296" s="83">
        <f t="shared" si="19"/>
        <v>220.43</v>
      </c>
      <c r="M296" s="83">
        <f t="shared" si="20"/>
        <v>24688.200000000463</v>
      </c>
      <c r="N296" s="83">
        <v>0</v>
      </c>
      <c r="O296" s="83">
        <f t="shared" si="21"/>
        <v>291</v>
      </c>
    </row>
    <row r="297" spans="1:15" ht="15" customHeight="1" x14ac:dyDescent="0.35">
      <c r="A297" s="7">
        <v>261</v>
      </c>
      <c r="B297" s="67">
        <f t="shared" si="12"/>
        <v>356.92</v>
      </c>
      <c r="C297" s="67">
        <f t="shared" si="13"/>
        <v>96.93</v>
      </c>
      <c r="D297" s="67">
        <f t="shared" si="14"/>
        <v>259.99</v>
      </c>
      <c r="E297" s="67">
        <f t="shared" si="15"/>
        <v>33952.060000000049</v>
      </c>
      <c r="F297" s="83">
        <v>0</v>
      </c>
      <c r="G297" s="83">
        <f t="shared" si="16"/>
        <v>356.92</v>
      </c>
      <c r="I297" s="85">
        <v>261</v>
      </c>
      <c r="J297" s="83">
        <f t="shared" si="17"/>
        <v>290.38</v>
      </c>
      <c r="K297" s="83">
        <f t="shared" si="18"/>
        <v>69.95</v>
      </c>
      <c r="L297" s="83">
        <f t="shared" si="19"/>
        <v>220.43</v>
      </c>
      <c r="M297" s="83">
        <f t="shared" si="20"/>
        <v>24467.770000000462</v>
      </c>
      <c r="N297" s="83">
        <v>0</v>
      </c>
      <c r="O297" s="83">
        <f t="shared" si="21"/>
        <v>290.38</v>
      </c>
    </row>
    <row r="298" spans="1:15" ht="15" customHeight="1" x14ac:dyDescent="0.35">
      <c r="A298" s="7">
        <v>262</v>
      </c>
      <c r="B298" s="67">
        <f t="shared" si="12"/>
        <v>356.92</v>
      </c>
      <c r="C298" s="67">
        <f t="shared" si="13"/>
        <v>96.2</v>
      </c>
      <c r="D298" s="67">
        <f t="shared" si="14"/>
        <v>260.72000000000003</v>
      </c>
      <c r="E298" s="67">
        <f t="shared" si="15"/>
        <v>33691.340000000047</v>
      </c>
      <c r="F298" s="83">
        <v>0</v>
      </c>
      <c r="G298" s="83">
        <f t="shared" si="16"/>
        <v>356.92</v>
      </c>
      <c r="I298" s="85">
        <v>262</v>
      </c>
      <c r="J298" s="83">
        <f t="shared" si="17"/>
        <v>289.76</v>
      </c>
      <c r="K298" s="83">
        <f t="shared" si="18"/>
        <v>69.33</v>
      </c>
      <c r="L298" s="83">
        <f t="shared" si="19"/>
        <v>220.43</v>
      </c>
      <c r="M298" s="83">
        <f t="shared" si="20"/>
        <v>24247.340000000462</v>
      </c>
      <c r="N298" s="83">
        <v>0</v>
      </c>
      <c r="O298" s="83">
        <f t="shared" si="21"/>
        <v>289.76</v>
      </c>
    </row>
    <row r="299" spans="1:15" ht="15" customHeight="1" x14ac:dyDescent="0.35">
      <c r="A299" s="7">
        <v>263</v>
      </c>
      <c r="B299" s="67">
        <f t="shared" si="12"/>
        <v>356.92</v>
      </c>
      <c r="C299" s="67">
        <f t="shared" si="13"/>
        <v>95.46</v>
      </c>
      <c r="D299" s="67">
        <f t="shared" si="14"/>
        <v>261.46000000000004</v>
      </c>
      <c r="E299" s="67">
        <f t="shared" si="15"/>
        <v>33429.880000000048</v>
      </c>
      <c r="F299" s="83">
        <v>0</v>
      </c>
      <c r="G299" s="83">
        <f t="shared" si="16"/>
        <v>356.92</v>
      </c>
      <c r="I299" s="85">
        <v>263</v>
      </c>
      <c r="J299" s="83">
        <f t="shared" si="17"/>
        <v>289.13</v>
      </c>
      <c r="K299" s="83">
        <f t="shared" si="18"/>
        <v>68.7</v>
      </c>
      <c r="L299" s="83">
        <f t="shared" si="19"/>
        <v>220.43</v>
      </c>
      <c r="M299" s="83">
        <f t="shared" si="20"/>
        <v>24026.910000000462</v>
      </c>
      <c r="N299" s="83">
        <v>0</v>
      </c>
      <c r="O299" s="83">
        <f t="shared" si="21"/>
        <v>289.13</v>
      </c>
    </row>
    <row r="300" spans="1:15" ht="15" customHeight="1" x14ac:dyDescent="0.35">
      <c r="A300" s="7">
        <v>264</v>
      </c>
      <c r="B300" s="67">
        <f t="shared" si="12"/>
        <v>356.92</v>
      </c>
      <c r="C300" s="67">
        <f t="shared" si="13"/>
        <v>94.72</v>
      </c>
      <c r="D300" s="67">
        <f t="shared" si="14"/>
        <v>262.20000000000005</v>
      </c>
      <c r="E300" s="67">
        <f t="shared" si="15"/>
        <v>33167.680000000051</v>
      </c>
      <c r="F300" s="83">
        <v>0</v>
      </c>
      <c r="G300" s="83">
        <f t="shared" si="16"/>
        <v>356.92</v>
      </c>
      <c r="I300" s="85">
        <v>264</v>
      </c>
      <c r="J300" s="83">
        <f t="shared" si="17"/>
        <v>288.51</v>
      </c>
      <c r="K300" s="83">
        <f t="shared" si="18"/>
        <v>68.08</v>
      </c>
      <c r="L300" s="83">
        <f t="shared" si="19"/>
        <v>220.43</v>
      </c>
      <c r="M300" s="83">
        <f t="shared" si="20"/>
        <v>23806.480000000462</v>
      </c>
      <c r="N300" s="83">
        <v>0</v>
      </c>
      <c r="O300" s="83">
        <f t="shared" si="21"/>
        <v>288.51</v>
      </c>
    </row>
    <row r="301" spans="1:15" ht="15" customHeight="1" x14ac:dyDescent="0.35">
      <c r="A301" s="7">
        <v>265</v>
      </c>
      <c r="B301" s="67">
        <f t="shared" si="12"/>
        <v>356.92</v>
      </c>
      <c r="C301" s="67">
        <f t="shared" si="13"/>
        <v>93.98</v>
      </c>
      <c r="D301" s="67">
        <f t="shared" si="14"/>
        <v>262.94</v>
      </c>
      <c r="E301" s="67">
        <f t="shared" si="15"/>
        <v>32904.740000000049</v>
      </c>
      <c r="F301" s="83">
        <v>0</v>
      </c>
      <c r="G301" s="83">
        <f t="shared" si="16"/>
        <v>356.92</v>
      </c>
      <c r="I301" s="85">
        <v>265</v>
      </c>
      <c r="J301" s="83">
        <f t="shared" si="17"/>
        <v>287.88</v>
      </c>
      <c r="K301" s="83">
        <f t="shared" si="18"/>
        <v>67.45</v>
      </c>
      <c r="L301" s="83">
        <f t="shared" si="19"/>
        <v>220.43</v>
      </c>
      <c r="M301" s="83">
        <f t="shared" si="20"/>
        <v>23586.050000000461</v>
      </c>
      <c r="N301" s="83">
        <v>0</v>
      </c>
      <c r="O301" s="83">
        <f t="shared" si="21"/>
        <v>287.88</v>
      </c>
    </row>
    <row r="302" spans="1:15" ht="15" customHeight="1" x14ac:dyDescent="0.35">
      <c r="A302" s="7">
        <v>266</v>
      </c>
      <c r="B302" s="67">
        <f t="shared" si="12"/>
        <v>356.92</v>
      </c>
      <c r="C302" s="67">
        <f t="shared" si="13"/>
        <v>93.23</v>
      </c>
      <c r="D302" s="67">
        <f t="shared" si="14"/>
        <v>263.69</v>
      </c>
      <c r="E302" s="67">
        <f t="shared" si="15"/>
        <v>32641.05000000005</v>
      </c>
      <c r="F302" s="83">
        <v>0</v>
      </c>
      <c r="G302" s="83">
        <f t="shared" si="16"/>
        <v>356.92</v>
      </c>
      <c r="I302" s="85">
        <v>266</v>
      </c>
      <c r="J302" s="83">
        <f t="shared" si="17"/>
        <v>287.26</v>
      </c>
      <c r="K302" s="83">
        <f t="shared" si="18"/>
        <v>66.83</v>
      </c>
      <c r="L302" s="83">
        <f t="shared" si="19"/>
        <v>220.43</v>
      </c>
      <c r="M302" s="83">
        <f t="shared" si="20"/>
        <v>23365.620000000461</v>
      </c>
      <c r="N302" s="83">
        <v>0</v>
      </c>
      <c r="O302" s="83">
        <f t="shared" si="21"/>
        <v>287.26</v>
      </c>
    </row>
    <row r="303" spans="1:15" ht="15" customHeight="1" x14ac:dyDescent="0.35">
      <c r="A303" s="7">
        <v>267</v>
      </c>
      <c r="B303" s="67">
        <f t="shared" si="12"/>
        <v>356.92</v>
      </c>
      <c r="C303" s="67">
        <f t="shared" si="13"/>
        <v>92.48</v>
      </c>
      <c r="D303" s="67">
        <f t="shared" si="14"/>
        <v>264.44</v>
      </c>
      <c r="E303" s="67">
        <f t="shared" si="15"/>
        <v>32376.610000000052</v>
      </c>
      <c r="F303" s="83">
        <v>0</v>
      </c>
      <c r="G303" s="83">
        <f t="shared" si="16"/>
        <v>356.92</v>
      </c>
      <c r="I303" s="85">
        <v>267</v>
      </c>
      <c r="J303" s="83">
        <f t="shared" si="17"/>
        <v>286.63</v>
      </c>
      <c r="K303" s="83">
        <f t="shared" si="18"/>
        <v>66.2</v>
      </c>
      <c r="L303" s="83">
        <f t="shared" si="19"/>
        <v>220.43</v>
      </c>
      <c r="M303" s="83">
        <f t="shared" si="20"/>
        <v>23145.190000000461</v>
      </c>
      <c r="N303" s="83">
        <v>0</v>
      </c>
      <c r="O303" s="83">
        <f t="shared" si="21"/>
        <v>286.63</v>
      </c>
    </row>
    <row r="304" spans="1:15" ht="15" customHeight="1" x14ac:dyDescent="0.35">
      <c r="A304" s="7">
        <v>268</v>
      </c>
      <c r="B304" s="67">
        <f t="shared" si="12"/>
        <v>356.92</v>
      </c>
      <c r="C304" s="67">
        <f t="shared" si="13"/>
        <v>91.73</v>
      </c>
      <c r="D304" s="67">
        <f t="shared" si="14"/>
        <v>265.19</v>
      </c>
      <c r="E304" s="67">
        <f t="shared" si="15"/>
        <v>32111.420000000053</v>
      </c>
      <c r="F304" s="83">
        <v>0</v>
      </c>
      <c r="G304" s="83">
        <f t="shared" si="16"/>
        <v>356.92</v>
      </c>
      <c r="I304" s="85">
        <v>268</v>
      </c>
      <c r="J304" s="83">
        <f t="shared" si="17"/>
        <v>286.01</v>
      </c>
      <c r="K304" s="83">
        <f t="shared" si="18"/>
        <v>65.58</v>
      </c>
      <c r="L304" s="83">
        <f t="shared" si="19"/>
        <v>220.43</v>
      </c>
      <c r="M304" s="83">
        <f t="shared" si="20"/>
        <v>22924.76000000046</v>
      </c>
      <c r="N304" s="83">
        <v>0</v>
      </c>
      <c r="O304" s="83">
        <f t="shared" si="21"/>
        <v>286.01</v>
      </c>
    </row>
    <row r="305" spans="1:15" ht="15" customHeight="1" x14ac:dyDescent="0.35">
      <c r="A305" s="7">
        <v>269</v>
      </c>
      <c r="B305" s="67">
        <f t="shared" si="12"/>
        <v>356.92</v>
      </c>
      <c r="C305" s="67">
        <f t="shared" si="13"/>
        <v>90.98</v>
      </c>
      <c r="D305" s="67">
        <f t="shared" si="14"/>
        <v>265.94</v>
      </c>
      <c r="E305" s="67">
        <f t="shared" si="15"/>
        <v>31845.480000000054</v>
      </c>
      <c r="F305" s="83">
        <v>0</v>
      </c>
      <c r="G305" s="83">
        <f t="shared" si="16"/>
        <v>356.92</v>
      </c>
      <c r="I305" s="85">
        <v>269</v>
      </c>
      <c r="J305" s="83">
        <f t="shared" si="17"/>
        <v>285.38</v>
      </c>
      <c r="K305" s="83">
        <f t="shared" si="18"/>
        <v>64.95</v>
      </c>
      <c r="L305" s="83">
        <f t="shared" si="19"/>
        <v>220.43</v>
      </c>
      <c r="M305" s="83">
        <f t="shared" si="20"/>
        <v>22704.33000000046</v>
      </c>
      <c r="N305" s="83">
        <v>0</v>
      </c>
      <c r="O305" s="83">
        <f t="shared" si="21"/>
        <v>285.38</v>
      </c>
    </row>
    <row r="306" spans="1:15" ht="15" customHeight="1" x14ac:dyDescent="0.35">
      <c r="A306" s="7">
        <v>270</v>
      </c>
      <c r="B306" s="67">
        <f t="shared" si="12"/>
        <v>356.92</v>
      </c>
      <c r="C306" s="67">
        <f t="shared" si="13"/>
        <v>90.23</v>
      </c>
      <c r="D306" s="67">
        <f t="shared" si="14"/>
        <v>266.69</v>
      </c>
      <c r="E306" s="67">
        <f t="shared" si="15"/>
        <v>31578.790000000055</v>
      </c>
      <c r="F306" s="83">
        <v>0</v>
      </c>
      <c r="G306" s="83">
        <f t="shared" si="16"/>
        <v>356.92</v>
      </c>
      <c r="I306" s="85">
        <v>270</v>
      </c>
      <c r="J306" s="83">
        <f t="shared" si="17"/>
        <v>284.76</v>
      </c>
      <c r="K306" s="83">
        <f t="shared" si="18"/>
        <v>64.33</v>
      </c>
      <c r="L306" s="83">
        <f t="shared" si="19"/>
        <v>220.43</v>
      </c>
      <c r="M306" s="83">
        <f t="shared" si="20"/>
        <v>22483.90000000046</v>
      </c>
      <c r="N306" s="83">
        <v>0</v>
      </c>
      <c r="O306" s="83">
        <f t="shared" si="21"/>
        <v>284.76</v>
      </c>
    </row>
    <row r="307" spans="1:15" ht="15" customHeight="1" x14ac:dyDescent="0.35">
      <c r="A307" s="7">
        <v>271</v>
      </c>
      <c r="B307" s="67">
        <f t="shared" si="12"/>
        <v>356.92</v>
      </c>
      <c r="C307" s="67">
        <f t="shared" si="13"/>
        <v>89.47</v>
      </c>
      <c r="D307" s="67">
        <f t="shared" si="14"/>
        <v>267.45000000000005</v>
      </c>
      <c r="E307" s="67">
        <f t="shared" si="15"/>
        <v>31311.340000000055</v>
      </c>
      <c r="F307" s="83">
        <v>0</v>
      </c>
      <c r="G307" s="83">
        <f t="shared" si="16"/>
        <v>356.92</v>
      </c>
      <c r="I307" s="85">
        <v>271</v>
      </c>
      <c r="J307" s="83">
        <f t="shared" si="17"/>
        <v>284.13</v>
      </c>
      <c r="K307" s="83">
        <f t="shared" si="18"/>
        <v>63.7</v>
      </c>
      <c r="L307" s="83">
        <f t="shared" si="19"/>
        <v>220.43</v>
      </c>
      <c r="M307" s="83">
        <f t="shared" si="20"/>
        <v>22263.47000000046</v>
      </c>
      <c r="N307" s="83">
        <v>0</v>
      </c>
      <c r="O307" s="83">
        <f t="shared" si="21"/>
        <v>284.13</v>
      </c>
    </row>
    <row r="308" spans="1:15" ht="15" customHeight="1" x14ac:dyDescent="0.35">
      <c r="A308" s="7">
        <v>272</v>
      </c>
      <c r="B308" s="67">
        <f t="shared" si="12"/>
        <v>356.92</v>
      </c>
      <c r="C308" s="67">
        <f t="shared" si="13"/>
        <v>88.72</v>
      </c>
      <c r="D308" s="67">
        <f t="shared" si="14"/>
        <v>268.20000000000005</v>
      </c>
      <c r="E308" s="67">
        <f t="shared" si="15"/>
        <v>31043.140000000054</v>
      </c>
      <c r="F308" s="83">
        <v>0</v>
      </c>
      <c r="G308" s="83">
        <f t="shared" si="16"/>
        <v>356.92</v>
      </c>
      <c r="I308" s="85">
        <v>272</v>
      </c>
      <c r="J308" s="83">
        <f t="shared" si="17"/>
        <v>283.51</v>
      </c>
      <c r="K308" s="83">
        <f t="shared" si="18"/>
        <v>63.08</v>
      </c>
      <c r="L308" s="83">
        <f t="shared" si="19"/>
        <v>220.43</v>
      </c>
      <c r="M308" s="83">
        <f t="shared" si="20"/>
        <v>22043.040000000459</v>
      </c>
      <c r="N308" s="83">
        <v>0</v>
      </c>
      <c r="O308" s="83">
        <f t="shared" si="21"/>
        <v>283.51</v>
      </c>
    </row>
    <row r="309" spans="1:15" ht="15" customHeight="1" x14ac:dyDescent="0.35">
      <c r="A309" s="7">
        <v>273</v>
      </c>
      <c r="B309" s="67">
        <f t="shared" si="12"/>
        <v>356.92</v>
      </c>
      <c r="C309" s="67">
        <f t="shared" si="13"/>
        <v>87.96</v>
      </c>
      <c r="D309" s="67">
        <f t="shared" si="14"/>
        <v>268.96000000000004</v>
      </c>
      <c r="E309" s="67">
        <f t="shared" si="15"/>
        <v>30774.180000000055</v>
      </c>
      <c r="F309" s="83">
        <v>0</v>
      </c>
      <c r="G309" s="83">
        <f t="shared" si="16"/>
        <v>356.92</v>
      </c>
      <c r="I309" s="85">
        <v>273</v>
      </c>
      <c r="J309" s="83">
        <f t="shared" si="17"/>
        <v>282.89</v>
      </c>
      <c r="K309" s="83">
        <f t="shared" si="18"/>
        <v>62.46</v>
      </c>
      <c r="L309" s="83">
        <f t="shared" si="19"/>
        <v>220.43</v>
      </c>
      <c r="M309" s="83">
        <f t="shared" si="20"/>
        <v>21822.610000000459</v>
      </c>
      <c r="N309" s="83">
        <v>0</v>
      </c>
      <c r="O309" s="83">
        <f t="shared" si="21"/>
        <v>282.89</v>
      </c>
    </row>
    <row r="310" spans="1:15" ht="15" customHeight="1" x14ac:dyDescent="0.35">
      <c r="A310" s="7">
        <v>274</v>
      </c>
      <c r="B310" s="67">
        <f t="shared" si="12"/>
        <v>356.92</v>
      </c>
      <c r="C310" s="67">
        <f t="shared" si="13"/>
        <v>87.19</v>
      </c>
      <c r="D310" s="67">
        <f t="shared" si="14"/>
        <v>269.73</v>
      </c>
      <c r="E310" s="67">
        <f t="shared" si="15"/>
        <v>30504.450000000055</v>
      </c>
      <c r="F310" s="83">
        <v>0</v>
      </c>
      <c r="G310" s="83">
        <f t="shared" si="16"/>
        <v>356.92</v>
      </c>
      <c r="I310" s="85">
        <v>274</v>
      </c>
      <c r="J310" s="83">
        <f t="shared" si="17"/>
        <v>282.26</v>
      </c>
      <c r="K310" s="83">
        <f t="shared" si="18"/>
        <v>61.83</v>
      </c>
      <c r="L310" s="83">
        <f t="shared" si="19"/>
        <v>220.43</v>
      </c>
      <c r="M310" s="83">
        <f t="shared" si="20"/>
        <v>21602.180000000459</v>
      </c>
      <c r="N310" s="83">
        <v>0</v>
      </c>
      <c r="O310" s="83">
        <f t="shared" si="21"/>
        <v>282.26</v>
      </c>
    </row>
    <row r="311" spans="1:15" ht="15" customHeight="1" x14ac:dyDescent="0.35">
      <c r="A311" s="7">
        <v>275</v>
      </c>
      <c r="B311" s="67">
        <f t="shared" si="12"/>
        <v>356.92</v>
      </c>
      <c r="C311" s="67">
        <f t="shared" si="13"/>
        <v>86.43</v>
      </c>
      <c r="D311" s="67">
        <f t="shared" si="14"/>
        <v>270.49</v>
      </c>
      <c r="E311" s="67">
        <f t="shared" si="15"/>
        <v>30233.960000000054</v>
      </c>
      <c r="F311" s="83">
        <v>0</v>
      </c>
      <c r="G311" s="83">
        <f t="shared" si="16"/>
        <v>356.92</v>
      </c>
      <c r="I311" s="85">
        <v>275</v>
      </c>
      <c r="J311" s="83">
        <f t="shared" si="17"/>
        <v>281.64</v>
      </c>
      <c r="K311" s="83">
        <f t="shared" si="18"/>
        <v>61.21</v>
      </c>
      <c r="L311" s="83">
        <f t="shared" si="19"/>
        <v>220.43</v>
      </c>
      <c r="M311" s="83">
        <f t="shared" si="20"/>
        <v>21381.750000000458</v>
      </c>
      <c r="N311" s="83">
        <v>0</v>
      </c>
      <c r="O311" s="83">
        <f t="shared" si="21"/>
        <v>281.64</v>
      </c>
    </row>
    <row r="312" spans="1:15" ht="15" customHeight="1" x14ac:dyDescent="0.35">
      <c r="A312" s="7">
        <v>276</v>
      </c>
      <c r="B312" s="67">
        <f t="shared" si="12"/>
        <v>356.92</v>
      </c>
      <c r="C312" s="67">
        <f t="shared" si="13"/>
        <v>85.66</v>
      </c>
      <c r="D312" s="67">
        <f t="shared" si="14"/>
        <v>271.26</v>
      </c>
      <c r="E312" s="67">
        <f t="shared" si="15"/>
        <v>29962.700000000055</v>
      </c>
      <c r="F312" s="83">
        <v>0</v>
      </c>
      <c r="G312" s="83">
        <f t="shared" si="16"/>
        <v>356.92</v>
      </c>
      <c r="I312" s="85">
        <v>276</v>
      </c>
      <c r="J312" s="83">
        <f t="shared" si="17"/>
        <v>281.01</v>
      </c>
      <c r="K312" s="83">
        <f t="shared" si="18"/>
        <v>60.58</v>
      </c>
      <c r="L312" s="83">
        <f t="shared" si="19"/>
        <v>220.43</v>
      </c>
      <c r="M312" s="83">
        <f t="shared" si="20"/>
        <v>21161.320000000458</v>
      </c>
      <c r="N312" s="83">
        <v>0</v>
      </c>
      <c r="O312" s="83">
        <f t="shared" si="21"/>
        <v>281.01</v>
      </c>
    </row>
    <row r="313" spans="1:15" ht="15" customHeight="1" x14ac:dyDescent="0.35">
      <c r="A313" s="7">
        <v>277</v>
      </c>
      <c r="B313" s="67">
        <f t="shared" si="12"/>
        <v>356.92</v>
      </c>
      <c r="C313" s="67">
        <f t="shared" si="13"/>
        <v>84.89</v>
      </c>
      <c r="D313" s="67">
        <f t="shared" si="14"/>
        <v>272.03000000000003</v>
      </c>
      <c r="E313" s="67">
        <f t="shared" si="15"/>
        <v>29690.670000000056</v>
      </c>
      <c r="F313" s="83">
        <v>0</v>
      </c>
      <c r="G313" s="83">
        <f t="shared" si="16"/>
        <v>356.92</v>
      </c>
      <c r="I313" s="85">
        <v>277</v>
      </c>
      <c r="J313" s="83">
        <f t="shared" si="17"/>
        <v>280.39</v>
      </c>
      <c r="K313" s="83">
        <f t="shared" si="18"/>
        <v>59.96</v>
      </c>
      <c r="L313" s="83">
        <f t="shared" si="19"/>
        <v>220.43</v>
      </c>
      <c r="M313" s="83">
        <f t="shared" si="20"/>
        <v>20940.890000000458</v>
      </c>
      <c r="N313" s="83">
        <v>0</v>
      </c>
      <c r="O313" s="83">
        <f t="shared" si="21"/>
        <v>280.39</v>
      </c>
    </row>
    <row r="314" spans="1:15" ht="15" customHeight="1" x14ac:dyDescent="0.35">
      <c r="A314" s="7">
        <v>278</v>
      </c>
      <c r="B314" s="67">
        <f t="shared" si="12"/>
        <v>356.92</v>
      </c>
      <c r="C314" s="67">
        <f t="shared" si="13"/>
        <v>84.12</v>
      </c>
      <c r="D314" s="67">
        <f t="shared" si="14"/>
        <v>272.8</v>
      </c>
      <c r="E314" s="67">
        <f t="shared" si="15"/>
        <v>29417.870000000057</v>
      </c>
      <c r="F314" s="83">
        <v>0</v>
      </c>
      <c r="G314" s="83">
        <f t="shared" si="16"/>
        <v>356.92</v>
      </c>
      <c r="I314" s="85">
        <v>278</v>
      </c>
      <c r="J314" s="83">
        <f t="shared" si="17"/>
        <v>279.76</v>
      </c>
      <c r="K314" s="83">
        <f t="shared" si="18"/>
        <v>59.33</v>
      </c>
      <c r="L314" s="83">
        <f t="shared" si="19"/>
        <v>220.43</v>
      </c>
      <c r="M314" s="83">
        <f t="shared" si="20"/>
        <v>20720.460000000458</v>
      </c>
      <c r="N314" s="83">
        <v>0</v>
      </c>
      <c r="O314" s="83">
        <f t="shared" si="21"/>
        <v>279.76</v>
      </c>
    </row>
    <row r="315" spans="1:15" ht="15" customHeight="1" x14ac:dyDescent="0.35">
      <c r="A315" s="7">
        <v>279</v>
      </c>
      <c r="B315" s="67">
        <f t="shared" si="12"/>
        <v>356.92</v>
      </c>
      <c r="C315" s="67">
        <f t="shared" si="13"/>
        <v>83.35</v>
      </c>
      <c r="D315" s="67">
        <f t="shared" si="14"/>
        <v>273.57000000000005</v>
      </c>
      <c r="E315" s="67">
        <f t="shared" si="15"/>
        <v>29144.300000000057</v>
      </c>
      <c r="F315" s="83">
        <v>0</v>
      </c>
      <c r="G315" s="83">
        <f t="shared" si="16"/>
        <v>356.92</v>
      </c>
      <c r="I315" s="85">
        <v>279</v>
      </c>
      <c r="J315" s="83">
        <f t="shared" si="17"/>
        <v>279.14</v>
      </c>
      <c r="K315" s="83">
        <f t="shared" si="18"/>
        <v>58.71</v>
      </c>
      <c r="L315" s="83">
        <f t="shared" si="19"/>
        <v>220.43</v>
      </c>
      <c r="M315" s="83">
        <f t="shared" si="20"/>
        <v>20500.030000000457</v>
      </c>
      <c r="N315" s="83">
        <v>0</v>
      </c>
      <c r="O315" s="83">
        <f t="shared" si="21"/>
        <v>279.14</v>
      </c>
    </row>
    <row r="316" spans="1:15" ht="15" customHeight="1" x14ac:dyDescent="0.35">
      <c r="A316" s="7">
        <v>280</v>
      </c>
      <c r="B316" s="67">
        <f t="shared" si="12"/>
        <v>356.92</v>
      </c>
      <c r="C316" s="67">
        <f t="shared" si="13"/>
        <v>82.58</v>
      </c>
      <c r="D316" s="67">
        <f t="shared" si="14"/>
        <v>274.34000000000003</v>
      </c>
      <c r="E316" s="67">
        <f t="shared" si="15"/>
        <v>28869.960000000057</v>
      </c>
      <c r="F316" s="83">
        <v>0</v>
      </c>
      <c r="G316" s="83">
        <f t="shared" si="16"/>
        <v>356.92</v>
      </c>
      <c r="I316" s="85">
        <v>280</v>
      </c>
      <c r="J316" s="83">
        <f t="shared" si="17"/>
        <v>278.51</v>
      </c>
      <c r="K316" s="83">
        <f t="shared" si="18"/>
        <v>58.08</v>
      </c>
      <c r="L316" s="83">
        <f t="shared" si="19"/>
        <v>220.43</v>
      </c>
      <c r="M316" s="83">
        <f t="shared" si="20"/>
        <v>20279.600000000457</v>
      </c>
      <c r="N316" s="83">
        <v>0</v>
      </c>
      <c r="O316" s="83">
        <f t="shared" si="21"/>
        <v>278.51</v>
      </c>
    </row>
    <row r="317" spans="1:15" ht="15" customHeight="1" x14ac:dyDescent="0.35">
      <c r="A317" s="7">
        <v>281</v>
      </c>
      <c r="B317" s="67">
        <f t="shared" si="12"/>
        <v>356.92</v>
      </c>
      <c r="C317" s="67">
        <f t="shared" si="13"/>
        <v>81.8</v>
      </c>
      <c r="D317" s="67">
        <f t="shared" si="14"/>
        <v>275.12</v>
      </c>
      <c r="E317" s="67">
        <f t="shared" si="15"/>
        <v>28594.840000000058</v>
      </c>
      <c r="F317" s="83">
        <v>0</v>
      </c>
      <c r="G317" s="83">
        <f t="shared" si="16"/>
        <v>356.92</v>
      </c>
      <c r="I317" s="85">
        <v>281</v>
      </c>
      <c r="J317" s="83">
        <f t="shared" si="17"/>
        <v>277.89</v>
      </c>
      <c r="K317" s="83">
        <f t="shared" si="18"/>
        <v>57.46</v>
      </c>
      <c r="L317" s="83">
        <f t="shared" si="19"/>
        <v>220.43</v>
      </c>
      <c r="M317" s="83">
        <f t="shared" si="20"/>
        <v>20059.170000000457</v>
      </c>
      <c r="N317" s="83">
        <v>0</v>
      </c>
      <c r="O317" s="83">
        <f t="shared" si="21"/>
        <v>277.89</v>
      </c>
    </row>
    <row r="318" spans="1:15" ht="15" customHeight="1" x14ac:dyDescent="0.35">
      <c r="A318" s="7">
        <v>282</v>
      </c>
      <c r="B318" s="67">
        <f t="shared" si="12"/>
        <v>356.92</v>
      </c>
      <c r="C318" s="67">
        <f t="shared" si="13"/>
        <v>81.02</v>
      </c>
      <c r="D318" s="67">
        <f t="shared" si="14"/>
        <v>275.90000000000003</v>
      </c>
      <c r="E318" s="67">
        <f t="shared" si="15"/>
        <v>28318.940000000057</v>
      </c>
      <c r="F318" s="83">
        <v>0</v>
      </c>
      <c r="G318" s="83">
        <f t="shared" si="16"/>
        <v>356.92</v>
      </c>
      <c r="I318" s="85">
        <v>282</v>
      </c>
      <c r="J318" s="83">
        <f t="shared" si="17"/>
        <v>277.26</v>
      </c>
      <c r="K318" s="83">
        <f t="shared" si="18"/>
        <v>56.83</v>
      </c>
      <c r="L318" s="83">
        <f t="shared" si="19"/>
        <v>220.43</v>
      </c>
      <c r="M318" s="83">
        <f t="shared" si="20"/>
        <v>19838.740000000456</v>
      </c>
      <c r="N318" s="83">
        <v>0</v>
      </c>
      <c r="O318" s="83">
        <f t="shared" si="21"/>
        <v>277.26</v>
      </c>
    </row>
    <row r="319" spans="1:15" ht="15" customHeight="1" x14ac:dyDescent="0.35">
      <c r="A319" s="7">
        <v>283</v>
      </c>
      <c r="B319" s="67">
        <f t="shared" si="12"/>
        <v>356.92</v>
      </c>
      <c r="C319" s="67">
        <f t="shared" si="13"/>
        <v>80.239999999999995</v>
      </c>
      <c r="D319" s="67">
        <f t="shared" si="14"/>
        <v>276.68</v>
      </c>
      <c r="E319" s="67">
        <f t="shared" si="15"/>
        <v>28042.260000000057</v>
      </c>
      <c r="F319" s="83">
        <v>0</v>
      </c>
      <c r="G319" s="83">
        <f t="shared" si="16"/>
        <v>356.92</v>
      </c>
      <c r="I319" s="85">
        <v>283</v>
      </c>
      <c r="J319" s="83">
        <f t="shared" si="17"/>
        <v>276.64</v>
      </c>
      <c r="K319" s="83">
        <f t="shared" si="18"/>
        <v>56.21</v>
      </c>
      <c r="L319" s="83">
        <f t="shared" si="19"/>
        <v>220.43</v>
      </c>
      <c r="M319" s="83">
        <f t="shared" si="20"/>
        <v>19618.310000000456</v>
      </c>
      <c r="N319" s="83">
        <v>0</v>
      </c>
      <c r="O319" s="83">
        <f t="shared" si="21"/>
        <v>276.64</v>
      </c>
    </row>
    <row r="320" spans="1:15" ht="15" customHeight="1" x14ac:dyDescent="0.35">
      <c r="A320" s="7">
        <v>284</v>
      </c>
      <c r="B320" s="67">
        <f t="shared" si="12"/>
        <v>356.92</v>
      </c>
      <c r="C320" s="67">
        <f t="shared" si="13"/>
        <v>79.45</v>
      </c>
      <c r="D320" s="67">
        <f t="shared" si="14"/>
        <v>277.47000000000003</v>
      </c>
      <c r="E320" s="67">
        <f t="shared" si="15"/>
        <v>27764.790000000055</v>
      </c>
      <c r="F320" s="83">
        <v>0</v>
      </c>
      <c r="G320" s="83">
        <f t="shared" si="16"/>
        <v>356.92</v>
      </c>
      <c r="I320" s="85">
        <v>284</v>
      </c>
      <c r="J320" s="83">
        <f t="shared" si="17"/>
        <v>276.02</v>
      </c>
      <c r="K320" s="83">
        <f t="shared" si="18"/>
        <v>55.59</v>
      </c>
      <c r="L320" s="83">
        <f t="shared" si="19"/>
        <v>220.43</v>
      </c>
      <c r="M320" s="83">
        <f t="shared" si="20"/>
        <v>19397.880000000456</v>
      </c>
      <c r="N320" s="83">
        <v>0</v>
      </c>
      <c r="O320" s="83">
        <f t="shared" si="21"/>
        <v>276.02</v>
      </c>
    </row>
    <row r="321" spans="1:15" ht="15" customHeight="1" x14ac:dyDescent="0.35">
      <c r="A321" s="7">
        <v>285</v>
      </c>
      <c r="B321" s="67">
        <f t="shared" si="12"/>
        <v>356.92</v>
      </c>
      <c r="C321" s="67">
        <f t="shared" si="13"/>
        <v>78.67</v>
      </c>
      <c r="D321" s="67">
        <f t="shared" si="14"/>
        <v>278.25</v>
      </c>
      <c r="E321" s="67">
        <f t="shared" si="15"/>
        <v>27486.540000000055</v>
      </c>
      <c r="F321" s="83">
        <v>0</v>
      </c>
      <c r="G321" s="83">
        <f t="shared" si="16"/>
        <v>356.92</v>
      </c>
      <c r="I321" s="85">
        <v>285</v>
      </c>
      <c r="J321" s="83">
        <f t="shared" si="17"/>
        <v>275.39</v>
      </c>
      <c r="K321" s="83">
        <f t="shared" si="18"/>
        <v>54.96</v>
      </c>
      <c r="L321" s="83">
        <f t="shared" si="19"/>
        <v>220.43</v>
      </c>
      <c r="M321" s="83">
        <f t="shared" si="20"/>
        <v>19177.450000000455</v>
      </c>
      <c r="N321" s="83">
        <v>0</v>
      </c>
      <c r="O321" s="83">
        <f t="shared" si="21"/>
        <v>275.39</v>
      </c>
    </row>
    <row r="322" spans="1:15" ht="15" customHeight="1" x14ac:dyDescent="0.35">
      <c r="A322" s="7">
        <v>286</v>
      </c>
      <c r="B322" s="67">
        <f t="shared" si="12"/>
        <v>356.92</v>
      </c>
      <c r="C322" s="67">
        <f t="shared" si="13"/>
        <v>77.88</v>
      </c>
      <c r="D322" s="67">
        <f t="shared" si="14"/>
        <v>279.04000000000002</v>
      </c>
      <c r="E322" s="67">
        <f t="shared" si="15"/>
        <v>27207.500000000055</v>
      </c>
      <c r="F322" s="83">
        <v>0</v>
      </c>
      <c r="G322" s="83">
        <f t="shared" si="16"/>
        <v>356.92</v>
      </c>
      <c r="I322" s="85">
        <v>286</v>
      </c>
      <c r="J322" s="83">
        <f t="shared" si="17"/>
        <v>274.77</v>
      </c>
      <c r="K322" s="83">
        <f t="shared" si="18"/>
        <v>54.34</v>
      </c>
      <c r="L322" s="83">
        <f t="shared" si="19"/>
        <v>220.43</v>
      </c>
      <c r="M322" s="83">
        <f t="shared" si="20"/>
        <v>18957.020000000455</v>
      </c>
      <c r="N322" s="83">
        <v>0</v>
      </c>
      <c r="O322" s="83">
        <f t="shared" si="21"/>
        <v>274.77</v>
      </c>
    </row>
    <row r="323" spans="1:15" ht="15" customHeight="1" x14ac:dyDescent="0.35">
      <c r="A323" s="7">
        <v>287</v>
      </c>
      <c r="B323" s="67">
        <f t="shared" si="12"/>
        <v>356.92</v>
      </c>
      <c r="C323" s="67">
        <f t="shared" si="13"/>
        <v>77.09</v>
      </c>
      <c r="D323" s="67">
        <f t="shared" si="14"/>
        <v>279.83000000000004</v>
      </c>
      <c r="E323" s="67">
        <f t="shared" si="15"/>
        <v>26927.670000000053</v>
      </c>
      <c r="F323" s="83">
        <v>0</v>
      </c>
      <c r="G323" s="83">
        <f t="shared" si="16"/>
        <v>356.92</v>
      </c>
      <c r="I323" s="85">
        <v>287</v>
      </c>
      <c r="J323" s="83">
        <f t="shared" si="17"/>
        <v>274.14</v>
      </c>
      <c r="K323" s="83">
        <f t="shared" si="18"/>
        <v>53.71</v>
      </c>
      <c r="L323" s="83">
        <f t="shared" si="19"/>
        <v>220.43</v>
      </c>
      <c r="M323" s="83">
        <f t="shared" si="20"/>
        <v>18736.590000000455</v>
      </c>
      <c r="N323" s="83">
        <v>0</v>
      </c>
      <c r="O323" s="83">
        <f t="shared" si="21"/>
        <v>274.14</v>
      </c>
    </row>
    <row r="324" spans="1:15" ht="15" customHeight="1" x14ac:dyDescent="0.35">
      <c r="A324" s="7">
        <v>288</v>
      </c>
      <c r="B324" s="67">
        <f t="shared" si="12"/>
        <v>356.92</v>
      </c>
      <c r="C324" s="67">
        <f t="shared" si="13"/>
        <v>76.3</v>
      </c>
      <c r="D324" s="67">
        <f t="shared" si="14"/>
        <v>280.62</v>
      </c>
      <c r="E324" s="67">
        <f t="shared" si="15"/>
        <v>26647.050000000054</v>
      </c>
      <c r="F324" s="83">
        <v>0</v>
      </c>
      <c r="G324" s="83">
        <f t="shared" si="16"/>
        <v>356.92</v>
      </c>
      <c r="I324" s="85">
        <v>288</v>
      </c>
      <c r="J324" s="83">
        <f t="shared" si="17"/>
        <v>273.52</v>
      </c>
      <c r="K324" s="83">
        <f t="shared" si="18"/>
        <v>53.09</v>
      </c>
      <c r="L324" s="83">
        <f t="shared" si="19"/>
        <v>220.43</v>
      </c>
      <c r="M324" s="83">
        <f t="shared" si="20"/>
        <v>18516.160000000455</v>
      </c>
      <c r="N324" s="83">
        <v>0</v>
      </c>
      <c r="O324" s="83">
        <f t="shared" si="21"/>
        <v>273.52</v>
      </c>
    </row>
    <row r="325" spans="1:15" ht="15" customHeight="1" x14ac:dyDescent="0.35">
      <c r="A325" s="7">
        <v>289</v>
      </c>
      <c r="B325" s="67">
        <f t="shared" si="12"/>
        <v>356.92</v>
      </c>
      <c r="C325" s="67">
        <f t="shared" si="13"/>
        <v>75.5</v>
      </c>
      <c r="D325" s="67">
        <f t="shared" si="14"/>
        <v>281.42</v>
      </c>
      <c r="E325" s="67">
        <f t="shared" si="15"/>
        <v>26365.630000000056</v>
      </c>
      <c r="F325" s="83">
        <v>0</v>
      </c>
      <c r="G325" s="83">
        <f t="shared" si="16"/>
        <v>356.92</v>
      </c>
      <c r="I325" s="85">
        <v>289</v>
      </c>
      <c r="J325" s="83">
        <f t="shared" si="17"/>
        <v>272.89</v>
      </c>
      <c r="K325" s="83">
        <f t="shared" si="18"/>
        <v>52.46</v>
      </c>
      <c r="L325" s="83">
        <f t="shared" si="19"/>
        <v>220.43</v>
      </c>
      <c r="M325" s="83">
        <f t="shared" si="20"/>
        <v>18295.730000000454</v>
      </c>
      <c r="N325" s="83">
        <v>0</v>
      </c>
      <c r="O325" s="83">
        <f t="shared" si="21"/>
        <v>272.89</v>
      </c>
    </row>
    <row r="326" spans="1:15" ht="15" customHeight="1" x14ac:dyDescent="0.35">
      <c r="A326" s="7">
        <v>290</v>
      </c>
      <c r="B326" s="67">
        <f t="shared" si="12"/>
        <v>356.92</v>
      </c>
      <c r="C326" s="67">
        <f t="shared" si="13"/>
        <v>74.7</v>
      </c>
      <c r="D326" s="67">
        <f t="shared" si="14"/>
        <v>282.22000000000003</v>
      </c>
      <c r="E326" s="67">
        <f t="shared" si="15"/>
        <v>26083.410000000054</v>
      </c>
      <c r="F326" s="83">
        <v>0</v>
      </c>
      <c r="G326" s="83">
        <f t="shared" si="16"/>
        <v>356.92</v>
      </c>
      <c r="I326" s="85">
        <v>290</v>
      </c>
      <c r="J326" s="83">
        <f t="shared" si="17"/>
        <v>272.27</v>
      </c>
      <c r="K326" s="83">
        <f t="shared" si="18"/>
        <v>51.84</v>
      </c>
      <c r="L326" s="83">
        <f t="shared" si="19"/>
        <v>220.43</v>
      </c>
      <c r="M326" s="83">
        <f t="shared" si="20"/>
        <v>18075.300000000454</v>
      </c>
      <c r="N326" s="83">
        <v>0</v>
      </c>
      <c r="O326" s="83">
        <f t="shared" si="21"/>
        <v>272.27</v>
      </c>
    </row>
    <row r="327" spans="1:15" ht="15" customHeight="1" x14ac:dyDescent="0.35">
      <c r="A327" s="7">
        <v>291</v>
      </c>
      <c r="B327" s="67">
        <f t="shared" si="12"/>
        <v>356.92</v>
      </c>
      <c r="C327" s="67">
        <f t="shared" si="13"/>
        <v>73.900000000000006</v>
      </c>
      <c r="D327" s="67">
        <f t="shared" si="14"/>
        <v>283.02</v>
      </c>
      <c r="E327" s="67">
        <f t="shared" si="15"/>
        <v>25800.390000000054</v>
      </c>
      <c r="F327" s="83">
        <v>0</v>
      </c>
      <c r="G327" s="83">
        <f t="shared" si="16"/>
        <v>356.92</v>
      </c>
      <c r="I327" s="85">
        <v>291</v>
      </c>
      <c r="J327" s="83">
        <f t="shared" si="17"/>
        <v>271.64</v>
      </c>
      <c r="K327" s="83">
        <f t="shared" si="18"/>
        <v>51.21</v>
      </c>
      <c r="L327" s="83">
        <f t="shared" si="19"/>
        <v>220.43</v>
      </c>
      <c r="M327" s="83">
        <f t="shared" si="20"/>
        <v>17854.870000000454</v>
      </c>
      <c r="N327" s="83">
        <v>0</v>
      </c>
      <c r="O327" s="83">
        <f t="shared" si="21"/>
        <v>271.64</v>
      </c>
    </row>
    <row r="328" spans="1:15" ht="15" customHeight="1" x14ac:dyDescent="0.35">
      <c r="A328" s="7">
        <v>292</v>
      </c>
      <c r="B328" s="67">
        <f t="shared" si="12"/>
        <v>356.92</v>
      </c>
      <c r="C328" s="67">
        <f t="shared" si="13"/>
        <v>73.099999999999994</v>
      </c>
      <c r="D328" s="67">
        <f t="shared" si="14"/>
        <v>283.82000000000005</v>
      </c>
      <c r="E328" s="67">
        <f t="shared" si="15"/>
        <v>25516.570000000054</v>
      </c>
      <c r="F328" s="83">
        <v>0</v>
      </c>
      <c r="G328" s="83">
        <f t="shared" si="16"/>
        <v>356.92</v>
      </c>
      <c r="I328" s="85">
        <v>292</v>
      </c>
      <c r="J328" s="83">
        <f t="shared" si="17"/>
        <v>271.02</v>
      </c>
      <c r="K328" s="83">
        <f t="shared" si="18"/>
        <v>50.59</v>
      </c>
      <c r="L328" s="83">
        <f t="shared" si="19"/>
        <v>220.43</v>
      </c>
      <c r="M328" s="83">
        <f t="shared" si="20"/>
        <v>17634.440000000453</v>
      </c>
      <c r="N328" s="83">
        <v>0</v>
      </c>
      <c r="O328" s="83">
        <f t="shared" si="21"/>
        <v>271.02</v>
      </c>
    </row>
    <row r="329" spans="1:15" ht="15" customHeight="1" x14ac:dyDescent="0.35">
      <c r="A329" s="7">
        <v>293</v>
      </c>
      <c r="B329" s="67">
        <f t="shared" si="12"/>
        <v>356.92</v>
      </c>
      <c r="C329" s="67">
        <f t="shared" si="13"/>
        <v>72.3</v>
      </c>
      <c r="D329" s="67">
        <f t="shared" si="14"/>
        <v>284.62</v>
      </c>
      <c r="E329" s="67">
        <f t="shared" si="15"/>
        <v>25231.950000000055</v>
      </c>
      <c r="F329" s="83">
        <v>0</v>
      </c>
      <c r="G329" s="83">
        <f t="shared" si="16"/>
        <v>356.92</v>
      </c>
      <c r="I329" s="85">
        <v>293</v>
      </c>
      <c r="J329" s="83">
        <f t="shared" si="17"/>
        <v>270.39</v>
      </c>
      <c r="K329" s="83">
        <f t="shared" si="18"/>
        <v>49.96</v>
      </c>
      <c r="L329" s="83">
        <f t="shared" si="19"/>
        <v>220.43</v>
      </c>
      <c r="M329" s="83">
        <f t="shared" si="20"/>
        <v>17414.010000000453</v>
      </c>
      <c r="N329" s="83">
        <v>0</v>
      </c>
      <c r="O329" s="83">
        <f t="shared" si="21"/>
        <v>270.39</v>
      </c>
    </row>
    <row r="330" spans="1:15" ht="15" customHeight="1" x14ac:dyDescent="0.35">
      <c r="A330" s="7">
        <v>294</v>
      </c>
      <c r="B330" s="67">
        <f t="shared" si="12"/>
        <v>356.92</v>
      </c>
      <c r="C330" s="67">
        <f t="shared" si="13"/>
        <v>71.489999999999995</v>
      </c>
      <c r="D330" s="67">
        <f t="shared" si="14"/>
        <v>285.43</v>
      </c>
      <c r="E330" s="67">
        <f t="shared" si="15"/>
        <v>24946.520000000055</v>
      </c>
      <c r="F330" s="83">
        <v>0</v>
      </c>
      <c r="G330" s="83">
        <f t="shared" si="16"/>
        <v>356.92</v>
      </c>
      <c r="I330" s="85">
        <v>294</v>
      </c>
      <c r="J330" s="83">
        <f t="shared" si="17"/>
        <v>269.77</v>
      </c>
      <c r="K330" s="83">
        <f t="shared" si="18"/>
        <v>49.34</v>
      </c>
      <c r="L330" s="83">
        <f t="shared" si="19"/>
        <v>220.43</v>
      </c>
      <c r="M330" s="83">
        <f t="shared" si="20"/>
        <v>17193.580000000453</v>
      </c>
      <c r="N330" s="83">
        <v>0</v>
      </c>
      <c r="O330" s="83">
        <f t="shared" si="21"/>
        <v>269.77</v>
      </c>
    </row>
    <row r="331" spans="1:15" ht="15" customHeight="1" x14ac:dyDescent="0.35">
      <c r="A331" s="7">
        <v>295</v>
      </c>
      <c r="B331" s="67">
        <f t="shared" si="12"/>
        <v>356.92</v>
      </c>
      <c r="C331" s="67">
        <f t="shared" si="13"/>
        <v>70.680000000000007</v>
      </c>
      <c r="D331" s="67">
        <f t="shared" si="14"/>
        <v>286.24</v>
      </c>
      <c r="E331" s="67">
        <f t="shared" si="15"/>
        <v>24660.280000000053</v>
      </c>
      <c r="F331" s="83">
        <v>0</v>
      </c>
      <c r="G331" s="83">
        <f t="shared" si="16"/>
        <v>356.92</v>
      </c>
      <c r="I331" s="85">
        <v>295</v>
      </c>
      <c r="J331" s="83">
        <f t="shared" si="17"/>
        <v>269.14999999999998</v>
      </c>
      <c r="K331" s="83">
        <f t="shared" si="18"/>
        <v>48.72</v>
      </c>
      <c r="L331" s="83">
        <f t="shared" si="19"/>
        <v>220.43</v>
      </c>
      <c r="M331" s="83">
        <f t="shared" si="20"/>
        <v>16973.150000000453</v>
      </c>
      <c r="N331" s="83">
        <v>0</v>
      </c>
      <c r="O331" s="83">
        <f t="shared" si="21"/>
        <v>269.14999999999998</v>
      </c>
    </row>
    <row r="332" spans="1:15" ht="15" customHeight="1" x14ac:dyDescent="0.35">
      <c r="A332" s="7">
        <v>296</v>
      </c>
      <c r="B332" s="67">
        <f t="shared" si="12"/>
        <v>356.92</v>
      </c>
      <c r="C332" s="67">
        <f t="shared" si="13"/>
        <v>69.87</v>
      </c>
      <c r="D332" s="67">
        <f t="shared" si="14"/>
        <v>287.05</v>
      </c>
      <c r="E332" s="67">
        <f t="shared" si="15"/>
        <v>24373.230000000054</v>
      </c>
      <c r="F332" s="83">
        <v>0</v>
      </c>
      <c r="G332" s="83">
        <f t="shared" si="16"/>
        <v>356.92</v>
      </c>
      <c r="I332" s="85">
        <v>296</v>
      </c>
      <c r="J332" s="83">
        <f t="shared" si="17"/>
        <v>268.52</v>
      </c>
      <c r="K332" s="83">
        <f t="shared" si="18"/>
        <v>48.09</v>
      </c>
      <c r="L332" s="83">
        <f t="shared" si="19"/>
        <v>220.43</v>
      </c>
      <c r="M332" s="83">
        <f t="shared" si="20"/>
        <v>16752.720000000452</v>
      </c>
      <c r="N332" s="83">
        <v>0</v>
      </c>
      <c r="O332" s="83">
        <f t="shared" si="21"/>
        <v>268.52</v>
      </c>
    </row>
    <row r="333" spans="1:15" ht="15" customHeight="1" x14ac:dyDescent="0.35">
      <c r="A333" s="7">
        <v>297</v>
      </c>
      <c r="B333" s="67">
        <f t="shared" si="12"/>
        <v>356.92</v>
      </c>
      <c r="C333" s="67">
        <f t="shared" si="13"/>
        <v>69.06</v>
      </c>
      <c r="D333" s="67">
        <f t="shared" si="14"/>
        <v>287.86</v>
      </c>
      <c r="E333" s="67">
        <f t="shared" si="15"/>
        <v>24085.370000000054</v>
      </c>
      <c r="F333" s="83">
        <v>0</v>
      </c>
      <c r="G333" s="83">
        <f t="shared" si="16"/>
        <v>356.92</v>
      </c>
      <c r="I333" s="85">
        <v>297</v>
      </c>
      <c r="J333" s="83">
        <f t="shared" si="17"/>
        <v>267.89999999999998</v>
      </c>
      <c r="K333" s="83">
        <f t="shared" si="18"/>
        <v>47.47</v>
      </c>
      <c r="L333" s="83">
        <f t="shared" si="19"/>
        <v>220.43</v>
      </c>
      <c r="M333" s="83">
        <f t="shared" si="20"/>
        <v>16532.290000000452</v>
      </c>
      <c r="N333" s="83">
        <v>0</v>
      </c>
      <c r="O333" s="83">
        <f t="shared" si="21"/>
        <v>267.89999999999998</v>
      </c>
    </row>
    <row r="334" spans="1:15" ht="15" customHeight="1" x14ac:dyDescent="0.35">
      <c r="A334" s="7">
        <v>298</v>
      </c>
      <c r="B334" s="67">
        <f t="shared" si="12"/>
        <v>356.92</v>
      </c>
      <c r="C334" s="67">
        <f t="shared" si="13"/>
        <v>68.239999999999995</v>
      </c>
      <c r="D334" s="67">
        <f t="shared" si="14"/>
        <v>288.68</v>
      </c>
      <c r="E334" s="67">
        <f t="shared" si="15"/>
        <v>23796.690000000053</v>
      </c>
      <c r="F334" s="83">
        <v>0</v>
      </c>
      <c r="G334" s="83">
        <f t="shared" si="16"/>
        <v>356.92</v>
      </c>
      <c r="I334" s="85">
        <v>298</v>
      </c>
      <c r="J334" s="83">
        <f t="shared" si="17"/>
        <v>267.27</v>
      </c>
      <c r="K334" s="83">
        <f t="shared" si="18"/>
        <v>46.84</v>
      </c>
      <c r="L334" s="83">
        <f t="shared" si="19"/>
        <v>220.43</v>
      </c>
      <c r="M334" s="83">
        <f t="shared" si="20"/>
        <v>16311.860000000452</v>
      </c>
      <c r="N334" s="83">
        <v>0</v>
      </c>
      <c r="O334" s="83">
        <f t="shared" si="21"/>
        <v>267.27</v>
      </c>
    </row>
    <row r="335" spans="1:15" ht="15" customHeight="1" x14ac:dyDescent="0.35">
      <c r="A335" s="7">
        <v>299</v>
      </c>
      <c r="B335" s="67">
        <f t="shared" si="12"/>
        <v>356.92</v>
      </c>
      <c r="C335" s="67">
        <f t="shared" si="13"/>
        <v>67.42</v>
      </c>
      <c r="D335" s="67">
        <f t="shared" si="14"/>
        <v>289.5</v>
      </c>
      <c r="E335" s="67">
        <f t="shared" si="15"/>
        <v>23507.190000000053</v>
      </c>
      <c r="F335" s="83">
        <v>0</v>
      </c>
      <c r="G335" s="83">
        <f t="shared" si="16"/>
        <v>356.92</v>
      </c>
      <c r="I335" s="85">
        <v>299</v>
      </c>
      <c r="J335" s="83">
        <f t="shared" si="17"/>
        <v>266.64999999999998</v>
      </c>
      <c r="K335" s="83">
        <f t="shared" si="18"/>
        <v>46.22</v>
      </c>
      <c r="L335" s="83">
        <f t="shared" si="19"/>
        <v>220.43</v>
      </c>
      <c r="M335" s="83">
        <f t="shared" si="20"/>
        <v>16091.430000000451</v>
      </c>
      <c r="N335" s="83">
        <v>0</v>
      </c>
      <c r="O335" s="83">
        <f t="shared" si="21"/>
        <v>266.64999999999998</v>
      </c>
    </row>
    <row r="336" spans="1:15" ht="15" customHeight="1" x14ac:dyDescent="0.35">
      <c r="A336" s="7">
        <v>300</v>
      </c>
      <c r="B336" s="67">
        <f t="shared" si="12"/>
        <v>356.92</v>
      </c>
      <c r="C336" s="67">
        <f t="shared" si="13"/>
        <v>66.599999999999994</v>
      </c>
      <c r="D336" s="67">
        <f t="shared" si="14"/>
        <v>290.32000000000005</v>
      </c>
      <c r="E336" s="67">
        <f t="shared" si="15"/>
        <v>23216.870000000054</v>
      </c>
      <c r="F336" s="83">
        <v>0</v>
      </c>
      <c r="G336" s="83">
        <f t="shared" si="16"/>
        <v>356.92</v>
      </c>
      <c r="I336" s="85">
        <v>300</v>
      </c>
      <c r="J336" s="83">
        <f t="shared" si="17"/>
        <v>266.02</v>
      </c>
      <c r="K336" s="83">
        <f t="shared" si="18"/>
        <v>45.59</v>
      </c>
      <c r="L336" s="83">
        <f t="shared" si="19"/>
        <v>220.43</v>
      </c>
      <c r="M336" s="83">
        <f t="shared" si="20"/>
        <v>15871.000000000451</v>
      </c>
      <c r="N336" s="83">
        <v>0</v>
      </c>
      <c r="O336" s="83">
        <f t="shared" si="21"/>
        <v>266.02</v>
      </c>
    </row>
    <row r="337" spans="1:15" ht="15" customHeight="1" x14ac:dyDescent="0.35">
      <c r="A337" s="7">
        <v>301</v>
      </c>
      <c r="B337" s="67">
        <f t="shared" si="12"/>
        <v>356.92</v>
      </c>
      <c r="C337" s="67">
        <f t="shared" si="13"/>
        <v>65.78</v>
      </c>
      <c r="D337" s="67">
        <f t="shared" si="14"/>
        <v>291.14</v>
      </c>
      <c r="E337" s="67">
        <f t="shared" si="15"/>
        <v>22925.730000000054</v>
      </c>
      <c r="F337" s="83">
        <v>0</v>
      </c>
      <c r="G337" s="83">
        <f t="shared" si="16"/>
        <v>356.92</v>
      </c>
      <c r="I337" s="85">
        <v>301</v>
      </c>
      <c r="J337" s="83">
        <f t="shared" si="17"/>
        <v>265.39999999999998</v>
      </c>
      <c r="K337" s="83">
        <f t="shared" si="18"/>
        <v>44.97</v>
      </c>
      <c r="L337" s="83">
        <f t="shared" si="19"/>
        <v>220.43</v>
      </c>
      <c r="M337" s="83">
        <f t="shared" si="20"/>
        <v>15650.570000000451</v>
      </c>
      <c r="N337" s="83">
        <v>0</v>
      </c>
      <c r="O337" s="83">
        <f t="shared" si="21"/>
        <v>265.39999999999998</v>
      </c>
    </row>
    <row r="338" spans="1:15" ht="15" customHeight="1" x14ac:dyDescent="0.35">
      <c r="A338" s="7">
        <v>302</v>
      </c>
      <c r="B338" s="67">
        <f t="shared" si="12"/>
        <v>356.92</v>
      </c>
      <c r="C338" s="67">
        <f t="shared" si="13"/>
        <v>64.959999999999994</v>
      </c>
      <c r="D338" s="67">
        <f t="shared" si="14"/>
        <v>291.96000000000004</v>
      </c>
      <c r="E338" s="67">
        <f t="shared" si="15"/>
        <v>22633.770000000055</v>
      </c>
      <c r="F338" s="83">
        <v>0</v>
      </c>
      <c r="G338" s="83">
        <f t="shared" si="16"/>
        <v>356.92</v>
      </c>
      <c r="I338" s="85">
        <v>302</v>
      </c>
      <c r="J338" s="83">
        <f t="shared" si="17"/>
        <v>264.77</v>
      </c>
      <c r="K338" s="83">
        <f t="shared" si="18"/>
        <v>44.34</v>
      </c>
      <c r="L338" s="83">
        <f t="shared" si="19"/>
        <v>220.43</v>
      </c>
      <c r="M338" s="83">
        <f t="shared" si="20"/>
        <v>15430.140000000451</v>
      </c>
      <c r="N338" s="83">
        <v>0</v>
      </c>
      <c r="O338" s="83">
        <f t="shared" si="21"/>
        <v>264.77</v>
      </c>
    </row>
    <row r="339" spans="1:15" ht="15" customHeight="1" x14ac:dyDescent="0.35">
      <c r="A339" s="7">
        <v>303</v>
      </c>
      <c r="B339" s="67">
        <f t="shared" si="12"/>
        <v>356.92</v>
      </c>
      <c r="C339" s="67">
        <f t="shared" si="13"/>
        <v>64.13</v>
      </c>
      <c r="D339" s="67">
        <f t="shared" si="14"/>
        <v>292.79000000000002</v>
      </c>
      <c r="E339" s="67">
        <f t="shared" si="15"/>
        <v>22340.980000000054</v>
      </c>
      <c r="F339" s="83">
        <v>0</v>
      </c>
      <c r="G339" s="83">
        <f t="shared" si="16"/>
        <v>356.92</v>
      </c>
      <c r="I339" s="85">
        <v>303</v>
      </c>
      <c r="J339" s="83">
        <f t="shared" si="17"/>
        <v>264.14999999999998</v>
      </c>
      <c r="K339" s="83">
        <f t="shared" si="18"/>
        <v>43.72</v>
      </c>
      <c r="L339" s="83">
        <f t="shared" si="19"/>
        <v>220.43</v>
      </c>
      <c r="M339" s="83">
        <f t="shared" si="20"/>
        <v>15209.71000000045</v>
      </c>
      <c r="N339" s="83">
        <v>0</v>
      </c>
      <c r="O339" s="83">
        <f t="shared" si="21"/>
        <v>264.14999999999998</v>
      </c>
    </row>
    <row r="340" spans="1:15" ht="15" customHeight="1" x14ac:dyDescent="0.35">
      <c r="A340" s="7">
        <v>304</v>
      </c>
      <c r="B340" s="67">
        <f t="shared" si="12"/>
        <v>356.92</v>
      </c>
      <c r="C340" s="67">
        <f t="shared" si="13"/>
        <v>63.3</v>
      </c>
      <c r="D340" s="67">
        <f t="shared" si="14"/>
        <v>293.62</v>
      </c>
      <c r="E340" s="67">
        <f t="shared" si="15"/>
        <v>22047.360000000055</v>
      </c>
      <c r="F340" s="83">
        <v>0</v>
      </c>
      <c r="G340" s="83">
        <f t="shared" si="16"/>
        <v>356.92</v>
      </c>
      <c r="I340" s="85">
        <v>304</v>
      </c>
      <c r="J340" s="83">
        <f t="shared" si="17"/>
        <v>263.52</v>
      </c>
      <c r="K340" s="83">
        <f t="shared" si="18"/>
        <v>43.09</v>
      </c>
      <c r="L340" s="83">
        <f t="shared" si="19"/>
        <v>220.43</v>
      </c>
      <c r="M340" s="83">
        <f t="shared" si="20"/>
        <v>14989.28000000045</v>
      </c>
      <c r="N340" s="83">
        <v>0</v>
      </c>
      <c r="O340" s="83">
        <f t="shared" si="21"/>
        <v>263.52</v>
      </c>
    </row>
    <row r="341" spans="1:15" ht="15" customHeight="1" x14ac:dyDescent="0.35">
      <c r="A341" s="7">
        <v>305</v>
      </c>
      <c r="B341" s="67">
        <f t="shared" si="12"/>
        <v>356.92</v>
      </c>
      <c r="C341" s="67">
        <f t="shared" si="13"/>
        <v>62.47</v>
      </c>
      <c r="D341" s="67">
        <f t="shared" si="14"/>
        <v>294.45000000000005</v>
      </c>
      <c r="E341" s="67">
        <f t="shared" si="15"/>
        <v>21752.910000000054</v>
      </c>
      <c r="F341" s="83">
        <v>0</v>
      </c>
      <c r="G341" s="83">
        <f t="shared" si="16"/>
        <v>356.92</v>
      </c>
      <c r="I341" s="85">
        <v>305</v>
      </c>
      <c r="J341" s="83">
        <f t="shared" si="17"/>
        <v>262.89999999999998</v>
      </c>
      <c r="K341" s="83">
        <f t="shared" si="18"/>
        <v>42.47</v>
      </c>
      <c r="L341" s="83">
        <f t="shared" si="19"/>
        <v>220.43</v>
      </c>
      <c r="M341" s="83">
        <f t="shared" si="20"/>
        <v>14768.85000000045</v>
      </c>
      <c r="N341" s="83">
        <v>0</v>
      </c>
      <c r="O341" s="83">
        <f t="shared" si="21"/>
        <v>262.89999999999998</v>
      </c>
    </row>
    <row r="342" spans="1:15" ht="15" customHeight="1" x14ac:dyDescent="0.35">
      <c r="A342" s="7">
        <v>306</v>
      </c>
      <c r="B342" s="67">
        <f t="shared" si="12"/>
        <v>356.92</v>
      </c>
      <c r="C342" s="67">
        <f t="shared" si="13"/>
        <v>61.63</v>
      </c>
      <c r="D342" s="67">
        <f t="shared" si="14"/>
        <v>295.29000000000002</v>
      </c>
      <c r="E342" s="67">
        <f t="shared" si="15"/>
        <v>21457.620000000054</v>
      </c>
      <c r="F342" s="83">
        <v>0</v>
      </c>
      <c r="G342" s="83">
        <f t="shared" si="16"/>
        <v>356.92</v>
      </c>
      <c r="I342" s="85">
        <v>306</v>
      </c>
      <c r="J342" s="83">
        <f t="shared" si="17"/>
        <v>262.28000000000003</v>
      </c>
      <c r="K342" s="83">
        <f t="shared" si="18"/>
        <v>41.85</v>
      </c>
      <c r="L342" s="83">
        <f t="shared" si="19"/>
        <v>220.43</v>
      </c>
      <c r="M342" s="83">
        <f t="shared" si="20"/>
        <v>14548.420000000449</v>
      </c>
      <c r="N342" s="83">
        <v>0</v>
      </c>
      <c r="O342" s="83">
        <f t="shared" si="21"/>
        <v>262.28000000000003</v>
      </c>
    </row>
    <row r="343" spans="1:15" ht="15" customHeight="1" x14ac:dyDescent="0.35">
      <c r="A343" s="7">
        <v>307</v>
      </c>
      <c r="B343" s="67">
        <f t="shared" si="12"/>
        <v>356.92</v>
      </c>
      <c r="C343" s="67">
        <f t="shared" si="13"/>
        <v>60.8</v>
      </c>
      <c r="D343" s="67">
        <f t="shared" si="14"/>
        <v>296.12</v>
      </c>
      <c r="E343" s="67">
        <f t="shared" si="15"/>
        <v>21161.500000000055</v>
      </c>
      <c r="F343" s="83">
        <v>0</v>
      </c>
      <c r="G343" s="83">
        <f t="shared" si="16"/>
        <v>356.92</v>
      </c>
      <c r="I343" s="85">
        <v>307</v>
      </c>
      <c r="J343" s="83">
        <f t="shared" si="17"/>
        <v>261.64999999999998</v>
      </c>
      <c r="K343" s="83">
        <f t="shared" si="18"/>
        <v>41.22</v>
      </c>
      <c r="L343" s="83">
        <f t="shared" si="19"/>
        <v>220.43</v>
      </c>
      <c r="M343" s="83">
        <f t="shared" si="20"/>
        <v>14327.990000000449</v>
      </c>
      <c r="N343" s="83">
        <v>0</v>
      </c>
      <c r="O343" s="83">
        <f t="shared" si="21"/>
        <v>261.64999999999998</v>
      </c>
    </row>
    <row r="344" spans="1:15" ht="15" customHeight="1" x14ac:dyDescent="0.35">
      <c r="A344" s="7">
        <v>308</v>
      </c>
      <c r="B344" s="67">
        <f t="shared" si="12"/>
        <v>356.92</v>
      </c>
      <c r="C344" s="67">
        <f t="shared" si="13"/>
        <v>59.96</v>
      </c>
      <c r="D344" s="67">
        <f t="shared" si="14"/>
        <v>296.96000000000004</v>
      </c>
      <c r="E344" s="67">
        <f t="shared" si="15"/>
        <v>20864.540000000055</v>
      </c>
      <c r="F344" s="83">
        <v>0</v>
      </c>
      <c r="G344" s="83">
        <f t="shared" si="16"/>
        <v>356.92</v>
      </c>
      <c r="I344" s="85">
        <v>308</v>
      </c>
      <c r="J344" s="83">
        <f t="shared" si="17"/>
        <v>261.03000000000003</v>
      </c>
      <c r="K344" s="83">
        <f t="shared" si="18"/>
        <v>40.6</v>
      </c>
      <c r="L344" s="83">
        <f t="shared" si="19"/>
        <v>220.43</v>
      </c>
      <c r="M344" s="83">
        <f t="shared" si="20"/>
        <v>14107.560000000449</v>
      </c>
      <c r="N344" s="83">
        <v>0</v>
      </c>
      <c r="O344" s="83">
        <f t="shared" si="21"/>
        <v>261.03000000000003</v>
      </c>
    </row>
    <row r="345" spans="1:15" ht="15" customHeight="1" x14ac:dyDescent="0.35">
      <c r="A345" s="7">
        <v>309</v>
      </c>
      <c r="B345" s="67">
        <f t="shared" si="12"/>
        <v>356.92</v>
      </c>
      <c r="C345" s="67">
        <f t="shared" si="13"/>
        <v>59.12</v>
      </c>
      <c r="D345" s="67">
        <f t="shared" si="14"/>
        <v>297.8</v>
      </c>
      <c r="E345" s="67">
        <f t="shared" si="15"/>
        <v>20566.740000000056</v>
      </c>
      <c r="F345" s="83">
        <v>0</v>
      </c>
      <c r="G345" s="83">
        <f t="shared" si="16"/>
        <v>356.92</v>
      </c>
      <c r="I345" s="85">
        <v>309</v>
      </c>
      <c r="J345" s="83">
        <f t="shared" si="17"/>
        <v>260.39999999999998</v>
      </c>
      <c r="K345" s="83">
        <f t="shared" si="18"/>
        <v>39.97</v>
      </c>
      <c r="L345" s="83">
        <f t="shared" si="19"/>
        <v>220.43</v>
      </c>
      <c r="M345" s="83">
        <f t="shared" si="20"/>
        <v>13887.130000000448</v>
      </c>
      <c r="N345" s="83">
        <v>0</v>
      </c>
      <c r="O345" s="83">
        <f t="shared" si="21"/>
        <v>260.39999999999998</v>
      </c>
    </row>
    <row r="346" spans="1:15" ht="15" customHeight="1" x14ac:dyDescent="0.35">
      <c r="A346" s="7">
        <v>310</v>
      </c>
      <c r="B346" s="67">
        <f t="shared" si="12"/>
        <v>356.92</v>
      </c>
      <c r="C346" s="67">
        <f t="shared" si="13"/>
        <v>58.27</v>
      </c>
      <c r="D346" s="67">
        <f t="shared" si="14"/>
        <v>298.65000000000003</v>
      </c>
      <c r="E346" s="67">
        <f t="shared" si="15"/>
        <v>20268.090000000055</v>
      </c>
      <c r="F346" s="83">
        <v>0</v>
      </c>
      <c r="G346" s="83">
        <f t="shared" si="16"/>
        <v>356.92</v>
      </c>
      <c r="I346" s="85">
        <v>310</v>
      </c>
      <c r="J346" s="83">
        <f t="shared" si="17"/>
        <v>259.78000000000003</v>
      </c>
      <c r="K346" s="83">
        <f t="shared" si="18"/>
        <v>39.35</v>
      </c>
      <c r="L346" s="83">
        <f t="shared" si="19"/>
        <v>220.43</v>
      </c>
      <c r="M346" s="83">
        <f t="shared" si="20"/>
        <v>13666.700000000448</v>
      </c>
      <c r="N346" s="83">
        <v>0</v>
      </c>
      <c r="O346" s="83">
        <f t="shared" si="21"/>
        <v>259.78000000000003</v>
      </c>
    </row>
    <row r="347" spans="1:15" ht="15" customHeight="1" x14ac:dyDescent="0.35">
      <c r="A347" s="7">
        <v>311</v>
      </c>
      <c r="B347" s="67">
        <f t="shared" si="12"/>
        <v>356.92</v>
      </c>
      <c r="C347" s="67">
        <f t="shared" si="13"/>
        <v>57.43</v>
      </c>
      <c r="D347" s="67">
        <f t="shared" si="14"/>
        <v>299.49</v>
      </c>
      <c r="E347" s="67">
        <f t="shared" si="15"/>
        <v>19968.600000000053</v>
      </c>
      <c r="F347" s="83">
        <v>0</v>
      </c>
      <c r="G347" s="83">
        <f t="shared" si="16"/>
        <v>356.92</v>
      </c>
      <c r="I347" s="85">
        <v>311</v>
      </c>
      <c r="J347" s="83">
        <f t="shared" si="17"/>
        <v>259.14999999999998</v>
      </c>
      <c r="K347" s="83">
        <f t="shared" si="18"/>
        <v>38.72</v>
      </c>
      <c r="L347" s="83">
        <f t="shared" si="19"/>
        <v>220.43</v>
      </c>
      <c r="M347" s="83">
        <f t="shared" si="20"/>
        <v>13446.270000000448</v>
      </c>
      <c r="N347" s="83">
        <v>0</v>
      </c>
      <c r="O347" s="83">
        <f t="shared" si="21"/>
        <v>259.14999999999998</v>
      </c>
    </row>
    <row r="348" spans="1:15" ht="15" customHeight="1" x14ac:dyDescent="0.35">
      <c r="A348" s="7">
        <v>312</v>
      </c>
      <c r="B348" s="67">
        <f t="shared" si="12"/>
        <v>356.92</v>
      </c>
      <c r="C348" s="67">
        <f t="shared" si="13"/>
        <v>56.58</v>
      </c>
      <c r="D348" s="67">
        <f t="shared" si="14"/>
        <v>300.34000000000003</v>
      </c>
      <c r="E348" s="67">
        <f t="shared" si="15"/>
        <v>19668.260000000053</v>
      </c>
      <c r="F348" s="83">
        <v>0</v>
      </c>
      <c r="G348" s="83">
        <f t="shared" si="16"/>
        <v>356.92</v>
      </c>
      <c r="I348" s="85">
        <v>312</v>
      </c>
      <c r="J348" s="83">
        <f t="shared" si="17"/>
        <v>258.53000000000003</v>
      </c>
      <c r="K348" s="83">
        <f t="shared" si="18"/>
        <v>38.1</v>
      </c>
      <c r="L348" s="83">
        <f t="shared" si="19"/>
        <v>220.43</v>
      </c>
      <c r="M348" s="83">
        <f t="shared" si="20"/>
        <v>13225.840000000448</v>
      </c>
      <c r="N348" s="83">
        <v>0</v>
      </c>
      <c r="O348" s="83">
        <f t="shared" si="21"/>
        <v>258.53000000000003</v>
      </c>
    </row>
    <row r="349" spans="1:15" ht="15" customHeight="1" x14ac:dyDescent="0.35">
      <c r="A349" s="7">
        <v>313</v>
      </c>
      <c r="B349" s="67">
        <f t="shared" si="12"/>
        <v>356.92</v>
      </c>
      <c r="C349" s="67">
        <f t="shared" si="13"/>
        <v>55.73</v>
      </c>
      <c r="D349" s="67">
        <f t="shared" si="14"/>
        <v>301.19</v>
      </c>
      <c r="E349" s="67">
        <f t="shared" si="15"/>
        <v>19367.070000000054</v>
      </c>
      <c r="F349" s="83">
        <v>0</v>
      </c>
      <c r="G349" s="83">
        <f t="shared" si="16"/>
        <v>356.92</v>
      </c>
      <c r="I349" s="85">
        <v>313</v>
      </c>
      <c r="J349" s="83">
        <f t="shared" si="17"/>
        <v>257.89999999999998</v>
      </c>
      <c r="K349" s="83">
        <f t="shared" si="18"/>
        <v>37.47</v>
      </c>
      <c r="L349" s="83">
        <f t="shared" si="19"/>
        <v>220.43</v>
      </c>
      <c r="M349" s="83">
        <f t="shared" si="20"/>
        <v>13005.410000000447</v>
      </c>
      <c r="N349" s="83">
        <v>0</v>
      </c>
      <c r="O349" s="83">
        <f t="shared" si="21"/>
        <v>257.89999999999998</v>
      </c>
    </row>
    <row r="350" spans="1:15" ht="15" customHeight="1" x14ac:dyDescent="0.35">
      <c r="A350" s="7">
        <v>314</v>
      </c>
      <c r="B350" s="67">
        <f t="shared" si="12"/>
        <v>356.92</v>
      </c>
      <c r="C350" s="67">
        <f t="shared" si="13"/>
        <v>54.87</v>
      </c>
      <c r="D350" s="67">
        <f t="shared" si="14"/>
        <v>302.05</v>
      </c>
      <c r="E350" s="67">
        <f t="shared" si="15"/>
        <v>19065.020000000055</v>
      </c>
      <c r="F350" s="83">
        <v>0</v>
      </c>
      <c r="G350" s="83">
        <f t="shared" si="16"/>
        <v>356.92</v>
      </c>
      <c r="I350" s="85">
        <v>314</v>
      </c>
      <c r="J350" s="83">
        <f t="shared" si="17"/>
        <v>257.28000000000003</v>
      </c>
      <c r="K350" s="83">
        <f t="shared" si="18"/>
        <v>36.85</v>
      </c>
      <c r="L350" s="83">
        <f t="shared" si="19"/>
        <v>220.43</v>
      </c>
      <c r="M350" s="83">
        <f t="shared" si="20"/>
        <v>12784.980000000447</v>
      </c>
      <c r="N350" s="83">
        <v>0</v>
      </c>
      <c r="O350" s="83">
        <f t="shared" si="21"/>
        <v>257.28000000000003</v>
      </c>
    </row>
    <row r="351" spans="1:15" ht="15" customHeight="1" x14ac:dyDescent="0.35">
      <c r="A351" s="7">
        <v>315</v>
      </c>
      <c r="B351" s="67">
        <f t="shared" si="12"/>
        <v>356.92</v>
      </c>
      <c r="C351" s="67">
        <f t="shared" si="13"/>
        <v>54.02</v>
      </c>
      <c r="D351" s="67">
        <f t="shared" si="14"/>
        <v>302.90000000000003</v>
      </c>
      <c r="E351" s="67">
        <f t="shared" si="15"/>
        <v>18762.120000000054</v>
      </c>
      <c r="F351" s="83">
        <v>0</v>
      </c>
      <c r="G351" s="83">
        <f t="shared" si="16"/>
        <v>356.92</v>
      </c>
      <c r="I351" s="85">
        <v>315</v>
      </c>
      <c r="J351" s="83">
        <f t="shared" si="17"/>
        <v>256.64999999999998</v>
      </c>
      <c r="K351" s="83">
        <f t="shared" si="18"/>
        <v>36.22</v>
      </c>
      <c r="L351" s="83">
        <f t="shared" si="19"/>
        <v>220.43</v>
      </c>
      <c r="M351" s="83">
        <f t="shared" si="20"/>
        <v>12564.550000000447</v>
      </c>
      <c r="N351" s="83">
        <v>0</v>
      </c>
      <c r="O351" s="83">
        <f t="shared" si="21"/>
        <v>256.64999999999998</v>
      </c>
    </row>
    <row r="352" spans="1:15" ht="15" customHeight="1" x14ac:dyDescent="0.35">
      <c r="A352" s="7">
        <v>316</v>
      </c>
      <c r="B352" s="67">
        <f t="shared" si="12"/>
        <v>356.92</v>
      </c>
      <c r="C352" s="67">
        <f t="shared" si="13"/>
        <v>53.16</v>
      </c>
      <c r="D352" s="67">
        <f t="shared" si="14"/>
        <v>303.76</v>
      </c>
      <c r="E352" s="67">
        <f t="shared" si="15"/>
        <v>18458.360000000055</v>
      </c>
      <c r="F352" s="83">
        <v>0</v>
      </c>
      <c r="G352" s="83">
        <f t="shared" si="16"/>
        <v>356.92</v>
      </c>
      <c r="I352" s="85">
        <v>316</v>
      </c>
      <c r="J352" s="83">
        <f t="shared" si="17"/>
        <v>256.03000000000003</v>
      </c>
      <c r="K352" s="83">
        <f t="shared" si="18"/>
        <v>35.6</v>
      </c>
      <c r="L352" s="83">
        <f t="shared" si="19"/>
        <v>220.43</v>
      </c>
      <c r="M352" s="83">
        <f t="shared" si="20"/>
        <v>12344.120000000446</v>
      </c>
      <c r="N352" s="83">
        <v>0</v>
      </c>
      <c r="O352" s="83">
        <f t="shared" si="21"/>
        <v>256.03000000000003</v>
      </c>
    </row>
    <row r="353" spans="1:15" ht="15" customHeight="1" x14ac:dyDescent="0.35">
      <c r="A353" s="7">
        <v>317</v>
      </c>
      <c r="B353" s="67">
        <f t="shared" si="12"/>
        <v>356.92</v>
      </c>
      <c r="C353" s="67">
        <f t="shared" si="13"/>
        <v>52.3</v>
      </c>
      <c r="D353" s="67">
        <f t="shared" si="14"/>
        <v>304.62</v>
      </c>
      <c r="E353" s="67">
        <f t="shared" si="15"/>
        <v>18153.740000000056</v>
      </c>
      <c r="F353" s="83">
        <v>0</v>
      </c>
      <c r="G353" s="83">
        <f t="shared" si="16"/>
        <v>356.92</v>
      </c>
      <c r="I353" s="85">
        <v>317</v>
      </c>
      <c r="J353" s="83">
        <f t="shared" si="17"/>
        <v>255.41</v>
      </c>
      <c r="K353" s="83">
        <f t="shared" si="18"/>
        <v>34.979999999999997</v>
      </c>
      <c r="L353" s="83">
        <f t="shared" si="19"/>
        <v>220.43</v>
      </c>
      <c r="M353" s="83">
        <f t="shared" si="20"/>
        <v>12123.690000000446</v>
      </c>
      <c r="N353" s="83">
        <v>0</v>
      </c>
      <c r="O353" s="83">
        <f t="shared" si="21"/>
        <v>255.41</v>
      </c>
    </row>
    <row r="354" spans="1:15" ht="15" customHeight="1" x14ac:dyDescent="0.35">
      <c r="A354" s="7">
        <v>318</v>
      </c>
      <c r="B354" s="67">
        <f t="shared" si="12"/>
        <v>356.92</v>
      </c>
      <c r="C354" s="67">
        <f t="shared" si="13"/>
        <v>51.44</v>
      </c>
      <c r="D354" s="67">
        <f t="shared" si="14"/>
        <v>305.48</v>
      </c>
      <c r="E354" s="67">
        <f t="shared" si="15"/>
        <v>17848.260000000057</v>
      </c>
      <c r="F354" s="83">
        <v>0</v>
      </c>
      <c r="G354" s="83">
        <f t="shared" si="16"/>
        <v>356.92</v>
      </c>
      <c r="I354" s="85">
        <v>318</v>
      </c>
      <c r="J354" s="83">
        <f t="shared" si="17"/>
        <v>254.78</v>
      </c>
      <c r="K354" s="83">
        <f t="shared" si="18"/>
        <v>34.35</v>
      </c>
      <c r="L354" s="83">
        <f t="shared" si="19"/>
        <v>220.43</v>
      </c>
      <c r="M354" s="83">
        <f t="shared" si="20"/>
        <v>11903.260000000446</v>
      </c>
      <c r="N354" s="83">
        <v>0</v>
      </c>
      <c r="O354" s="83">
        <f t="shared" si="21"/>
        <v>254.78</v>
      </c>
    </row>
    <row r="355" spans="1:15" ht="15" customHeight="1" x14ac:dyDescent="0.35">
      <c r="A355" s="7">
        <v>319</v>
      </c>
      <c r="B355" s="67">
        <f t="shared" si="12"/>
        <v>356.92</v>
      </c>
      <c r="C355" s="67">
        <f t="shared" si="13"/>
        <v>50.57</v>
      </c>
      <c r="D355" s="67">
        <f t="shared" si="14"/>
        <v>306.35000000000002</v>
      </c>
      <c r="E355" s="67">
        <f t="shared" si="15"/>
        <v>17541.910000000058</v>
      </c>
      <c r="F355" s="83">
        <v>0</v>
      </c>
      <c r="G355" s="83">
        <f t="shared" si="16"/>
        <v>356.92</v>
      </c>
      <c r="I355" s="85">
        <v>319</v>
      </c>
      <c r="J355" s="83">
        <f t="shared" si="17"/>
        <v>254.16</v>
      </c>
      <c r="K355" s="83">
        <f t="shared" si="18"/>
        <v>33.729999999999997</v>
      </c>
      <c r="L355" s="83">
        <f t="shared" si="19"/>
        <v>220.43</v>
      </c>
      <c r="M355" s="83">
        <f t="shared" si="20"/>
        <v>11682.830000000446</v>
      </c>
      <c r="N355" s="83">
        <v>0</v>
      </c>
      <c r="O355" s="83">
        <f t="shared" si="21"/>
        <v>254.16</v>
      </c>
    </row>
    <row r="356" spans="1:15" ht="15" customHeight="1" x14ac:dyDescent="0.35">
      <c r="A356" s="7">
        <v>320</v>
      </c>
      <c r="B356" s="67">
        <f t="shared" si="12"/>
        <v>356.92</v>
      </c>
      <c r="C356" s="67">
        <f t="shared" si="13"/>
        <v>49.7</v>
      </c>
      <c r="D356" s="67">
        <f t="shared" si="14"/>
        <v>307.22000000000003</v>
      </c>
      <c r="E356" s="67">
        <f t="shared" si="15"/>
        <v>17234.690000000057</v>
      </c>
      <c r="F356" s="83">
        <v>0</v>
      </c>
      <c r="G356" s="83">
        <f t="shared" si="16"/>
        <v>356.92</v>
      </c>
      <c r="I356" s="85">
        <v>320</v>
      </c>
      <c r="J356" s="83">
        <f t="shared" si="17"/>
        <v>253.53</v>
      </c>
      <c r="K356" s="83">
        <f t="shared" si="18"/>
        <v>33.1</v>
      </c>
      <c r="L356" s="83">
        <f t="shared" si="19"/>
        <v>220.43</v>
      </c>
      <c r="M356" s="83">
        <f t="shared" si="20"/>
        <v>11462.400000000445</v>
      </c>
      <c r="N356" s="83">
        <v>0</v>
      </c>
      <c r="O356" s="83">
        <f t="shared" si="21"/>
        <v>253.53</v>
      </c>
    </row>
    <row r="357" spans="1:15" ht="15" customHeight="1" x14ac:dyDescent="0.35">
      <c r="A357" s="7">
        <v>321</v>
      </c>
      <c r="B357" s="67">
        <f t="shared" si="12"/>
        <v>356.92</v>
      </c>
      <c r="C357" s="67">
        <f t="shared" si="13"/>
        <v>48.83</v>
      </c>
      <c r="D357" s="67">
        <f t="shared" si="14"/>
        <v>308.09000000000003</v>
      </c>
      <c r="E357" s="67">
        <f t="shared" si="15"/>
        <v>16926.600000000057</v>
      </c>
      <c r="F357" s="83">
        <v>0</v>
      </c>
      <c r="G357" s="83">
        <f t="shared" si="16"/>
        <v>356.92</v>
      </c>
      <c r="I357" s="85">
        <v>321</v>
      </c>
      <c r="J357" s="83">
        <f t="shared" si="17"/>
        <v>252.91</v>
      </c>
      <c r="K357" s="83">
        <f t="shared" si="18"/>
        <v>32.479999999999997</v>
      </c>
      <c r="L357" s="83">
        <f t="shared" si="19"/>
        <v>220.43</v>
      </c>
      <c r="M357" s="83">
        <f t="shared" si="20"/>
        <v>11241.970000000445</v>
      </c>
      <c r="N357" s="83">
        <v>0</v>
      </c>
      <c r="O357" s="83">
        <f t="shared" si="21"/>
        <v>252.91</v>
      </c>
    </row>
    <row r="358" spans="1:15" ht="15" customHeight="1" x14ac:dyDescent="0.35">
      <c r="A358" s="7">
        <v>322</v>
      </c>
      <c r="B358" s="67">
        <f t="shared" si="12"/>
        <v>356.92</v>
      </c>
      <c r="C358" s="67">
        <f t="shared" si="13"/>
        <v>47.96</v>
      </c>
      <c r="D358" s="67">
        <f t="shared" si="14"/>
        <v>308.96000000000004</v>
      </c>
      <c r="E358" s="67">
        <f t="shared" si="15"/>
        <v>16617.640000000058</v>
      </c>
      <c r="F358" s="83">
        <v>0</v>
      </c>
      <c r="G358" s="83">
        <f t="shared" si="16"/>
        <v>356.92</v>
      </c>
      <c r="I358" s="85">
        <v>322</v>
      </c>
      <c r="J358" s="83">
        <f t="shared" si="17"/>
        <v>252.28</v>
      </c>
      <c r="K358" s="83">
        <f t="shared" si="18"/>
        <v>31.85</v>
      </c>
      <c r="L358" s="83">
        <f t="shared" si="19"/>
        <v>220.43</v>
      </c>
      <c r="M358" s="83">
        <f t="shared" si="20"/>
        <v>11021.540000000445</v>
      </c>
      <c r="N358" s="83">
        <v>0</v>
      </c>
      <c r="O358" s="83">
        <f t="shared" si="21"/>
        <v>252.28</v>
      </c>
    </row>
    <row r="359" spans="1:15" ht="15" customHeight="1" x14ac:dyDescent="0.35">
      <c r="A359" s="7">
        <v>323</v>
      </c>
      <c r="B359" s="67">
        <f t="shared" si="12"/>
        <v>356.92</v>
      </c>
      <c r="C359" s="67">
        <f t="shared" si="13"/>
        <v>47.08</v>
      </c>
      <c r="D359" s="67">
        <f t="shared" si="14"/>
        <v>309.84000000000003</v>
      </c>
      <c r="E359" s="67">
        <f t="shared" si="15"/>
        <v>16307.800000000057</v>
      </c>
      <c r="F359" s="83">
        <v>0</v>
      </c>
      <c r="G359" s="83">
        <f t="shared" si="16"/>
        <v>356.92</v>
      </c>
      <c r="I359" s="85">
        <v>323</v>
      </c>
      <c r="J359" s="83">
        <f t="shared" si="17"/>
        <v>251.66</v>
      </c>
      <c r="K359" s="83">
        <f t="shared" si="18"/>
        <v>31.23</v>
      </c>
      <c r="L359" s="83">
        <f t="shared" si="19"/>
        <v>220.43</v>
      </c>
      <c r="M359" s="83">
        <f t="shared" si="20"/>
        <v>10801.110000000444</v>
      </c>
      <c r="N359" s="83">
        <v>0</v>
      </c>
      <c r="O359" s="83">
        <f t="shared" si="21"/>
        <v>251.66</v>
      </c>
    </row>
    <row r="360" spans="1:15" ht="15" customHeight="1" x14ac:dyDescent="0.35">
      <c r="A360" s="7">
        <v>324</v>
      </c>
      <c r="B360" s="67">
        <f t="shared" si="12"/>
        <v>356.92</v>
      </c>
      <c r="C360" s="67">
        <f t="shared" si="13"/>
        <v>46.21</v>
      </c>
      <c r="D360" s="67">
        <f t="shared" si="14"/>
        <v>310.71000000000004</v>
      </c>
      <c r="E360" s="67">
        <f t="shared" si="15"/>
        <v>15997.090000000058</v>
      </c>
      <c r="F360" s="83">
        <v>0</v>
      </c>
      <c r="G360" s="83">
        <f t="shared" si="16"/>
        <v>356.92</v>
      </c>
      <c r="I360" s="85">
        <v>324</v>
      </c>
      <c r="J360" s="83">
        <f t="shared" si="17"/>
        <v>251.03</v>
      </c>
      <c r="K360" s="83">
        <f t="shared" si="18"/>
        <v>30.6</v>
      </c>
      <c r="L360" s="83">
        <f t="shared" si="19"/>
        <v>220.43</v>
      </c>
      <c r="M360" s="83">
        <f t="shared" si="20"/>
        <v>10580.680000000444</v>
      </c>
      <c r="N360" s="83">
        <v>0</v>
      </c>
      <c r="O360" s="83">
        <f t="shared" si="21"/>
        <v>251.03</v>
      </c>
    </row>
    <row r="361" spans="1:15" ht="15" customHeight="1" x14ac:dyDescent="0.35">
      <c r="A361" s="7">
        <v>325</v>
      </c>
      <c r="B361" s="67">
        <f t="shared" si="12"/>
        <v>356.92</v>
      </c>
      <c r="C361" s="67">
        <f t="shared" si="13"/>
        <v>45.33</v>
      </c>
      <c r="D361" s="67">
        <f t="shared" si="14"/>
        <v>311.59000000000003</v>
      </c>
      <c r="E361" s="67">
        <f t="shared" si="15"/>
        <v>15685.500000000058</v>
      </c>
      <c r="F361" s="83">
        <v>0</v>
      </c>
      <c r="G361" s="83">
        <f t="shared" si="16"/>
        <v>356.92</v>
      </c>
      <c r="I361" s="85">
        <v>325</v>
      </c>
      <c r="J361" s="83">
        <f t="shared" si="17"/>
        <v>250.41</v>
      </c>
      <c r="K361" s="83">
        <f t="shared" si="18"/>
        <v>29.98</v>
      </c>
      <c r="L361" s="83">
        <f t="shared" si="19"/>
        <v>220.43</v>
      </c>
      <c r="M361" s="83">
        <f t="shared" si="20"/>
        <v>10360.250000000444</v>
      </c>
      <c r="N361" s="83">
        <v>0</v>
      </c>
      <c r="O361" s="83">
        <f t="shared" si="21"/>
        <v>250.41</v>
      </c>
    </row>
    <row r="362" spans="1:15" ht="15" customHeight="1" x14ac:dyDescent="0.35">
      <c r="A362" s="7">
        <v>326</v>
      </c>
      <c r="B362" s="67">
        <f t="shared" si="12"/>
        <v>356.92</v>
      </c>
      <c r="C362" s="67">
        <f t="shared" si="13"/>
        <v>44.44</v>
      </c>
      <c r="D362" s="67">
        <f t="shared" si="14"/>
        <v>312.48</v>
      </c>
      <c r="E362" s="67">
        <f t="shared" si="15"/>
        <v>15373.020000000059</v>
      </c>
      <c r="F362" s="83">
        <v>0</v>
      </c>
      <c r="G362" s="83">
        <f t="shared" si="16"/>
        <v>356.92</v>
      </c>
      <c r="I362" s="85">
        <v>326</v>
      </c>
      <c r="J362" s="83">
        <f t="shared" si="17"/>
        <v>249.78</v>
      </c>
      <c r="K362" s="83">
        <f t="shared" si="18"/>
        <v>29.35</v>
      </c>
      <c r="L362" s="83">
        <f t="shared" si="19"/>
        <v>220.43</v>
      </c>
      <c r="M362" s="83">
        <f t="shared" si="20"/>
        <v>10139.820000000444</v>
      </c>
      <c r="N362" s="83">
        <v>0</v>
      </c>
      <c r="O362" s="83">
        <f t="shared" si="21"/>
        <v>249.78</v>
      </c>
    </row>
    <row r="363" spans="1:15" ht="15" customHeight="1" x14ac:dyDescent="0.35">
      <c r="A363" s="7">
        <v>327</v>
      </c>
      <c r="B363" s="67">
        <f t="shared" si="12"/>
        <v>356.92</v>
      </c>
      <c r="C363" s="67">
        <f t="shared" si="13"/>
        <v>43.56</v>
      </c>
      <c r="D363" s="67">
        <f t="shared" si="14"/>
        <v>313.36</v>
      </c>
      <c r="E363" s="67">
        <f t="shared" si="15"/>
        <v>15059.660000000058</v>
      </c>
      <c r="F363" s="83">
        <v>0</v>
      </c>
      <c r="G363" s="83">
        <f t="shared" si="16"/>
        <v>356.92</v>
      </c>
      <c r="I363" s="85">
        <v>327</v>
      </c>
      <c r="J363" s="83">
        <f t="shared" si="17"/>
        <v>249.16</v>
      </c>
      <c r="K363" s="83">
        <f t="shared" si="18"/>
        <v>28.73</v>
      </c>
      <c r="L363" s="83">
        <f t="shared" si="19"/>
        <v>220.43</v>
      </c>
      <c r="M363" s="83">
        <f t="shared" si="20"/>
        <v>9919.3900000004433</v>
      </c>
      <c r="N363" s="83">
        <v>0</v>
      </c>
      <c r="O363" s="83">
        <f t="shared" si="21"/>
        <v>249.16</v>
      </c>
    </row>
    <row r="364" spans="1:15" ht="15" customHeight="1" x14ac:dyDescent="0.35">
      <c r="A364" s="7">
        <v>328</v>
      </c>
      <c r="B364" s="67">
        <f t="shared" si="12"/>
        <v>356.92</v>
      </c>
      <c r="C364" s="67">
        <f t="shared" si="13"/>
        <v>42.67</v>
      </c>
      <c r="D364" s="67">
        <f t="shared" si="14"/>
        <v>314.25</v>
      </c>
      <c r="E364" s="67">
        <f t="shared" si="15"/>
        <v>14745.410000000058</v>
      </c>
      <c r="F364" s="83">
        <v>0</v>
      </c>
      <c r="G364" s="83">
        <f t="shared" si="16"/>
        <v>356.92</v>
      </c>
      <c r="I364" s="85">
        <v>328</v>
      </c>
      <c r="J364" s="83">
        <f t="shared" si="17"/>
        <v>248.53</v>
      </c>
      <c r="K364" s="83">
        <f t="shared" si="18"/>
        <v>28.1</v>
      </c>
      <c r="L364" s="83">
        <f t="shared" si="19"/>
        <v>220.43</v>
      </c>
      <c r="M364" s="83">
        <f t="shared" si="20"/>
        <v>9698.960000000443</v>
      </c>
      <c r="N364" s="83">
        <v>0</v>
      </c>
      <c r="O364" s="83">
        <f t="shared" si="21"/>
        <v>248.53</v>
      </c>
    </row>
    <row r="365" spans="1:15" ht="15" customHeight="1" x14ac:dyDescent="0.35">
      <c r="A365" s="7">
        <v>329</v>
      </c>
      <c r="B365" s="67">
        <f t="shared" si="12"/>
        <v>356.92</v>
      </c>
      <c r="C365" s="67">
        <f t="shared" si="13"/>
        <v>41.78</v>
      </c>
      <c r="D365" s="67">
        <f t="shared" si="14"/>
        <v>315.14</v>
      </c>
      <c r="E365" s="67">
        <f t="shared" si="15"/>
        <v>14430.270000000059</v>
      </c>
      <c r="F365" s="83">
        <v>0</v>
      </c>
      <c r="G365" s="83">
        <f t="shared" si="16"/>
        <v>356.92</v>
      </c>
      <c r="I365" s="85">
        <v>329</v>
      </c>
      <c r="J365" s="83">
        <f t="shared" si="17"/>
        <v>247.91</v>
      </c>
      <c r="K365" s="83">
        <f t="shared" si="18"/>
        <v>27.48</v>
      </c>
      <c r="L365" s="83">
        <f t="shared" si="19"/>
        <v>220.43</v>
      </c>
      <c r="M365" s="83">
        <f t="shared" si="20"/>
        <v>9478.5300000004427</v>
      </c>
      <c r="N365" s="83">
        <v>0</v>
      </c>
      <c r="O365" s="83">
        <f t="shared" si="21"/>
        <v>247.91</v>
      </c>
    </row>
    <row r="366" spans="1:15" ht="15" customHeight="1" x14ac:dyDescent="0.35">
      <c r="A366" s="7">
        <v>330</v>
      </c>
      <c r="B366" s="67">
        <f t="shared" si="12"/>
        <v>356.92</v>
      </c>
      <c r="C366" s="67">
        <f t="shared" si="13"/>
        <v>40.89</v>
      </c>
      <c r="D366" s="67">
        <f t="shared" si="14"/>
        <v>316.03000000000003</v>
      </c>
      <c r="E366" s="67">
        <f t="shared" si="15"/>
        <v>14114.240000000058</v>
      </c>
      <c r="F366" s="83">
        <v>0</v>
      </c>
      <c r="G366" s="83">
        <f t="shared" si="16"/>
        <v>356.92</v>
      </c>
      <c r="I366" s="85">
        <v>330</v>
      </c>
      <c r="J366" s="83">
        <f t="shared" si="17"/>
        <v>247.29000000000002</v>
      </c>
      <c r="K366" s="83">
        <f t="shared" si="18"/>
        <v>26.86</v>
      </c>
      <c r="L366" s="83">
        <f t="shared" si="19"/>
        <v>220.43</v>
      </c>
      <c r="M366" s="83">
        <f t="shared" si="20"/>
        <v>9258.1000000004424</v>
      </c>
      <c r="N366" s="83">
        <v>0</v>
      </c>
      <c r="O366" s="83">
        <f t="shared" si="21"/>
        <v>247.29000000000002</v>
      </c>
    </row>
    <row r="367" spans="1:15" ht="15" customHeight="1" x14ac:dyDescent="0.35">
      <c r="A367" s="7">
        <v>331</v>
      </c>
      <c r="B367" s="67">
        <f t="shared" si="12"/>
        <v>356.92</v>
      </c>
      <c r="C367" s="67">
        <f t="shared" si="13"/>
        <v>39.99</v>
      </c>
      <c r="D367" s="67">
        <f t="shared" si="14"/>
        <v>316.93</v>
      </c>
      <c r="E367" s="67">
        <f t="shared" si="15"/>
        <v>13797.310000000058</v>
      </c>
      <c r="F367" s="83">
        <v>0</v>
      </c>
      <c r="G367" s="83">
        <f t="shared" si="16"/>
        <v>356.92</v>
      </c>
      <c r="I367" s="85">
        <v>331</v>
      </c>
      <c r="J367" s="83">
        <f t="shared" si="17"/>
        <v>246.66</v>
      </c>
      <c r="K367" s="83">
        <f t="shared" si="18"/>
        <v>26.23</v>
      </c>
      <c r="L367" s="83">
        <f t="shared" si="19"/>
        <v>220.43</v>
      </c>
      <c r="M367" s="83">
        <f t="shared" si="20"/>
        <v>9037.6700000004421</v>
      </c>
      <c r="N367" s="83">
        <v>0</v>
      </c>
      <c r="O367" s="83">
        <f t="shared" si="21"/>
        <v>246.66</v>
      </c>
    </row>
    <row r="368" spans="1:15" ht="15" customHeight="1" x14ac:dyDescent="0.35">
      <c r="A368" s="7">
        <v>332</v>
      </c>
      <c r="B368" s="67">
        <f t="shared" si="12"/>
        <v>356.92</v>
      </c>
      <c r="C368" s="67">
        <f t="shared" si="13"/>
        <v>39.090000000000003</v>
      </c>
      <c r="D368" s="67">
        <f t="shared" si="14"/>
        <v>317.83000000000004</v>
      </c>
      <c r="E368" s="67">
        <f t="shared" si="15"/>
        <v>13479.480000000058</v>
      </c>
      <c r="F368" s="83">
        <v>0</v>
      </c>
      <c r="G368" s="83">
        <f t="shared" si="16"/>
        <v>356.92</v>
      </c>
      <c r="I368" s="85">
        <v>332</v>
      </c>
      <c r="J368" s="83">
        <f t="shared" si="17"/>
        <v>246.04000000000002</v>
      </c>
      <c r="K368" s="83">
        <f t="shared" si="18"/>
        <v>25.61</v>
      </c>
      <c r="L368" s="83">
        <f t="shared" si="19"/>
        <v>220.43</v>
      </c>
      <c r="M368" s="83">
        <f t="shared" si="20"/>
        <v>8817.2400000004418</v>
      </c>
      <c r="N368" s="83">
        <v>0</v>
      </c>
      <c r="O368" s="83">
        <f t="shared" si="21"/>
        <v>246.04000000000002</v>
      </c>
    </row>
    <row r="369" spans="1:15" ht="15" customHeight="1" x14ac:dyDescent="0.35">
      <c r="A369" s="7">
        <v>333</v>
      </c>
      <c r="B369" s="67">
        <f t="shared" si="12"/>
        <v>356.92</v>
      </c>
      <c r="C369" s="67">
        <f t="shared" si="13"/>
        <v>38.19</v>
      </c>
      <c r="D369" s="67">
        <f t="shared" si="14"/>
        <v>318.73</v>
      </c>
      <c r="E369" s="67">
        <f t="shared" si="15"/>
        <v>13160.750000000058</v>
      </c>
      <c r="F369" s="83">
        <v>0</v>
      </c>
      <c r="G369" s="83">
        <f t="shared" si="16"/>
        <v>356.92</v>
      </c>
      <c r="I369" s="85">
        <v>333</v>
      </c>
      <c r="J369" s="83">
        <f t="shared" si="17"/>
        <v>245.41</v>
      </c>
      <c r="K369" s="83">
        <f t="shared" si="18"/>
        <v>24.98</v>
      </c>
      <c r="L369" s="83">
        <f t="shared" si="19"/>
        <v>220.43</v>
      </c>
      <c r="M369" s="83">
        <f t="shared" si="20"/>
        <v>8596.8100000004415</v>
      </c>
      <c r="N369" s="83">
        <v>0</v>
      </c>
      <c r="O369" s="83">
        <f t="shared" si="21"/>
        <v>245.41</v>
      </c>
    </row>
    <row r="370" spans="1:15" ht="15" customHeight="1" x14ac:dyDescent="0.35">
      <c r="A370" s="7">
        <v>334</v>
      </c>
      <c r="B370" s="67">
        <f t="shared" si="12"/>
        <v>356.92</v>
      </c>
      <c r="C370" s="67">
        <f t="shared" si="13"/>
        <v>37.29</v>
      </c>
      <c r="D370" s="67">
        <f t="shared" si="14"/>
        <v>319.63</v>
      </c>
      <c r="E370" s="67">
        <f t="shared" si="15"/>
        <v>12841.120000000059</v>
      </c>
      <c r="F370" s="83">
        <v>0</v>
      </c>
      <c r="G370" s="83">
        <f t="shared" si="16"/>
        <v>356.92</v>
      </c>
      <c r="I370" s="85">
        <v>334</v>
      </c>
      <c r="J370" s="83">
        <f t="shared" si="17"/>
        <v>244.79000000000002</v>
      </c>
      <c r="K370" s="83">
        <f t="shared" si="18"/>
        <v>24.36</v>
      </c>
      <c r="L370" s="83">
        <f t="shared" si="19"/>
        <v>220.43</v>
      </c>
      <c r="M370" s="83">
        <f t="shared" si="20"/>
        <v>8376.3800000004412</v>
      </c>
      <c r="N370" s="83">
        <v>0</v>
      </c>
      <c r="O370" s="83">
        <f t="shared" si="21"/>
        <v>244.79000000000002</v>
      </c>
    </row>
    <row r="371" spans="1:15" ht="15" customHeight="1" x14ac:dyDescent="0.35">
      <c r="A371" s="7">
        <v>335</v>
      </c>
      <c r="B371" s="67">
        <f t="shared" si="12"/>
        <v>356.92</v>
      </c>
      <c r="C371" s="67">
        <f t="shared" si="13"/>
        <v>36.380000000000003</v>
      </c>
      <c r="D371" s="67">
        <f t="shared" si="14"/>
        <v>320.54000000000002</v>
      </c>
      <c r="E371" s="67">
        <f t="shared" si="15"/>
        <v>12520.580000000058</v>
      </c>
      <c r="F371" s="83">
        <v>0</v>
      </c>
      <c r="G371" s="83">
        <f t="shared" si="16"/>
        <v>356.92</v>
      </c>
      <c r="I371" s="85">
        <v>335</v>
      </c>
      <c r="J371" s="83">
        <f t="shared" si="17"/>
        <v>244.16</v>
      </c>
      <c r="K371" s="83">
        <f t="shared" si="18"/>
        <v>23.73</v>
      </c>
      <c r="L371" s="83">
        <f t="shared" si="19"/>
        <v>220.43</v>
      </c>
      <c r="M371" s="83">
        <f t="shared" si="20"/>
        <v>8155.9500000004409</v>
      </c>
      <c r="N371" s="83">
        <v>0</v>
      </c>
      <c r="O371" s="83">
        <f t="shared" si="21"/>
        <v>244.16</v>
      </c>
    </row>
    <row r="372" spans="1:15" ht="15" customHeight="1" x14ac:dyDescent="0.35">
      <c r="A372" s="7">
        <v>336</v>
      </c>
      <c r="B372" s="67">
        <f t="shared" si="12"/>
        <v>356.92</v>
      </c>
      <c r="C372" s="67">
        <f t="shared" si="13"/>
        <v>35.47</v>
      </c>
      <c r="D372" s="67">
        <f t="shared" si="14"/>
        <v>321.45000000000005</v>
      </c>
      <c r="E372" s="67">
        <f t="shared" si="15"/>
        <v>12199.130000000057</v>
      </c>
      <c r="F372" s="83">
        <v>0</v>
      </c>
      <c r="G372" s="83">
        <f t="shared" si="16"/>
        <v>356.92</v>
      </c>
      <c r="I372" s="85">
        <v>336</v>
      </c>
      <c r="J372" s="83">
        <f t="shared" si="17"/>
        <v>243.54000000000002</v>
      </c>
      <c r="K372" s="83">
        <f t="shared" si="18"/>
        <v>23.11</v>
      </c>
      <c r="L372" s="83">
        <f t="shared" si="19"/>
        <v>220.43</v>
      </c>
      <c r="M372" s="83">
        <f t="shared" si="20"/>
        <v>7935.5200000004406</v>
      </c>
      <c r="N372" s="83">
        <v>0</v>
      </c>
      <c r="O372" s="83">
        <f t="shared" si="21"/>
        <v>243.54000000000002</v>
      </c>
    </row>
    <row r="373" spans="1:15" ht="15" customHeight="1" x14ac:dyDescent="0.35">
      <c r="A373" s="7">
        <v>337</v>
      </c>
      <c r="B373" s="67">
        <f t="shared" si="12"/>
        <v>356.92</v>
      </c>
      <c r="C373" s="67">
        <f t="shared" si="13"/>
        <v>34.56</v>
      </c>
      <c r="D373" s="67">
        <f t="shared" si="14"/>
        <v>322.36</v>
      </c>
      <c r="E373" s="67">
        <f t="shared" si="15"/>
        <v>11876.770000000057</v>
      </c>
      <c r="F373" s="83">
        <v>0</v>
      </c>
      <c r="G373" s="83">
        <f t="shared" si="16"/>
        <v>356.92</v>
      </c>
      <c r="I373" s="85">
        <v>337</v>
      </c>
      <c r="J373" s="83">
        <f t="shared" si="17"/>
        <v>242.91</v>
      </c>
      <c r="K373" s="83">
        <f t="shared" si="18"/>
        <v>22.48</v>
      </c>
      <c r="L373" s="83">
        <f t="shared" si="19"/>
        <v>220.43</v>
      </c>
      <c r="M373" s="83">
        <f t="shared" si="20"/>
        <v>7715.0900000004403</v>
      </c>
      <c r="N373" s="83">
        <v>0</v>
      </c>
      <c r="O373" s="83">
        <f t="shared" si="21"/>
        <v>242.91</v>
      </c>
    </row>
    <row r="374" spans="1:15" ht="15" customHeight="1" x14ac:dyDescent="0.35">
      <c r="A374" s="7">
        <v>338</v>
      </c>
      <c r="B374" s="67">
        <f t="shared" si="12"/>
        <v>356.92</v>
      </c>
      <c r="C374" s="67">
        <f t="shared" si="13"/>
        <v>33.65</v>
      </c>
      <c r="D374" s="67">
        <f t="shared" si="14"/>
        <v>323.27000000000004</v>
      </c>
      <c r="E374" s="67">
        <f t="shared" si="15"/>
        <v>11553.500000000056</v>
      </c>
      <c r="F374" s="83">
        <v>0</v>
      </c>
      <c r="G374" s="83">
        <f t="shared" si="16"/>
        <v>356.92</v>
      </c>
      <c r="I374" s="85">
        <v>338</v>
      </c>
      <c r="J374" s="83">
        <f t="shared" si="17"/>
        <v>242.29000000000002</v>
      </c>
      <c r="K374" s="83">
        <f t="shared" si="18"/>
        <v>21.86</v>
      </c>
      <c r="L374" s="83">
        <f t="shared" si="19"/>
        <v>220.43</v>
      </c>
      <c r="M374" s="83">
        <f t="shared" si="20"/>
        <v>7494.66000000044</v>
      </c>
      <c r="N374" s="83">
        <v>0</v>
      </c>
      <c r="O374" s="83">
        <f t="shared" si="21"/>
        <v>242.29000000000002</v>
      </c>
    </row>
    <row r="375" spans="1:15" ht="15" customHeight="1" x14ac:dyDescent="0.35">
      <c r="A375" s="7">
        <v>339</v>
      </c>
      <c r="B375" s="67">
        <f t="shared" si="12"/>
        <v>356.92</v>
      </c>
      <c r="C375" s="67">
        <f t="shared" si="13"/>
        <v>32.729999999999997</v>
      </c>
      <c r="D375" s="67">
        <f t="shared" si="14"/>
        <v>324.19</v>
      </c>
      <c r="E375" s="67">
        <f t="shared" si="15"/>
        <v>11229.310000000056</v>
      </c>
      <c r="F375" s="83">
        <v>0</v>
      </c>
      <c r="G375" s="83">
        <f t="shared" si="16"/>
        <v>356.92</v>
      </c>
      <c r="I375" s="85">
        <v>339</v>
      </c>
      <c r="J375" s="83">
        <f t="shared" si="17"/>
        <v>241.66</v>
      </c>
      <c r="K375" s="83">
        <f t="shared" si="18"/>
        <v>21.23</v>
      </c>
      <c r="L375" s="83">
        <f t="shared" si="19"/>
        <v>220.43</v>
      </c>
      <c r="M375" s="83">
        <f t="shared" si="20"/>
        <v>7274.2300000004398</v>
      </c>
      <c r="N375" s="83">
        <v>0</v>
      </c>
      <c r="O375" s="83">
        <f t="shared" si="21"/>
        <v>241.66</v>
      </c>
    </row>
    <row r="376" spans="1:15" ht="15" customHeight="1" x14ac:dyDescent="0.35">
      <c r="A376" s="7">
        <v>340</v>
      </c>
      <c r="B376" s="67">
        <f t="shared" si="12"/>
        <v>356.92</v>
      </c>
      <c r="C376" s="67">
        <f t="shared" si="13"/>
        <v>31.82</v>
      </c>
      <c r="D376" s="67">
        <f t="shared" si="14"/>
        <v>325.10000000000002</v>
      </c>
      <c r="E376" s="67">
        <f t="shared" si="15"/>
        <v>10904.210000000056</v>
      </c>
      <c r="F376" s="83">
        <v>0</v>
      </c>
      <c r="G376" s="83">
        <f t="shared" si="16"/>
        <v>356.92</v>
      </c>
      <c r="I376" s="85">
        <v>340</v>
      </c>
      <c r="J376" s="83">
        <f t="shared" si="17"/>
        <v>241.04000000000002</v>
      </c>
      <c r="K376" s="83">
        <f t="shared" si="18"/>
        <v>20.61</v>
      </c>
      <c r="L376" s="83">
        <f t="shared" si="19"/>
        <v>220.43</v>
      </c>
      <c r="M376" s="83">
        <f t="shared" si="20"/>
        <v>7053.8000000004395</v>
      </c>
      <c r="N376" s="83">
        <v>0</v>
      </c>
      <c r="O376" s="83">
        <f t="shared" si="21"/>
        <v>241.04000000000002</v>
      </c>
    </row>
    <row r="377" spans="1:15" ht="15" customHeight="1" x14ac:dyDescent="0.35">
      <c r="A377" s="7">
        <v>341</v>
      </c>
      <c r="B377" s="67">
        <f t="shared" si="12"/>
        <v>356.92</v>
      </c>
      <c r="C377" s="67">
        <f t="shared" si="13"/>
        <v>30.9</v>
      </c>
      <c r="D377" s="67">
        <f t="shared" si="14"/>
        <v>326.02000000000004</v>
      </c>
      <c r="E377" s="67">
        <f t="shared" si="15"/>
        <v>10578.190000000055</v>
      </c>
      <c r="F377" s="83">
        <v>0</v>
      </c>
      <c r="G377" s="83">
        <f t="shared" si="16"/>
        <v>356.92</v>
      </c>
      <c r="I377" s="85">
        <v>341</v>
      </c>
      <c r="J377" s="83">
        <f t="shared" si="17"/>
        <v>240.42000000000002</v>
      </c>
      <c r="K377" s="83">
        <f t="shared" si="18"/>
        <v>19.989999999999998</v>
      </c>
      <c r="L377" s="83">
        <f t="shared" si="19"/>
        <v>220.43</v>
      </c>
      <c r="M377" s="83">
        <f t="shared" si="20"/>
        <v>6833.3700000004392</v>
      </c>
      <c r="N377" s="83">
        <v>0</v>
      </c>
      <c r="O377" s="83">
        <f t="shared" si="21"/>
        <v>240.42000000000002</v>
      </c>
    </row>
    <row r="378" spans="1:15" ht="15" customHeight="1" x14ac:dyDescent="0.35">
      <c r="A378" s="7">
        <v>342</v>
      </c>
      <c r="B378" s="67">
        <f t="shared" si="12"/>
        <v>356.92</v>
      </c>
      <c r="C378" s="67">
        <f t="shared" si="13"/>
        <v>29.97</v>
      </c>
      <c r="D378" s="67">
        <f t="shared" si="14"/>
        <v>326.95000000000005</v>
      </c>
      <c r="E378" s="67">
        <f t="shared" si="15"/>
        <v>10251.240000000054</v>
      </c>
      <c r="F378" s="83">
        <v>0</v>
      </c>
      <c r="G378" s="83">
        <f t="shared" si="16"/>
        <v>356.92</v>
      </c>
      <c r="I378" s="85">
        <v>342</v>
      </c>
      <c r="J378" s="83">
        <f t="shared" si="17"/>
        <v>239.79000000000002</v>
      </c>
      <c r="K378" s="83">
        <f t="shared" si="18"/>
        <v>19.36</v>
      </c>
      <c r="L378" s="83">
        <f t="shared" si="19"/>
        <v>220.43</v>
      </c>
      <c r="M378" s="83">
        <f t="shared" si="20"/>
        <v>6612.9400000004389</v>
      </c>
      <c r="N378" s="83">
        <v>0</v>
      </c>
      <c r="O378" s="83">
        <f t="shared" si="21"/>
        <v>239.79000000000002</v>
      </c>
    </row>
    <row r="379" spans="1:15" ht="15" customHeight="1" x14ac:dyDescent="0.35">
      <c r="A379" s="7">
        <v>343</v>
      </c>
      <c r="B379" s="67">
        <f t="shared" si="12"/>
        <v>356.92</v>
      </c>
      <c r="C379" s="67">
        <f t="shared" si="13"/>
        <v>29.05</v>
      </c>
      <c r="D379" s="67">
        <f t="shared" si="14"/>
        <v>327.87</v>
      </c>
      <c r="E379" s="67">
        <f t="shared" si="15"/>
        <v>9923.3700000000536</v>
      </c>
      <c r="F379" s="83">
        <v>0</v>
      </c>
      <c r="G379" s="83">
        <f t="shared" si="16"/>
        <v>356.92</v>
      </c>
      <c r="I379" s="85">
        <v>343</v>
      </c>
      <c r="J379" s="83">
        <f t="shared" si="17"/>
        <v>239.17000000000002</v>
      </c>
      <c r="K379" s="83">
        <f t="shared" si="18"/>
        <v>18.739999999999998</v>
      </c>
      <c r="L379" s="83">
        <f t="shared" si="19"/>
        <v>220.43</v>
      </c>
      <c r="M379" s="83">
        <f t="shared" si="20"/>
        <v>6392.5100000004386</v>
      </c>
      <c r="N379" s="83">
        <v>0</v>
      </c>
      <c r="O379" s="83">
        <f t="shared" si="21"/>
        <v>239.17000000000002</v>
      </c>
    </row>
    <row r="380" spans="1:15" ht="15" customHeight="1" x14ac:dyDescent="0.35">
      <c r="A380" s="7">
        <v>344</v>
      </c>
      <c r="B380" s="67">
        <f t="shared" si="12"/>
        <v>356.92</v>
      </c>
      <c r="C380" s="67">
        <f t="shared" si="13"/>
        <v>28.12</v>
      </c>
      <c r="D380" s="67">
        <f t="shared" si="14"/>
        <v>328.8</v>
      </c>
      <c r="E380" s="67">
        <f t="shared" si="15"/>
        <v>9594.5700000000543</v>
      </c>
      <c r="F380" s="83">
        <v>0</v>
      </c>
      <c r="G380" s="83">
        <f t="shared" si="16"/>
        <v>356.92</v>
      </c>
      <c r="I380" s="85">
        <v>344</v>
      </c>
      <c r="J380" s="83">
        <f t="shared" si="17"/>
        <v>238.54000000000002</v>
      </c>
      <c r="K380" s="83">
        <f t="shared" si="18"/>
        <v>18.11</v>
      </c>
      <c r="L380" s="83">
        <f t="shared" si="19"/>
        <v>220.43</v>
      </c>
      <c r="M380" s="83">
        <f t="shared" si="20"/>
        <v>6172.0800000004383</v>
      </c>
      <c r="N380" s="83">
        <v>0</v>
      </c>
      <c r="O380" s="83">
        <f t="shared" si="21"/>
        <v>238.54000000000002</v>
      </c>
    </row>
    <row r="381" spans="1:15" ht="15" customHeight="1" x14ac:dyDescent="0.35">
      <c r="A381" s="7">
        <v>345</v>
      </c>
      <c r="B381" s="67">
        <f t="shared" si="12"/>
        <v>356.92</v>
      </c>
      <c r="C381" s="67">
        <f t="shared" si="13"/>
        <v>27.18</v>
      </c>
      <c r="D381" s="67">
        <f t="shared" si="14"/>
        <v>329.74</v>
      </c>
      <c r="E381" s="67">
        <f t="shared" si="15"/>
        <v>9264.8300000000545</v>
      </c>
      <c r="F381" s="83">
        <v>0</v>
      </c>
      <c r="G381" s="83">
        <f t="shared" si="16"/>
        <v>356.92</v>
      </c>
      <c r="I381" s="85">
        <v>345</v>
      </c>
      <c r="J381" s="83">
        <f t="shared" si="17"/>
        <v>237.92000000000002</v>
      </c>
      <c r="K381" s="83">
        <f t="shared" si="18"/>
        <v>17.489999999999998</v>
      </c>
      <c r="L381" s="83">
        <f t="shared" si="19"/>
        <v>220.43</v>
      </c>
      <c r="M381" s="83">
        <f t="shared" si="20"/>
        <v>5951.650000000438</v>
      </c>
      <c r="N381" s="83">
        <v>0</v>
      </c>
      <c r="O381" s="83">
        <f t="shared" si="21"/>
        <v>237.92000000000002</v>
      </c>
    </row>
    <row r="382" spans="1:15" ht="15" customHeight="1" x14ac:dyDescent="0.35">
      <c r="A382" s="7">
        <v>346</v>
      </c>
      <c r="B382" s="67">
        <f t="shared" si="12"/>
        <v>356.92</v>
      </c>
      <c r="C382" s="67">
        <f t="shared" si="13"/>
        <v>26.25</v>
      </c>
      <c r="D382" s="67">
        <f t="shared" si="14"/>
        <v>330.67</v>
      </c>
      <c r="E382" s="67">
        <f t="shared" si="15"/>
        <v>8934.1600000000544</v>
      </c>
      <c r="F382" s="83">
        <v>0</v>
      </c>
      <c r="G382" s="83">
        <f t="shared" si="16"/>
        <v>356.92</v>
      </c>
      <c r="I382" s="85">
        <v>346</v>
      </c>
      <c r="J382" s="83">
        <f t="shared" si="17"/>
        <v>237.29000000000002</v>
      </c>
      <c r="K382" s="83">
        <f t="shared" si="18"/>
        <v>16.86</v>
      </c>
      <c r="L382" s="83">
        <f t="shared" si="19"/>
        <v>220.43</v>
      </c>
      <c r="M382" s="83">
        <f t="shared" si="20"/>
        <v>5731.2200000004377</v>
      </c>
      <c r="N382" s="83">
        <v>0</v>
      </c>
      <c r="O382" s="83">
        <f t="shared" si="21"/>
        <v>237.29000000000002</v>
      </c>
    </row>
    <row r="383" spans="1:15" ht="15" customHeight="1" x14ac:dyDescent="0.35">
      <c r="A383" s="7">
        <v>347</v>
      </c>
      <c r="B383" s="67">
        <f t="shared" si="12"/>
        <v>356.92</v>
      </c>
      <c r="C383" s="67">
        <f t="shared" si="13"/>
        <v>25.31</v>
      </c>
      <c r="D383" s="67">
        <f t="shared" si="14"/>
        <v>331.61</v>
      </c>
      <c r="E383" s="67">
        <f t="shared" si="15"/>
        <v>8602.5500000000538</v>
      </c>
      <c r="F383" s="83">
        <v>0</v>
      </c>
      <c r="G383" s="83">
        <f t="shared" si="16"/>
        <v>356.92</v>
      </c>
      <c r="I383" s="85">
        <v>347</v>
      </c>
      <c r="J383" s="83">
        <f t="shared" si="17"/>
        <v>236.67000000000002</v>
      </c>
      <c r="K383" s="83">
        <f t="shared" si="18"/>
        <v>16.239999999999998</v>
      </c>
      <c r="L383" s="83">
        <f t="shared" si="19"/>
        <v>220.43</v>
      </c>
      <c r="M383" s="83">
        <f t="shared" si="20"/>
        <v>5510.7900000004374</v>
      </c>
      <c r="N383" s="83">
        <v>0</v>
      </c>
      <c r="O383" s="83">
        <f t="shared" si="21"/>
        <v>236.67000000000002</v>
      </c>
    </row>
    <row r="384" spans="1:15" ht="15" customHeight="1" x14ac:dyDescent="0.35">
      <c r="A384" s="7">
        <v>348</v>
      </c>
      <c r="B384" s="67">
        <f t="shared" si="12"/>
        <v>356.92</v>
      </c>
      <c r="C384" s="67">
        <f t="shared" si="13"/>
        <v>24.37</v>
      </c>
      <c r="D384" s="67">
        <f t="shared" si="14"/>
        <v>332.55</v>
      </c>
      <c r="E384" s="67">
        <f t="shared" si="15"/>
        <v>8270.0000000000546</v>
      </c>
      <c r="F384" s="83">
        <v>0</v>
      </c>
      <c r="G384" s="83">
        <f t="shared" si="16"/>
        <v>356.92</v>
      </c>
      <c r="I384" s="85">
        <v>348</v>
      </c>
      <c r="J384" s="83">
        <f t="shared" si="17"/>
        <v>236.04000000000002</v>
      </c>
      <c r="K384" s="83">
        <f t="shared" si="18"/>
        <v>15.61</v>
      </c>
      <c r="L384" s="83">
        <f t="shared" si="19"/>
        <v>220.43</v>
      </c>
      <c r="M384" s="83">
        <f t="shared" si="20"/>
        <v>5290.3600000004371</v>
      </c>
      <c r="N384" s="83">
        <v>0</v>
      </c>
      <c r="O384" s="83">
        <f t="shared" si="21"/>
        <v>236.04000000000002</v>
      </c>
    </row>
    <row r="385" spans="1:15" ht="15" customHeight="1" x14ac:dyDescent="0.35">
      <c r="A385" s="7">
        <v>349</v>
      </c>
      <c r="B385" s="67">
        <f t="shared" si="12"/>
        <v>356.92</v>
      </c>
      <c r="C385" s="67">
        <f t="shared" si="13"/>
        <v>23.43</v>
      </c>
      <c r="D385" s="67">
        <f t="shared" si="14"/>
        <v>333.49</v>
      </c>
      <c r="E385" s="67">
        <f t="shared" si="15"/>
        <v>7936.5100000000548</v>
      </c>
      <c r="F385" s="83">
        <v>0</v>
      </c>
      <c r="G385" s="83">
        <f t="shared" si="16"/>
        <v>356.92</v>
      </c>
      <c r="I385" s="85">
        <v>349</v>
      </c>
      <c r="J385" s="83">
        <f t="shared" si="17"/>
        <v>235.42000000000002</v>
      </c>
      <c r="K385" s="83">
        <f t="shared" si="18"/>
        <v>14.99</v>
      </c>
      <c r="L385" s="83">
        <f t="shared" si="19"/>
        <v>220.43</v>
      </c>
      <c r="M385" s="83">
        <f t="shared" si="20"/>
        <v>5069.9300000004368</v>
      </c>
      <c r="N385" s="83">
        <v>0</v>
      </c>
      <c r="O385" s="83">
        <f t="shared" si="21"/>
        <v>235.42000000000002</v>
      </c>
    </row>
    <row r="386" spans="1:15" ht="15" customHeight="1" x14ac:dyDescent="0.35">
      <c r="A386" s="7">
        <v>350</v>
      </c>
      <c r="B386" s="67">
        <f t="shared" si="12"/>
        <v>356.92</v>
      </c>
      <c r="C386" s="67">
        <f t="shared" si="13"/>
        <v>22.49</v>
      </c>
      <c r="D386" s="67">
        <f t="shared" si="14"/>
        <v>334.43</v>
      </c>
      <c r="E386" s="67">
        <f t="shared" si="15"/>
        <v>7602.0800000000545</v>
      </c>
      <c r="F386" s="83">
        <v>0</v>
      </c>
      <c r="G386" s="83">
        <f t="shared" si="16"/>
        <v>356.92</v>
      </c>
      <c r="I386" s="85">
        <v>350</v>
      </c>
      <c r="J386" s="83">
        <f t="shared" si="17"/>
        <v>234.79000000000002</v>
      </c>
      <c r="K386" s="83">
        <f t="shared" si="18"/>
        <v>14.36</v>
      </c>
      <c r="L386" s="83">
        <f t="shared" si="19"/>
        <v>220.43</v>
      </c>
      <c r="M386" s="83">
        <f t="shared" si="20"/>
        <v>4849.5000000004366</v>
      </c>
      <c r="N386" s="83">
        <v>0</v>
      </c>
      <c r="O386" s="83">
        <f t="shared" si="21"/>
        <v>234.79000000000002</v>
      </c>
    </row>
    <row r="387" spans="1:15" ht="15" customHeight="1" x14ac:dyDescent="0.35">
      <c r="A387" s="7">
        <v>351</v>
      </c>
      <c r="B387" s="67">
        <f t="shared" si="12"/>
        <v>356.92</v>
      </c>
      <c r="C387" s="67">
        <f t="shared" si="13"/>
        <v>21.54</v>
      </c>
      <c r="D387" s="67">
        <f t="shared" si="14"/>
        <v>335.38</v>
      </c>
      <c r="E387" s="67">
        <f t="shared" si="15"/>
        <v>7266.7000000000544</v>
      </c>
      <c r="F387" s="83">
        <v>0</v>
      </c>
      <c r="G387" s="83">
        <f t="shared" si="16"/>
        <v>356.92</v>
      </c>
      <c r="I387" s="85">
        <v>351</v>
      </c>
      <c r="J387" s="83">
        <f t="shared" si="17"/>
        <v>234.17000000000002</v>
      </c>
      <c r="K387" s="83">
        <f t="shared" si="18"/>
        <v>13.74</v>
      </c>
      <c r="L387" s="83">
        <f t="shared" si="19"/>
        <v>220.43</v>
      </c>
      <c r="M387" s="83">
        <f t="shared" si="20"/>
        <v>4629.0700000004363</v>
      </c>
      <c r="N387" s="83">
        <v>0</v>
      </c>
      <c r="O387" s="83">
        <f t="shared" si="21"/>
        <v>234.17000000000002</v>
      </c>
    </row>
    <row r="388" spans="1:15" ht="15" customHeight="1" x14ac:dyDescent="0.35">
      <c r="A388" s="7">
        <v>352</v>
      </c>
      <c r="B388" s="67">
        <f t="shared" si="12"/>
        <v>356.92</v>
      </c>
      <c r="C388" s="67">
        <f t="shared" si="13"/>
        <v>20.59</v>
      </c>
      <c r="D388" s="67">
        <f t="shared" si="14"/>
        <v>336.33000000000004</v>
      </c>
      <c r="E388" s="67">
        <f t="shared" si="15"/>
        <v>6930.3700000000545</v>
      </c>
      <c r="F388" s="83">
        <v>0</v>
      </c>
      <c r="G388" s="83">
        <f t="shared" si="16"/>
        <v>356.92</v>
      </c>
      <c r="I388" s="85">
        <v>352</v>
      </c>
      <c r="J388" s="83">
        <f t="shared" si="17"/>
        <v>233.55</v>
      </c>
      <c r="K388" s="83">
        <f t="shared" si="18"/>
        <v>13.12</v>
      </c>
      <c r="L388" s="83">
        <f t="shared" si="19"/>
        <v>220.43</v>
      </c>
      <c r="M388" s="83">
        <f t="shared" si="20"/>
        <v>4408.640000000436</v>
      </c>
      <c r="N388" s="83">
        <v>0</v>
      </c>
      <c r="O388" s="83">
        <f t="shared" si="21"/>
        <v>233.55</v>
      </c>
    </row>
    <row r="389" spans="1:15" ht="15" customHeight="1" x14ac:dyDescent="0.35">
      <c r="A389" s="7">
        <v>353</v>
      </c>
      <c r="B389" s="67">
        <f t="shared" si="12"/>
        <v>356.92</v>
      </c>
      <c r="C389" s="67">
        <f t="shared" si="13"/>
        <v>19.64</v>
      </c>
      <c r="D389" s="67">
        <f t="shared" si="14"/>
        <v>337.28000000000003</v>
      </c>
      <c r="E389" s="67">
        <f t="shared" si="15"/>
        <v>6593.0900000000547</v>
      </c>
      <c r="F389" s="83">
        <v>0</v>
      </c>
      <c r="G389" s="83">
        <f t="shared" si="16"/>
        <v>356.92</v>
      </c>
      <c r="I389" s="85">
        <v>353</v>
      </c>
      <c r="J389" s="83">
        <f t="shared" si="17"/>
        <v>232.92000000000002</v>
      </c>
      <c r="K389" s="83">
        <f t="shared" si="18"/>
        <v>12.49</v>
      </c>
      <c r="L389" s="83">
        <f t="shared" si="19"/>
        <v>220.43</v>
      </c>
      <c r="M389" s="83">
        <f t="shared" si="20"/>
        <v>4188.2100000004357</v>
      </c>
      <c r="N389" s="83">
        <v>0</v>
      </c>
      <c r="O389" s="83">
        <f t="shared" si="21"/>
        <v>232.92000000000002</v>
      </c>
    </row>
    <row r="390" spans="1:15" ht="15" customHeight="1" x14ac:dyDescent="0.35">
      <c r="A390" s="7">
        <v>354</v>
      </c>
      <c r="B390" s="67">
        <f t="shared" si="12"/>
        <v>356.92</v>
      </c>
      <c r="C390" s="67">
        <f t="shared" si="13"/>
        <v>18.68</v>
      </c>
      <c r="D390" s="67">
        <f t="shared" si="14"/>
        <v>338.24</v>
      </c>
      <c r="E390" s="67">
        <f t="shared" si="15"/>
        <v>6254.8500000000549</v>
      </c>
      <c r="F390" s="83">
        <v>0</v>
      </c>
      <c r="G390" s="83">
        <f t="shared" si="16"/>
        <v>356.92</v>
      </c>
      <c r="I390" s="85">
        <v>354</v>
      </c>
      <c r="J390" s="83">
        <f t="shared" si="17"/>
        <v>232.3</v>
      </c>
      <c r="K390" s="83">
        <f t="shared" si="18"/>
        <v>11.87</v>
      </c>
      <c r="L390" s="83">
        <f t="shared" si="19"/>
        <v>220.43</v>
      </c>
      <c r="M390" s="83">
        <f t="shared" si="20"/>
        <v>3967.7800000004358</v>
      </c>
      <c r="N390" s="83">
        <v>0</v>
      </c>
      <c r="O390" s="83">
        <f t="shared" si="21"/>
        <v>232.3</v>
      </c>
    </row>
    <row r="391" spans="1:15" ht="15" customHeight="1" x14ac:dyDescent="0.35">
      <c r="A391" s="7">
        <v>355</v>
      </c>
      <c r="B391" s="67">
        <f t="shared" si="12"/>
        <v>356.92</v>
      </c>
      <c r="C391" s="67">
        <f t="shared" si="13"/>
        <v>17.72</v>
      </c>
      <c r="D391" s="67">
        <f t="shared" si="14"/>
        <v>339.20000000000005</v>
      </c>
      <c r="E391" s="67">
        <f t="shared" si="15"/>
        <v>5915.6500000000551</v>
      </c>
      <c r="F391" s="83">
        <v>0</v>
      </c>
      <c r="G391" s="83">
        <f t="shared" si="16"/>
        <v>356.92</v>
      </c>
      <c r="I391" s="85">
        <v>355</v>
      </c>
      <c r="J391" s="83">
        <f t="shared" si="17"/>
        <v>231.67000000000002</v>
      </c>
      <c r="K391" s="83">
        <f t="shared" si="18"/>
        <v>11.24</v>
      </c>
      <c r="L391" s="83">
        <f t="shared" si="19"/>
        <v>220.43</v>
      </c>
      <c r="M391" s="83">
        <f t="shared" si="20"/>
        <v>3747.350000000436</v>
      </c>
      <c r="N391" s="83">
        <v>0</v>
      </c>
      <c r="O391" s="83">
        <f t="shared" si="21"/>
        <v>231.67000000000002</v>
      </c>
    </row>
    <row r="392" spans="1:15" ht="15" customHeight="1" x14ac:dyDescent="0.35">
      <c r="A392" s="7">
        <v>356</v>
      </c>
      <c r="B392" s="67">
        <f t="shared" si="12"/>
        <v>356.92</v>
      </c>
      <c r="C392" s="67">
        <f t="shared" si="13"/>
        <v>16.760000000000002</v>
      </c>
      <c r="D392" s="67">
        <f t="shared" si="14"/>
        <v>340.16</v>
      </c>
      <c r="E392" s="67">
        <f t="shared" si="15"/>
        <v>5575.4900000000553</v>
      </c>
      <c r="F392" s="83">
        <v>0</v>
      </c>
      <c r="G392" s="83">
        <f t="shared" si="16"/>
        <v>356.92</v>
      </c>
      <c r="I392" s="85">
        <v>356</v>
      </c>
      <c r="J392" s="83">
        <f t="shared" si="17"/>
        <v>231.05</v>
      </c>
      <c r="K392" s="83">
        <f t="shared" si="18"/>
        <v>10.62</v>
      </c>
      <c r="L392" s="83">
        <f t="shared" si="19"/>
        <v>220.43</v>
      </c>
      <c r="M392" s="83">
        <f t="shared" si="20"/>
        <v>3526.9200000004362</v>
      </c>
      <c r="N392" s="83">
        <v>0</v>
      </c>
      <c r="O392" s="83">
        <f t="shared" si="21"/>
        <v>231.05</v>
      </c>
    </row>
    <row r="393" spans="1:15" ht="15" customHeight="1" x14ac:dyDescent="0.35">
      <c r="A393" s="7">
        <v>357</v>
      </c>
      <c r="B393" s="67">
        <f t="shared" si="12"/>
        <v>356.92</v>
      </c>
      <c r="C393" s="67">
        <f t="shared" si="13"/>
        <v>15.8</v>
      </c>
      <c r="D393" s="67">
        <f t="shared" si="14"/>
        <v>341.12</v>
      </c>
      <c r="E393" s="67">
        <f t="shared" si="15"/>
        <v>5234.3700000000554</v>
      </c>
      <c r="F393" s="83">
        <v>0</v>
      </c>
      <c r="G393" s="83">
        <f t="shared" si="16"/>
        <v>356.92</v>
      </c>
      <c r="I393" s="85">
        <v>357</v>
      </c>
      <c r="J393" s="83">
        <f t="shared" si="17"/>
        <v>230.42000000000002</v>
      </c>
      <c r="K393" s="83">
        <f t="shared" si="18"/>
        <v>9.99</v>
      </c>
      <c r="L393" s="83">
        <f t="shared" si="19"/>
        <v>220.43</v>
      </c>
      <c r="M393" s="83">
        <f t="shared" si="20"/>
        <v>3306.4900000004363</v>
      </c>
      <c r="N393" s="83">
        <v>0</v>
      </c>
      <c r="O393" s="83">
        <f t="shared" si="21"/>
        <v>230.42000000000002</v>
      </c>
    </row>
    <row r="394" spans="1:15" ht="15" customHeight="1" x14ac:dyDescent="0.35">
      <c r="A394" s="7">
        <v>358</v>
      </c>
      <c r="B394" s="67">
        <f t="shared" si="12"/>
        <v>356.92</v>
      </c>
      <c r="C394" s="67">
        <f t="shared" si="13"/>
        <v>14.83</v>
      </c>
      <c r="D394" s="67">
        <f t="shared" si="14"/>
        <v>342.09000000000003</v>
      </c>
      <c r="E394" s="67">
        <f t="shared" si="15"/>
        <v>4892.2800000000552</v>
      </c>
      <c r="F394" s="83">
        <v>0</v>
      </c>
      <c r="G394" s="83">
        <f t="shared" si="16"/>
        <v>356.92</v>
      </c>
      <c r="I394" s="85">
        <v>358</v>
      </c>
      <c r="J394" s="83">
        <f t="shared" si="17"/>
        <v>229.8</v>
      </c>
      <c r="K394" s="83">
        <f t="shared" si="18"/>
        <v>9.3699999999999992</v>
      </c>
      <c r="L394" s="83">
        <f t="shared" si="19"/>
        <v>220.43</v>
      </c>
      <c r="M394" s="83">
        <f t="shared" si="20"/>
        <v>3086.0600000004365</v>
      </c>
      <c r="N394" s="83">
        <v>0</v>
      </c>
      <c r="O394" s="83">
        <f t="shared" si="21"/>
        <v>229.8</v>
      </c>
    </row>
    <row r="395" spans="1:15" ht="15" customHeight="1" x14ac:dyDescent="0.35">
      <c r="A395" s="7">
        <v>359</v>
      </c>
      <c r="B395" s="67">
        <f t="shared" si="12"/>
        <v>356.92</v>
      </c>
      <c r="C395" s="67">
        <f t="shared" si="13"/>
        <v>13.86</v>
      </c>
      <c r="D395" s="67">
        <f t="shared" si="14"/>
        <v>343.06</v>
      </c>
      <c r="E395" s="67">
        <f t="shared" si="15"/>
        <v>4549.2200000000548</v>
      </c>
      <c r="F395" s="83">
        <v>0</v>
      </c>
      <c r="G395" s="83">
        <f t="shared" si="16"/>
        <v>356.92</v>
      </c>
      <c r="I395" s="85">
        <v>359</v>
      </c>
      <c r="J395" s="83">
        <f t="shared" si="17"/>
        <v>229.17000000000002</v>
      </c>
      <c r="K395" s="83">
        <f t="shared" si="18"/>
        <v>8.74</v>
      </c>
      <c r="L395" s="83">
        <f t="shared" si="19"/>
        <v>220.43</v>
      </c>
      <c r="M395" s="83">
        <f t="shared" si="20"/>
        <v>2865.6300000004367</v>
      </c>
      <c r="N395" s="83"/>
      <c r="O395" s="83">
        <f t="shared" si="21"/>
        <v>229.17000000000002</v>
      </c>
    </row>
    <row r="396" spans="1:15" ht="15" customHeight="1" x14ac:dyDescent="0.35">
      <c r="A396" s="7">
        <v>360</v>
      </c>
      <c r="B396" s="67">
        <f t="shared" si="12"/>
        <v>356.92</v>
      </c>
      <c r="C396" s="67">
        <f t="shared" si="13"/>
        <v>12.89</v>
      </c>
      <c r="D396" s="67">
        <f t="shared" si="14"/>
        <v>344.03000000000003</v>
      </c>
      <c r="E396" s="67">
        <f t="shared" si="15"/>
        <v>4205.1900000000551</v>
      </c>
      <c r="F396" s="83">
        <v>0</v>
      </c>
      <c r="G396" s="83">
        <f t="shared" si="16"/>
        <v>356.92</v>
      </c>
      <c r="I396" s="85">
        <v>360</v>
      </c>
      <c r="J396" s="83">
        <f t="shared" si="17"/>
        <v>228.55</v>
      </c>
      <c r="K396" s="83">
        <f t="shared" si="18"/>
        <v>8.1199999999999992</v>
      </c>
      <c r="L396" s="83">
        <f t="shared" si="19"/>
        <v>220.43</v>
      </c>
      <c r="M396" s="83">
        <f t="shared" si="20"/>
        <v>2645.2000000004368</v>
      </c>
      <c r="N396" s="83"/>
      <c r="O396" s="83">
        <f t="shared" si="21"/>
        <v>228.55</v>
      </c>
    </row>
    <row r="397" spans="1:15" ht="15" customHeight="1" x14ac:dyDescent="0.35">
      <c r="A397" s="7">
        <v>361</v>
      </c>
      <c r="B397" s="67">
        <f t="shared" si="12"/>
        <v>356.92</v>
      </c>
      <c r="C397" s="67">
        <f t="shared" si="13"/>
        <v>11.91</v>
      </c>
      <c r="D397" s="67">
        <f t="shared" si="14"/>
        <v>345.01</v>
      </c>
      <c r="E397" s="67">
        <f t="shared" si="15"/>
        <v>3860.1800000000549</v>
      </c>
      <c r="F397" s="83">
        <v>0</v>
      </c>
      <c r="G397" s="83">
        <f t="shared" si="16"/>
        <v>356.92</v>
      </c>
      <c r="I397" s="85">
        <v>361</v>
      </c>
      <c r="J397" s="83">
        <f t="shared" si="17"/>
        <v>227.92000000000002</v>
      </c>
      <c r="K397" s="83">
        <f t="shared" si="18"/>
        <v>7.49</v>
      </c>
      <c r="L397" s="83">
        <f t="shared" si="19"/>
        <v>220.43</v>
      </c>
      <c r="M397" s="83">
        <f t="shared" si="20"/>
        <v>2424.770000000437</v>
      </c>
      <c r="N397" s="83"/>
      <c r="O397" s="83">
        <f t="shared" si="21"/>
        <v>227.92000000000002</v>
      </c>
    </row>
    <row r="398" spans="1:15" ht="15" customHeight="1" x14ac:dyDescent="0.35">
      <c r="A398" s="7">
        <v>362</v>
      </c>
      <c r="B398" s="67">
        <f t="shared" si="12"/>
        <v>356.92</v>
      </c>
      <c r="C398" s="67">
        <f t="shared" si="13"/>
        <v>10.94</v>
      </c>
      <c r="D398" s="67">
        <f t="shared" si="14"/>
        <v>345.98</v>
      </c>
      <c r="E398" s="67">
        <f t="shared" si="15"/>
        <v>3514.2000000000548</v>
      </c>
      <c r="F398" s="83">
        <v>0</v>
      </c>
      <c r="G398" s="83">
        <f t="shared" si="16"/>
        <v>356.92</v>
      </c>
      <c r="I398" s="85">
        <v>362</v>
      </c>
      <c r="J398" s="83">
        <f t="shared" si="17"/>
        <v>227.3</v>
      </c>
      <c r="K398" s="83">
        <f t="shared" si="18"/>
        <v>6.87</v>
      </c>
      <c r="L398" s="83">
        <f t="shared" si="19"/>
        <v>220.43</v>
      </c>
      <c r="M398" s="83">
        <f t="shared" si="20"/>
        <v>2204.3400000004372</v>
      </c>
      <c r="N398" s="83"/>
      <c r="O398" s="83">
        <f t="shared" si="21"/>
        <v>227.3</v>
      </c>
    </row>
    <row r="399" spans="1:15" ht="15" customHeight="1" x14ac:dyDescent="0.35">
      <c r="A399" s="7">
        <v>363</v>
      </c>
      <c r="B399" s="67">
        <f t="shared" si="12"/>
        <v>356.92</v>
      </c>
      <c r="C399" s="67">
        <f t="shared" si="13"/>
        <v>9.9600000000000009</v>
      </c>
      <c r="D399" s="67">
        <f t="shared" si="14"/>
        <v>346.96000000000004</v>
      </c>
      <c r="E399" s="67">
        <f t="shared" si="15"/>
        <v>3167.2400000000548</v>
      </c>
      <c r="F399" s="83">
        <v>0</v>
      </c>
      <c r="G399" s="83">
        <f t="shared" si="16"/>
        <v>356.92</v>
      </c>
      <c r="I399" s="85">
        <v>363</v>
      </c>
      <c r="J399" s="83">
        <f t="shared" si="17"/>
        <v>226.68</v>
      </c>
      <c r="K399" s="83">
        <f t="shared" si="18"/>
        <v>6.25</v>
      </c>
      <c r="L399" s="83">
        <f t="shared" si="19"/>
        <v>220.43</v>
      </c>
      <c r="M399" s="83">
        <f t="shared" si="20"/>
        <v>1983.9100000004371</v>
      </c>
      <c r="N399" s="83"/>
      <c r="O399" s="83">
        <f t="shared" si="21"/>
        <v>226.68</v>
      </c>
    </row>
    <row r="400" spans="1:15" ht="15" customHeight="1" x14ac:dyDescent="0.35">
      <c r="A400" s="7">
        <v>364</v>
      </c>
      <c r="B400" s="67">
        <f t="shared" si="12"/>
        <v>356.92</v>
      </c>
      <c r="C400" s="67">
        <f t="shared" si="13"/>
        <v>8.9700000000000006</v>
      </c>
      <c r="D400" s="67">
        <f t="shared" si="14"/>
        <v>347.95</v>
      </c>
      <c r="E400" s="67">
        <f t="shared" si="15"/>
        <v>2819.290000000055</v>
      </c>
      <c r="F400" s="83">
        <v>0</v>
      </c>
      <c r="G400" s="83">
        <f t="shared" si="16"/>
        <v>356.92</v>
      </c>
      <c r="I400" s="85">
        <v>364</v>
      </c>
      <c r="J400" s="83">
        <f t="shared" si="17"/>
        <v>226.05</v>
      </c>
      <c r="K400" s="83">
        <f t="shared" si="18"/>
        <v>5.62</v>
      </c>
      <c r="L400" s="83">
        <f t="shared" si="19"/>
        <v>220.43</v>
      </c>
      <c r="M400" s="83">
        <f t="shared" si="20"/>
        <v>1763.480000000437</v>
      </c>
      <c r="N400" s="83"/>
      <c r="O400" s="83">
        <f t="shared" si="21"/>
        <v>226.05</v>
      </c>
    </row>
    <row r="401" spans="1:15" ht="15" customHeight="1" x14ac:dyDescent="0.35">
      <c r="A401" s="7">
        <v>365</v>
      </c>
      <c r="B401" s="67">
        <f t="shared" si="12"/>
        <v>356.92</v>
      </c>
      <c r="C401" s="67">
        <f t="shared" si="13"/>
        <v>7.99</v>
      </c>
      <c r="D401" s="67">
        <f t="shared" si="14"/>
        <v>348.93</v>
      </c>
      <c r="E401" s="67">
        <f t="shared" si="15"/>
        <v>2470.3600000000552</v>
      </c>
      <c r="F401" s="83">
        <v>0</v>
      </c>
      <c r="G401" s="83">
        <f t="shared" si="16"/>
        <v>356.92</v>
      </c>
      <c r="I401" s="85">
        <v>365</v>
      </c>
      <c r="J401" s="83">
        <f t="shared" si="17"/>
        <v>225.43</v>
      </c>
      <c r="K401" s="83">
        <f t="shared" si="18"/>
        <v>5</v>
      </c>
      <c r="L401" s="83">
        <f t="shared" si="19"/>
        <v>220.43</v>
      </c>
      <c r="M401" s="83">
        <f t="shared" si="20"/>
        <v>1543.050000000437</v>
      </c>
      <c r="N401" s="83"/>
      <c r="O401" s="83">
        <f t="shared" si="21"/>
        <v>225.43</v>
      </c>
    </row>
    <row r="402" spans="1:15" ht="15" customHeight="1" x14ac:dyDescent="0.35">
      <c r="A402" s="7">
        <v>366</v>
      </c>
      <c r="B402" s="67">
        <f t="shared" si="12"/>
        <v>356.92</v>
      </c>
      <c r="C402" s="67">
        <f t="shared" si="13"/>
        <v>7</v>
      </c>
      <c r="D402" s="67">
        <f t="shared" si="14"/>
        <v>349.92</v>
      </c>
      <c r="E402" s="67">
        <f t="shared" si="15"/>
        <v>2120.4400000000551</v>
      </c>
      <c r="F402" s="83">
        <v>0</v>
      </c>
      <c r="G402" s="83">
        <f t="shared" si="16"/>
        <v>356.92</v>
      </c>
      <c r="I402" s="85">
        <v>366</v>
      </c>
      <c r="J402" s="83">
        <f t="shared" si="17"/>
        <v>224.8</v>
      </c>
      <c r="K402" s="83">
        <f t="shared" si="18"/>
        <v>4.37</v>
      </c>
      <c r="L402" s="83">
        <f t="shared" si="19"/>
        <v>220.43</v>
      </c>
      <c r="M402" s="83">
        <f t="shared" si="20"/>
        <v>1322.6200000004369</v>
      </c>
      <c r="N402" s="83"/>
      <c r="O402" s="83">
        <f t="shared" si="21"/>
        <v>224.8</v>
      </c>
    </row>
    <row r="403" spans="1:15" ht="15" customHeight="1" x14ac:dyDescent="0.35">
      <c r="A403" s="7">
        <v>367</v>
      </c>
      <c r="B403" s="67">
        <f t="shared" si="12"/>
        <v>356.92</v>
      </c>
      <c r="C403" s="67">
        <f t="shared" si="13"/>
        <v>6.01</v>
      </c>
      <c r="D403" s="67">
        <f t="shared" si="14"/>
        <v>350.91</v>
      </c>
      <c r="E403" s="67">
        <f t="shared" si="15"/>
        <v>1769.530000000055</v>
      </c>
      <c r="F403" s="83">
        <v>0</v>
      </c>
      <c r="G403" s="83">
        <f t="shared" si="16"/>
        <v>356.92</v>
      </c>
      <c r="I403" s="85">
        <v>367</v>
      </c>
      <c r="J403" s="83">
        <f t="shared" si="17"/>
        <v>224.18</v>
      </c>
      <c r="K403" s="83">
        <f t="shared" si="18"/>
        <v>3.75</v>
      </c>
      <c r="L403" s="83">
        <f t="shared" si="19"/>
        <v>220.43</v>
      </c>
      <c r="M403" s="83">
        <f t="shared" si="20"/>
        <v>1102.1900000004368</v>
      </c>
      <c r="N403" s="83"/>
      <c r="O403" s="83">
        <f t="shared" si="21"/>
        <v>224.18</v>
      </c>
    </row>
    <row r="404" spans="1:15" ht="15" customHeight="1" x14ac:dyDescent="0.35">
      <c r="A404" s="7">
        <v>368</v>
      </c>
      <c r="B404" s="67">
        <f t="shared" si="12"/>
        <v>356.92</v>
      </c>
      <c r="C404" s="67">
        <f t="shared" si="13"/>
        <v>5.01</v>
      </c>
      <c r="D404" s="67">
        <f t="shared" si="14"/>
        <v>351.91</v>
      </c>
      <c r="E404" s="67">
        <f t="shared" si="15"/>
        <v>1417.6200000000549</v>
      </c>
      <c r="F404" s="83">
        <v>0</v>
      </c>
      <c r="G404" s="83">
        <f t="shared" si="16"/>
        <v>356.92</v>
      </c>
      <c r="I404" s="85">
        <v>368</v>
      </c>
      <c r="J404" s="83">
        <f t="shared" si="17"/>
        <v>223.55</v>
      </c>
      <c r="K404" s="83">
        <f t="shared" si="18"/>
        <v>3.12</v>
      </c>
      <c r="L404" s="83">
        <f t="shared" si="19"/>
        <v>220.43</v>
      </c>
      <c r="M404" s="83">
        <f t="shared" si="20"/>
        <v>881.76000000043678</v>
      </c>
      <c r="N404" s="83"/>
      <c r="O404" s="83">
        <f t="shared" si="21"/>
        <v>223.55</v>
      </c>
    </row>
    <row r="405" spans="1:15" ht="15" customHeight="1" x14ac:dyDescent="0.35">
      <c r="A405" s="7">
        <v>369</v>
      </c>
      <c r="B405" s="67">
        <f t="shared" si="12"/>
        <v>356.92</v>
      </c>
      <c r="C405" s="67">
        <f t="shared" si="13"/>
        <v>4.0199999999999996</v>
      </c>
      <c r="D405" s="67">
        <f t="shared" si="14"/>
        <v>352.90000000000003</v>
      </c>
      <c r="E405" s="67">
        <f t="shared" si="15"/>
        <v>1064.7200000000548</v>
      </c>
      <c r="F405" s="83">
        <v>0</v>
      </c>
      <c r="G405" s="83">
        <f t="shared" si="16"/>
        <v>356.92</v>
      </c>
      <c r="I405" s="85">
        <v>369</v>
      </c>
      <c r="J405" s="83">
        <f t="shared" si="17"/>
        <v>222.93</v>
      </c>
      <c r="K405" s="83">
        <f t="shared" si="18"/>
        <v>2.5</v>
      </c>
      <c r="L405" s="83">
        <f t="shared" si="19"/>
        <v>220.43</v>
      </c>
      <c r="M405" s="83">
        <f t="shared" si="20"/>
        <v>661.33000000043671</v>
      </c>
      <c r="N405" s="83"/>
      <c r="O405" s="83">
        <f t="shared" si="21"/>
        <v>222.93</v>
      </c>
    </row>
    <row r="406" spans="1:15" ht="15" customHeight="1" x14ac:dyDescent="0.35">
      <c r="A406" s="7">
        <v>370</v>
      </c>
      <c r="B406" s="67">
        <f t="shared" si="12"/>
        <v>356.92</v>
      </c>
      <c r="C406" s="67">
        <f t="shared" si="13"/>
        <v>3.02</v>
      </c>
      <c r="D406" s="67">
        <f t="shared" si="14"/>
        <v>353.90000000000003</v>
      </c>
      <c r="E406" s="67">
        <f t="shared" si="15"/>
        <v>710.82000000005473</v>
      </c>
      <c r="F406" s="83">
        <v>0</v>
      </c>
      <c r="G406" s="83">
        <f t="shared" si="16"/>
        <v>356.92</v>
      </c>
      <c r="I406" s="85">
        <v>370</v>
      </c>
      <c r="J406" s="83">
        <f t="shared" si="17"/>
        <v>222.3</v>
      </c>
      <c r="K406" s="83">
        <f t="shared" si="18"/>
        <v>1.87</v>
      </c>
      <c r="L406" s="83">
        <f t="shared" si="19"/>
        <v>220.43</v>
      </c>
      <c r="M406" s="83">
        <f t="shared" si="20"/>
        <v>440.90000000043671</v>
      </c>
      <c r="N406" s="83"/>
      <c r="O406" s="83">
        <f t="shared" si="21"/>
        <v>222.3</v>
      </c>
    </row>
    <row r="407" spans="1:15" ht="15" customHeight="1" x14ac:dyDescent="0.35">
      <c r="A407" s="7">
        <v>371</v>
      </c>
      <c r="B407" s="67">
        <f t="shared" si="12"/>
        <v>356.92</v>
      </c>
      <c r="C407" s="67">
        <f t="shared" si="13"/>
        <v>2.0099999999999998</v>
      </c>
      <c r="D407" s="67">
        <f t="shared" si="14"/>
        <v>354.91</v>
      </c>
      <c r="E407" s="67">
        <f t="shared" si="15"/>
        <v>355.91000000005471</v>
      </c>
      <c r="F407" s="83">
        <v>0</v>
      </c>
      <c r="G407" s="83">
        <f t="shared" si="16"/>
        <v>356.92</v>
      </c>
      <c r="I407" s="85">
        <v>371</v>
      </c>
      <c r="J407" s="83">
        <f t="shared" si="17"/>
        <v>221.68</v>
      </c>
      <c r="K407" s="83">
        <f t="shared" si="18"/>
        <v>1.25</v>
      </c>
      <c r="L407" s="83">
        <f t="shared" si="19"/>
        <v>220.43</v>
      </c>
      <c r="M407" s="83">
        <f t="shared" si="20"/>
        <v>220.4700000004367</v>
      </c>
      <c r="N407" s="83"/>
      <c r="O407" s="83">
        <f t="shared" si="21"/>
        <v>221.68</v>
      </c>
    </row>
    <row r="408" spans="1:15" ht="15" customHeight="1" x14ac:dyDescent="0.35">
      <c r="A408" s="7">
        <v>372</v>
      </c>
      <c r="B408" s="67">
        <f t="shared" si="12"/>
        <v>356.92</v>
      </c>
      <c r="C408" s="67">
        <f t="shared" si="13"/>
        <v>1.01</v>
      </c>
      <c r="D408" s="67">
        <f t="shared" si="14"/>
        <v>355.91</v>
      </c>
      <c r="E408" s="67">
        <f t="shared" si="15"/>
        <v>5.468336894409731E-11</v>
      </c>
      <c r="F408" s="83">
        <v>0</v>
      </c>
      <c r="G408" s="83">
        <f t="shared" si="16"/>
        <v>356.92</v>
      </c>
      <c r="I408" s="85">
        <v>372</v>
      </c>
      <c r="J408" s="83">
        <f t="shared" si="17"/>
        <v>221.05</v>
      </c>
      <c r="K408" s="83">
        <f t="shared" si="18"/>
        <v>0.62</v>
      </c>
      <c r="L408" s="83">
        <f t="shared" si="19"/>
        <v>220.43</v>
      </c>
      <c r="M408" s="83">
        <f t="shared" si="20"/>
        <v>4.0000000436691607E-2</v>
      </c>
      <c r="N408" s="83"/>
      <c r="O408" s="83">
        <f t="shared" si="21"/>
        <v>221.05</v>
      </c>
    </row>
    <row r="409" spans="1:15" ht="15" customHeight="1" x14ac:dyDescent="0.35">
      <c r="A409" s="12"/>
      <c r="B409" s="59">
        <f t="shared" ref="B409:D409" si="22">SUM(B37:B408)</f>
        <v>132774.2399999995</v>
      </c>
      <c r="C409" s="59">
        <f t="shared" si="22"/>
        <v>50774.240000000034</v>
      </c>
      <c r="D409" s="59">
        <f t="shared" si="22"/>
        <v>82000.000000000044</v>
      </c>
      <c r="E409" s="86"/>
      <c r="F409" s="59">
        <f t="shared" ref="F409:G409" si="23">SUM(F37:F408)</f>
        <v>10921.800000000007</v>
      </c>
      <c r="G409" s="59">
        <f t="shared" si="23"/>
        <v>121852.43999999949</v>
      </c>
      <c r="J409" s="59">
        <f t="shared" ref="J409:L409" si="24">SUM(J37:J408)</f>
        <v>125330.12999999993</v>
      </c>
      <c r="K409" s="59">
        <f t="shared" si="24"/>
        <v>43330.170000000006</v>
      </c>
      <c r="L409" s="59">
        <f t="shared" si="24"/>
        <v>81999.959999999555</v>
      </c>
      <c r="M409" s="59"/>
      <c r="N409" s="59">
        <f t="shared" ref="N409:O409" si="25">SUM(N37:N408)</f>
        <v>13290.79</v>
      </c>
      <c r="O409" s="59">
        <f t="shared" si="25"/>
        <v>112039.33999999985</v>
      </c>
    </row>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sheetData>
  <mergeCells count="1">
    <mergeCell ref="A1:K6"/>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93"/>
  <sheetViews>
    <sheetView workbookViewId="0">
      <selection activeCell="A2" sqref="A2"/>
    </sheetView>
  </sheetViews>
  <sheetFormatPr defaultColWidth="14.453125" defaultRowHeight="15" customHeight="1" x14ac:dyDescent="0.35"/>
  <cols>
    <col min="1" max="1" width="7.453125" customWidth="1"/>
    <col min="2" max="2" width="12.36328125" customWidth="1"/>
    <col min="3" max="26" width="8.6328125" customWidth="1"/>
  </cols>
  <sheetData>
    <row r="1" spans="1:5" ht="15" customHeight="1" x14ac:dyDescent="0.35">
      <c r="A1" s="87" t="s">
        <v>269</v>
      </c>
    </row>
    <row r="2" spans="1:5" ht="15" customHeight="1" x14ac:dyDescent="0.35">
      <c r="A2" s="87" t="s">
        <v>245</v>
      </c>
    </row>
    <row r="3" spans="1:5" ht="15" customHeight="1" x14ac:dyDescent="0.35">
      <c r="A3" s="87" t="s">
        <v>246</v>
      </c>
    </row>
    <row r="4" spans="1:5" ht="15" customHeight="1" x14ac:dyDescent="0.35">
      <c r="A4" s="87" t="s">
        <v>141</v>
      </c>
    </row>
    <row r="5" spans="1:5" ht="15" customHeight="1" x14ac:dyDescent="0.35">
      <c r="A5" s="87" t="s">
        <v>247</v>
      </c>
    </row>
    <row r="6" spans="1:5" ht="15" customHeight="1" x14ac:dyDescent="0.35">
      <c r="A6" s="87" t="s">
        <v>248</v>
      </c>
    </row>
    <row r="11" spans="1:5" ht="15" customHeight="1" x14ac:dyDescent="0.35">
      <c r="A11" s="88" t="s">
        <v>142</v>
      </c>
      <c r="B11" s="88" t="s">
        <v>249</v>
      </c>
    </row>
    <row r="12" spans="1:5" ht="15" customHeight="1" x14ac:dyDescent="0.35">
      <c r="A12" s="7">
        <v>2002</v>
      </c>
      <c r="B12" s="7">
        <v>36519</v>
      </c>
    </row>
    <row r="13" spans="1:5" ht="15" customHeight="1" x14ac:dyDescent="0.35">
      <c r="A13" s="7">
        <v>2003</v>
      </c>
      <c r="B13" s="89">
        <f t="shared" ref="B13:B38" si="0">B12+290</f>
        <v>36809</v>
      </c>
      <c r="D13" s="3" t="s">
        <v>143</v>
      </c>
      <c r="E13" s="24">
        <v>2015</v>
      </c>
    </row>
    <row r="14" spans="1:5" ht="15" customHeight="1" x14ac:dyDescent="0.35">
      <c r="A14" s="7">
        <v>2004</v>
      </c>
      <c r="B14" s="89">
        <f t="shared" si="0"/>
        <v>37099</v>
      </c>
    </row>
    <row r="15" spans="1:5" ht="15" customHeight="1" x14ac:dyDescent="0.35">
      <c r="A15" s="7">
        <v>2005</v>
      </c>
      <c r="B15" s="89">
        <f t="shared" si="0"/>
        <v>37389</v>
      </c>
    </row>
    <row r="16" spans="1:5" ht="15" customHeight="1" x14ac:dyDescent="0.35">
      <c r="A16" s="7">
        <v>2006</v>
      </c>
      <c r="B16" s="89">
        <f t="shared" si="0"/>
        <v>37679</v>
      </c>
      <c r="D16" s="3" t="s">
        <v>144</v>
      </c>
    </row>
    <row r="17" spans="1:2" ht="15" customHeight="1" x14ac:dyDescent="0.35">
      <c r="A17" s="7">
        <v>2007</v>
      </c>
      <c r="B17" s="89">
        <f t="shared" si="0"/>
        <v>37969</v>
      </c>
    </row>
    <row r="18" spans="1:2" ht="15" customHeight="1" x14ac:dyDescent="0.35">
      <c r="A18" s="7">
        <v>2008</v>
      </c>
      <c r="B18" s="89">
        <f t="shared" si="0"/>
        <v>38259</v>
      </c>
    </row>
    <row r="19" spans="1:2" ht="15" customHeight="1" x14ac:dyDescent="0.35">
      <c r="A19" s="7">
        <v>2009</v>
      </c>
      <c r="B19" s="89">
        <f t="shared" si="0"/>
        <v>38549</v>
      </c>
    </row>
    <row r="20" spans="1:2" ht="15" customHeight="1" x14ac:dyDescent="0.35">
      <c r="A20" s="7">
        <v>2010</v>
      </c>
      <c r="B20" s="89">
        <f t="shared" si="0"/>
        <v>38839</v>
      </c>
    </row>
    <row r="21" spans="1:2" ht="15" customHeight="1" x14ac:dyDescent="0.35">
      <c r="A21" s="7">
        <v>2011</v>
      </c>
      <c r="B21" s="89">
        <f t="shared" si="0"/>
        <v>39129</v>
      </c>
    </row>
    <row r="22" spans="1:2" ht="15" customHeight="1" x14ac:dyDescent="0.35">
      <c r="A22" s="7">
        <v>2012</v>
      </c>
      <c r="B22" s="89">
        <f t="shared" si="0"/>
        <v>39419</v>
      </c>
    </row>
    <row r="23" spans="1:2" ht="15" customHeight="1" x14ac:dyDescent="0.35">
      <c r="A23" s="7">
        <v>2013</v>
      </c>
      <c r="B23" s="89">
        <f t="shared" si="0"/>
        <v>39709</v>
      </c>
    </row>
    <row r="24" spans="1:2" ht="15" customHeight="1" x14ac:dyDescent="0.35">
      <c r="A24" s="7">
        <v>2014</v>
      </c>
      <c r="B24" s="89">
        <f t="shared" si="0"/>
        <v>39999</v>
      </c>
    </row>
    <row r="25" spans="1:2" ht="15" customHeight="1" x14ac:dyDescent="0.35">
      <c r="A25" s="7">
        <v>2015</v>
      </c>
      <c r="B25" s="89">
        <f t="shared" si="0"/>
        <v>40289</v>
      </c>
    </row>
    <row r="26" spans="1:2" ht="15" customHeight="1" x14ac:dyDescent="0.35">
      <c r="A26" s="7">
        <v>2016</v>
      </c>
      <c r="B26" s="89">
        <f t="shared" si="0"/>
        <v>40579</v>
      </c>
    </row>
    <row r="27" spans="1:2" ht="15" customHeight="1" x14ac:dyDescent="0.35">
      <c r="A27" s="7">
        <v>2017</v>
      </c>
      <c r="B27" s="89">
        <f t="shared" si="0"/>
        <v>40869</v>
      </c>
    </row>
    <row r="28" spans="1:2" ht="15" customHeight="1" x14ac:dyDescent="0.35">
      <c r="A28" s="7">
        <v>2018</v>
      </c>
      <c r="B28" s="89">
        <f t="shared" si="0"/>
        <v>41159</v>
      </c>
    </row>
    <row r="29" spans="1:2" ht="15" customHeight="1" x14ac:dyDescent="0.35">
      <c r="A29" s="7">
        <v>2019</v>
      </c>
      <c r="B29" s="89">
        <f t="shared" si="0"/>
        <v>41449</v>
      </c>
    </row>
    <row r="30" spans="1:2" ht="15" customHeight="1" x14ac:dyDescent="0.35">
      <c r="A30" s="7">
        <v>2020</v>
      </c>
      <c r="B30" s="89">
        <f t="shared" si="0"/>
        <v>41739</v>
      </c>
    </row>
    <row r="31" spans="1:2" ht="15" customHeight="1" x14ac:dyDescent="0.35">
      <c r="A31" s="7">
        <v>2021</v>
      </c>
      <c r="B31" s="89">
        <f t="shared" si="0"/>
        <v>42029</v>
      </c>
    </row>
    <row r="32" spans="1:2" ht="15" customHeight="1" x14ac:dyDescent="0.35">
      <c r="A32" s="7">
        <v>2022</v>
      </c>
      <c r="B32" s="89">
        <f t="shared" si="0"/>
        <v>42319</v>
      </c>
    </row>
    <row r="33" spans="1:2" ht="15" customHeight="1" x14ac:dyDescent="0.35">
      <c r="A33" s="7">
        <v>2023</v>
      </c>
      <c r="B33" s="89">
        <f t="shared" si="0"/>
        <v>42609</v>
      </c>
    </row>
    <row r="34" spans="1:2" ht="15" customHeight="1" x14ac:dyDescent="0.35">
      <c r="A34" s="7">
        <v>2024</v>
      </c>
      <c r="B34" s="89">
        <f t="shared" si="0"/>
        <v>42899</v>
      </c>
    </row>
    <row r="35" spans="1:2" ht="15" customHeight="1" x14ac:dyDescent="0.35">
      <c r="A35" s="7">
        <v>2025</v>
      </c>
      <c r="B35" s="89">
        <f t="shared" si="0"/>
        <v>43189</v>
      </c>
    </row>
    <row r="36" spans="1:2" ht="15" customHeight="1" x14ac:dyDescent="0.35">
      <c r="A36" s="7">
        <v>2026</v>
      </c>
      <c r="B36" s="89">
        <f t="shared" si="0"/>
        <v>43479</v>
      </c>
    </row>
    <row r="37" spans="1:2" ht="15" customHeight="1" x14ac:dyDescent="0.35">
      <c r="A37" s="7">
        <v>2027</v>
      </c>
      <c r="B37" s="89">
        <f t="shared" si="0"/>
        <v>43769</v>
      </c>
    </row>
    <row r="38" spans="1:2" ht="15" customHeight="1" x14ac:dyDescent="0.35">
      <c r="A38" s="7">
        <v>2028</v>
      </c>
      <c r="B38" s="89">
        <f t="shared" si="0"/>
        <v>44059</v>
      </c>
    </row>
    <row r="39" spans="1:2" ht="15" customHeight="1" x14ac:dyDescent="0.35">
      <c r="A39" s="89">
        <v>2029</v>
      </c>
      <c r="B39" s="90">
        <f t="shared" ref="B39:B45" si="1">B38*1.0064</f>
        <v>44340.977599999998</v>
      </c>
    </row>
    <row r="40" spans="1:2" ht="15" customHeight="1" x14ac:dyDescent="0.35">
      <c r="A40" s="89">
        <v>2030</v>
      </c>
      <c r="B40" s="90">
        <f t="shared" si="1"/>
        <v>44624.759856639997</v>
      </c>
    </row>
    <row r="41" spans="1:2" ht="15" customHeight="1" x14ac:dyDescent="0.35">
      <c r="A41" s="89">
        <v>2031</v>
      </c>
      <c r="B41" s="90">
        <f t="shared" si="1"/>
        <v>44910.358319722494</v>
      </c>
    </row>
    <row r="42" spans="1:2" ht="15" customHeight="1" x14ac:dyDescent="0.35">
      <c r="A42" s="89">
        <v>2032</v>
      </c>
      <c r="B42" s="90">
        <f t="shared" si="1"/>
        <v>45197.784612968717</v>
      </c>
    </row>
    <row r="43" spans="1:2" ht="15" customHeight="1" x14ac:dyDescent="0.35">
      <c r="A43" s="89">
        <v>2033</v>
      </c>
      <c r="B43" s="90">
        <f t="shared" si="1"/>
        <v>45487.050434491714</v>
      </c>
    </row>
    <row r="44" spans="1:2" ht="15" customHeight="1" x14ac:dyDescent="0.35">
      <c r="A44" s="89">
        <v>2034</v>
      </c>
      <c r="B44" s="90">
        <f t="shared" si="1"/>
        <v>45778.167557272456</v>
      </c>
    </row>
    <row r="45" spans="1:2" ht="15" customHeight="1" x14ac:dyDescent="0.35">
      <c r="A45" s="89">
        <v>2035</v>
      </c>
      <c r="B45" s="90">
        <f t="shared" si="1"/>
        <v>46071.147829638998</v>
      </c>
    </row>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sheetData>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00"/>
  <sheetViews>
    <sheetView workbookViewId="0"/>
  </sheetViews>
  <sheetFormatPr defaultColWidth="14.453125" defaultRowHeight="15" customHeight="1" x14ac:dyDescent="0.35"/>
  <cols>
    <col min="1" max="1" width="8.6328125" customWidth="1"/>
    <col min="2" max="2" width="22.6328125" customWidth="1"/>
    <col min="3" max="3" width="17.36328125" customWidth="1"/>
    <col min="4" max="4" width="16.36328125" customWidth="1"/>
    <col min="5" max="26" width="8.6328125" customWidth="1"/>
  </cols>
  <sheetData>
    <row r="1" spans="1:4" ht="15" customHeight="1" x14ac:dyDescent="0.35">
      <c r="A1" s="19" t="s">
        <v>145</v>
      </c>
    </row>
    <row r="2" spans="1:4" ht="15" customHeight="1" x14ac:dyDescent="0.35">
      <c r="A2" s="19"/>
      <c r="D2" s="3" t="s">
        <v>146</v>
      </c>
    </row>
    <row r="3" spans="1:4" ht="15" customHeight="1" x14ac:dyDescent="0.35">
      <c r="A3" s="19" t="s">
        <v>147</v>
      </c>
    </row>
    <row r="4" spans="1:4" ht="15" customHeight="1" x14ac:dyDescent="0.35">
      <c r="A4" s="19"/>
    </row>
    <row r="5" spans="1:4" ht="15" customHeight="1" x14ac:dyDescent="0.35">
      <c r="A5" s="19" t="s">
        <v>148</v>
      </c>
    </row>
    <row r="6" spans="1:4" ht="15" customHeight="1" x14ac:dyDescent="0.35">
      <c r="A6" s="19"/>
    </row>
    <row r="7" spans="1:4" ht="15" customHeight="1" x14ac:dyDescent="0.35">
      <c r="A7" s="27" t="s">
        <v>149</v>
      </c>
      <c r="B7" s="88" t="s">
        <v>150</v>
      </c>
    </row>
    <row r="8" spans="1:4" ht="15" customHeight="1" x14ac:dyDescent="0.35">
      <c r="A8" s="28">
        <v>0</v>
      </c>
      <c r="B8" s="44">
        <f t="shared" ref="B8:B15" si="0">-4*A8^2+31*A8+485</f>
        <v>485</v>
      </c>
    </row>
    <row r="9" spans="1:4" ht="15" customHeight="1" x14ac:dyDescent="0.35">
      <c r="A9" s="28">
        <v>1</v>
      </c>
      <c r="B9" s="44">
        <f t="shared" si="0"/>
        <v>512</v>
      </c>
    </row>
    <row r="10" spans="1:4" ht="15" customHeight="1" x14ac:dyDescent="0.35">
      <c r="A10" s="28">
        <v>2</v>
      </c>
      <c r="B10" s="44">
        <f t="shared" si="0"/>
        <v>531</v>
      </c>
    </row>
    <row r="11" spans="1:4" ht="15" customHeight="1" x14ac:dyDescent="0.35">
      <c r="A11" s="28">
        <v>3</v>
      </c>
      <c r="B11" s="44">
        <f t="shared" si="0"/>
        <v>542</v>
      </c>
    </row>
    <row r="12" spans="1:4" ht="15" customHeight="1" x14ac:dyDescent="0.35">
      <c r="A12" s="28">
        <v>4</v>
      </c>
      <c r="B12" s="44">
        <f t="shared" si="0"/>
        <v>545</v>
      </c>
    </row>
    <row r="13" spans="1:4" ht="15" customHeight="1" x14ac:dyDescent="0.35">
      <c r="A13" s="28">
        <v>5</v>
      </c>
      <c r="B13" s="44">
        <f t="shared" si="0"/>
        <v>540</v>
      </c>
    </row>
    <row r="14" spans="1:4" ht="15" customHeight="1" x14ac:dyDescent="0.35">
      <c r="A14" s="7">
        <v>6</v>
      </c>
      <c r="B14" s="44">
        <f t="shared" si="0"/>
        <v>527</v>
      </c>
    </row>
    <row r="15" spans="1:4" ht="15" customHeight="1" x14ac:dyDescent="0.35">
      <c r="A15" s="7">
        <v>7</v>
      </c>
      <c r="B15" s="44">
        <f t="shared" si="0"/>
        <v>506</v>
      </c>
    </row>
    <row r="17" spans="1:2" ht="15" customHeight="1" x14ac:dyDescent="0.35">
      <c r="A17" s="19" t="s">
        <v>151</v>
      </c>
    </row>
    <row r="19" spans="1:2" ht="15" customHeight="1" x14ac:dyDescent="0.35">
      <c r="A19" s="3" t="s">
        <v>152</v>
      </c>
    </row>
    <row r="21" spans="1:2" ht="15" customHeight="1" x14ac:dyDescent="0.35">
      <c r="B21" s="24" t="s">
        <v>153</v>
      </c>
    </row>
    <row r="23" spans="1:2" ht="15" customHeight="1" x14ac:dyDescent="0.35">
      <c r="A23" s="3" t="s">
        <v>154</v>
      </c>
    </row>
    <row r="25" spans="1:2" ht="15" customHeight="1" x14ac:dyDescent="0.35">
      <c r="A25" s="19"/>
      <c r="B25" s="17">
        <f>B12</f>
        <v>545</v>
      </c>
    </row>
    <row r="27" spans="1:2" ht="15" customHeight="1" x14ac:dyDescent="0.35">
      <c r="A27" s="3" t="s">
        <v>155</v>
      </c>
    </row>
    <row r="29" spans="1:2" ht="15" customHeight="1" x14ac:dyDescent="0.35">
      <c r="B29" s="21">
        <f>B11/B8-1</f>
        <v>0.11752577319587632</v>
      </c>
    </row>
    <row r="31" spans="1:2" ht="15" customHeight="1" x14ac:dyDescent="0.35">
      <c r="A31" s="3" t="s">
        <v>156</v>
      </c>
    </row>
    <row r="32" spans="1:2" ht="15" customHeight="1" x14ac:dyDescent="0.35">
      <c r="A32" s="3" t="s">
        <v>130</v>
      </c>
      <c r="B32" s="24">
        <v>-4</v>
      </c>
    </row>
    <row r="33" spans="1:2" ht="15" customHeight="1" x14ac:dyDescent="0.35">
      <c r="A33" s="3" t="s">
        <v>157</v>
      </c>
      <c r="B33" s="24">
        <v>31</v>
      </c>
    </row>
    <row r="34" spans="1:2" ht="15" customHeight="1" x14ac:dyDescent="0.35">
      <c r="A34" s="3" t="s">
        <v>158</v>
      </c>
      <c r="B34" s="24">
        <v>485</v>
      </c>
    </row>
    <row r="35" spans="1:2" ht="15" customHeight="1" x14ac:dyDescent="0.35">
      <c r="A35" s="3" t="s">
        <v>159</v>
      </c>
      <c r="B35" s="24">
        <f>B33^2-4*B32*B34</f>
        <v>8721</v>
      </c>
    </row>
    <row r="37" spans="1:2" ht="15" customHeight="1" x14ac:dyDescent="0.35">
      <c r="A37" s="3" t="s">
        <v>160</v>
      </c>
    </row>
    <row r="39" spans="1:2" ht="15" customHeight="1" x14ac:dyDescent="0.35">
      <c r="A39" s="3" t="s">
        <v>161</v>
      </c>
      <c r="B39" s="91">
        <f>(-B33-SQRT(B35))/(2*B32)</f>
        <v>15.548286812205035</v>
      </c>
    </row>
    <row r="40" spans="1:2" ht="15" customHeight="1" x14ac:dyDescent="0.35">
      <c r="A40" s="3" t="s">
        <v>162</v>
      </c>
      <c r="B40" s="91">
        <f>(-B33+SQRT(B35))/(2*B32)</f>
        <v>-7.7982868122050348</v>
      </c>
    </row>
    <row r="42" spans="1:2" ht="15" customHeight="1" x14ac:dyDescent="0.35">
      <c r="A42" s="3" t="s">
        <v>163</v>
      </c>
    </row>
    <row r="44" spans="1:2" ht="15" customHeight="1" x14ac:dyDescent="0.35">
      <c r="B44" s="24" t="s">
        <v>164</v>
      </c>
    </row>
    <row r="46" spans="1:2" ht="15" customHeight="1" x14ac:dyDescent="0.35">
      <c r="A46" s="3" t="s">
        <v>165</v>
      </c>
    </row>
    <row r="48" spans="1:2" ht="15" customHeight="1" x14ac:dyDescent="0.35">
      <c r="B48" s="24" t="s">
        <v>166</v>
      </c>
    </row>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98"/>
  <sheetViews>
    <sheetView workbookViewId="0"/>
  </sheetViews>
  <sheetFormatPr defaultColWidth="14.453125" defaultRowHeight="15" customHeight="1" x14ac:dyDescent="0.35"/>
  <cols>
    <col min="1" max="1" width="14.453125" customWidth="1"/>
    <col min="2" max="2" width="21.6328125" customWidth="1"/>
    <col min="3" max="3" width="16.6328125" customWidth="1"/>
    <col min="4" max="4" width="15" customWidth="1"/>
    <col min="5" max="26" width="8.6328125" customWidth="1"/>
  </cols>
  <sheetData>
    <row r="1" spans="1:6" ht="15" customHeight="1" x14ac:dyDescent="0.35">
      <c r="A1" s="87" t="s">
        <v>229</v>
      </c>
    </row>
    <row r="2" spans="1:6" ht="15" customHeight="1" x14ac:dyDescent="0.35">
      <c r="A2" s="87" t="s">
        <v>219</v>
      </c>
    </row>
    <row r="3" spans="1:6" ht="15" customHeight="1" x14ac:dyDescent="0.35">
      <c r="A3" s="87" t="s">
        <v>250</v>
      </c>
    </row>
    <row r="4" spans="1:6" ht="15" customHeight="1" x14ac:dyDescent="0.35">
      <c r="A4" s="87" t="s">
        <v>251</v>
      </c>
    </row>
    <row r="5" spans="1:6" ht="15" customHeight="1" x14ac:dyDescent="0.35">
      <c r="A5" s="87" t="s">
        <v>252</v>
      </c>
    </row>
    <row r="6" spans="1:6" ht="15" customHeight="1" x14ac:dyDescent="0.35">
      <c r="A6" s="87" t="s">
        <v>253</v>
      </c>
    </row>
    <row r="10" spans="1:6" ht="15" customHeight="1" x14ac:dyDescent="0.35">
      <c r="A10" s="222" t="s">
        <v>220</v>
      </c>
      <c r="B10" s="222" t="s">
        <v>221</v>
      </c>
      <c r="C10" s="222" t="s">
        <v>222</v>
      </c>
    </row>
    <row r="11" spans="1:6" ht="15" customHeight="1" x14ac:dyDescent="0.35">
      <c r="A11" s="223"/>
      <c r="B11" s="223"/>
      <c r="C11" s="223"/>
      <c r="F11" s="3" t="s">
        <v>223</v>
      </c>
    </row>
    <row r="12" spans="1:6" ht="15" customHeight="1" x14ac:dyDescent="0.35">
      <c r="A12" s="28">
        <v>1</v>
      </c>
      <c r="B12" s="7">
        <v>430</v>
      </c>
      <c r="C12" s="28">
        <v>150000</v>
      </c>
    </row>
    <row r="13" spans="1:6" ht="15" customHeight="1" x14ac:dyDescent="0.35">
      <c r="A13" s="28">
        <v>2</v>
      </c>
      <c r="B13" s="7">
        <v>430</v>
      </c>
      <c r="C13" s="28">
        <v>155000</v>
      </c>
    </row>
    <row r="14" spans="1:6" ht="15" customHeight="1" x14ac:dyDescent="0.35">
      <c r="A14" s="28">
        <v>3</v>
      </c>
      <c r="B14" s="7">
        <v>465</v>
      </c>
      <c r="C14" s="28">
        <v>166000</v>
      </c>
    </row>
    <row r="15" spans="1:6" ht="15" customHeight="1" x14ac:dyDescent="0.35">
      <c r="A15" s="28">
        <v>4</v>
      </c>
      <c r="B15" s="7">
        <v>370</v>
      </c>
      <c r="C15" s="28">
        <v>110500</v>
      </c>
    </row>
    <row r="16" spans="1:6" ht="15" customHeight="1" x14ac:dyDescent="0.35">
      <c r="A16" s="28">
        <v>5</v>
      </c>
      <c r="B16" s="7">
        <v>720</v>
      </c>
      <c r="C16" s="28">
        <v>390000</v>
      </c>
    </row>
    <row r="17" spans="1:3" ht="15" customHeight="1" x14ac:dyDescent="0.35">
      <c r="A17" s="28">
        <v>6</v>
      </c>
      <c r="B17" s="7">
        <v>550</v>
      </c>
      <c r="C17" s="28">
        <v>170500</v>
      </c>
    </row>
    <row r="18" spans="1:3" ht="15" customHeight="1" x14ac:dyDescent="0.35">
      <c r="A18" s="28">
        <v>7</v>
      </c>
      <c r="B18" s="7">
        <v>350</v>
      </c>
      <c r="C18" s="28">
        <v>139000</v>
      </c>
    </row>
    <row r="19" spans="1:3" ht="15" customHeight="1" x14ac:dyDescent="0.35">
      <c r="A19" s="28">
        <v>8</v>
      </c>
      <c r="B19" s="7">
        <v>180</v>
      </c>
      <c r="C19" s="28">
        <v>140000</v>
      </c>
    </row>
    <row r="20" spans="1:3" ht="15" customHeight="1" x14ac:dyDescent="0.35">
      <c r="A20" s="28">
        <v>9</v>
      </c>
      <c r="B20" s="7">
        <v>320</v>
      </c>
      <c r="C20" s="28">
        <v>105050</v>
      </c>
    </row>
    <row r="21" spans="1:3" ht="15" customHeight="1" x14ac:dyDescent="0.35">
      <c r="A21" s="28">
        <v>10</v>
      </c>
      <c r="B21" s="7">
        <v>510</v>
      </c>
      <c r="C21" s="28">
        <v>305000</v>
      </c>
    </row>
    <row r="22" spans="1:3" ht="15" customHeight="1" x14ac:dyDescent="0.35">
      <c r="A22" s="28">
        <v>11</v>
      </c>
      <c r="B22" s="7">
        <v>575</v>
      </c>
      <c r="C22" s="28">
        <v>280300</v>
      </c>
    </row>
    <row r="25" spans="1:3" ht="15" customHeight="1" x14ac:dyDescent="0.35">
      <c r="A25" s="3" t="s">
        <v>143</v>
      </c>
    </row>
    <row r="26" spans="1:3" ht="15" customHeight="1" x14ac:dyDescent="0.35">
      <c r="A26" s="3" t="s">
        <v>224</v>
      </c>
      <c r="C26" s="24" t="s">
        <v>230</v>
      </c>
    </row>
    <row r="27" spans="1:3" ht="15" customHeight="1" x14ac:dyDescent="0.35">
      <c r="A27" s="3" t="s">
        <v>216</v>
      </c>
      <c r="C27" s="24" t="s">
        <v>231</v>
      </c>
    </row>
    <row r="29" spans="1:3" ht="15" customHeight="1" x14ac:dyDescent="0.35">
      <c r="A29" s="3" t="s">
        <v>144</v>
      </c>
      <c r="B29" s="24" t="s">
        <v>216</v>
      </c>
    </row>
    <row r="31" spans="1:3" ht="15" customHeight="1" x14ac:dyDescent="0.35">
      <c r="A31" s="3" t="s">
        <v>225</v>
      </c>
    </row>
    <row r="32" spans="1:3" ht="15" customHeight="1" x14ac:dyDescent="0.35">
      <c r="A32" s="3" t="s">
        <v>226</v>
      </c>
      <c r="B32" s="24" t="s">
        <v>232</v>
      </c>
    </row>
    <row r="33" spans="1:3" ht="15" customHeight="1" x14ac:dyDescent="0.35">
      <c r="A33" s="3" t="s">
        <v>227</v>
      </c>
      <c r="B33" s="24" t="s">
        <v>233</v>
      </c>
    </row>
    <row r="35" spans="1:3" ht="15" customHeight="1" x14ac:dyDescent="0.35">
      <c r="A35" s="3" t="s">
        <v>228</v>
      </c>
      <c r="B35" s="17">
        <f>60945*EXP(0.0024*610)</f>
        <v>263478.51248446584</v>
      </c>
      <c r="C35" s="24" t="s">
        <v>234</v>
      </c>
    </row>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sheetData>
  <mergeCells count="3">
    <mergeCell ref="A10:A11"/>
    <mergeCell ref="B10:B11"/>
    <mergeCell ref="C10:C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16</vt:i4>
      </vt:variant>
    </vt:vector>
  </HeadingPairs>
  <TitlesOfParts>
    <vt:vector size="16" baseType="lpstr">
      <vt:lpstr>uvod</vt:lpstr>
      <vt:lpstr>auto_feedback</vt:lpstr>
      <vt:lpstr>upute</vt:lpstr>
      <vt:lpstr>1. ish zad 1-10</vt:lpstr>
      <vt:lpstr>kontrola</vt:lpstr>
      <vt:lpstr>2. ish zad 11</vt:lpstr>
      <vt:lpstr>2. ish zad 12</vt:lpstr>
      <vt:lpstr>2. ish zad 13</vt:lpstr>
      <vt:lpstr>2. ish zad 14</vt:lpstr>
      <vt:lpstr>3. ish zad 15</vt:lpstr>
      <vt:lpstr>3. ish zad 16</vt:lpstr>
      <vt:lpstr>3. ish zad 17</vt:lpstr>
      <vt:lpstr>3. ish zad 18</vt:lpstr>
      <vt:lpstr>4. ish zad 19</vt:lpstr>
      <vt:lpstr>4. ish zad 20</vt:lpstr>
      <vt:lpstr>4. ish zad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Toni Milun</cp:lastModifiedBy>
  <dcterms:created xsi:type="dcterms:W3CDTF">2015-06-05T18:19:34Z</dcterms:created>
  <dcterms:modified xsi:type="dcterms:W3CDTF">2024-08-26T13:06:17Z</dcterms:modified>
</cp:coreProperties>
</file>