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Radna-mapa\LorenaPavlović_Statistika\"/>
    </mc:Choice>
  </mc:AlternateContent>
  <xr:revisionPtr revIDLastSave="0" documentId="13_ncr:1_{278F3614-028C-4452-B4E3-659706B506A4}" xr6:coauthVersionLast="47" xr6:coauthVersionMax="47" xr10:uidLastSave="{00000000-0000-0000-0000-000000000000}"/>
  <bookViews>
    <workbookView xWindow="17410" yWindow="0" windowWidth="20470" windowHeight="20560" firstSheet="2" activeTab="12" xr2:uid="{00000000-000D-0000-FFFF-FFFF00000000}"/>
  </bookViews>
  <sheets>
    <sheet name="upute" sheetId="30" r:id="rId1"/>
    <sheet name="Formule" sheetId="31" r:id="rId2"/>
    <sheet name="1ish1" sheetId="36" r:id="rId3"/>
    <sheet name="1ish2" sheetId="37" r:id="rId4"/>
    <sheet name="1ish3" sheetId="38" r:id="rId5"/>
    <sheet name="2ish1" sheetId="39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Sheet2" sheetId="41" r:id="rId12"/>
    <sheet name="5ish1" sheetId="10" r:id="rId13"/>
    <sheet name="5ish2" sheetId="9" r:id="rId14"/>
    <sheet name="6ish1" sheetId="7" r:id="rId15"/>
    <sheet name="6ish2" sheetId="27" r:id="rId16"/>
    <sheet name="6ish3" sheetId="4" r:id="rId17"/>
  </sheets>
  <calcPr calcId="191029"/>
  <pivotCaches>
    <pivotCache cacheId="7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0" l="1"/>
  <c r="D7" i="10"/>
  <c r="D6" i="10"/>
  <c r="E6" i="10"/>
  <c r="B19" i="12"/>
  <c r="C18" i="12" s="1"/>
  <c r="C7" i="12"/>
  <c r="C8" i="12"/>
  <c r="C9" i="12"/>
  <c r="C10" i="12"/>
  <c r="C11" i="12"/>
  <c r="C12" i="12"/>
  <c r="C13" i="12"/>
  <c r="C14" i="12"/>
  <c r="C15" i="12"/>
  <c r="C16" i="12"/>
  <c r="C17" i="12"/>
  <c r="C6" i="12"/>
  <c r="C52" i="13"/>
  <c r="I46" i="13"/>
  <c r="E9" i="13"/>
  <c r="E10" i="13"/>
  <c r="E11" i="13"/>
  <c r="E12" i="13"/>
  <c r="E13" i="13"/>
  <c r="E14" i="13"/>
  <c r="E15" i="13"/>
  <c r="E8" i="13"/>
  <c r="D8" i="13"/>
  <c r="D9" i="13"/>
  <c r="D10" i="13"/>
  <c r="D11" i="13"/>
  <c r="D12" i="13"/>
  <c r="D13" i="13"/>
  <c r="D14" i="13"/>
  <c r="D15" i="13"/>
  <c r="C25" i="25"/>
  <c r="C24" i="25"/>
  <c r="B4" i="25"/>
  <c r="B5" i="25" s="1"/>
  <c r="K21" i="16"/>
  <c r="K11" i="16"/>
  <c r="D22" i="16"/>
  <c r="G22" i="16" s="1"/>
  <c r="C17" i="16"/>
  <c r="F17" i="16" s="1"/>
  <c r="C24" i="16"/>
  <c r="F24" i="16" s="1"/>
  <c r="B26" i="16"/>
  <c r="D25" i="16" s="1"/>
  <c r="G25" i="16" s="1"/>
  <c r="A26" i="16"/>
  <c r="C25" i="16" s="1"/>
  <c r="F25" i="16" s="1"/>
  <c r="E15" i="18"/>
  <c r="E12" i="18"/>
  <c r="E10" i="18"/>
  <c r="E8" i="18"/>
  <c r="E6" i="18"/>
  <c r="B12" i="39"/>
  <c r="F14" i="37"/>
  <c r="F13" i="37"/>
  <c r="F12" i="37"/>
  <c r="F11" i="37"/>
  <c r="C23" i="16" l="1"/>
  <c r="F23" i="16" s="1"/>
  <c r="C22" i="16"/>
  <c r="F22" i="16" s="1"/>
  <c r="C21" i="16"/>
  <c r="F21" i="16" s="1"/>
  <c r="C20" i="16"/>
  <c r="F20" i="16" s="1"/>
  <c r="C19" i="16"/>
  <c r="F19" i="16" s="1"/>
  <c r="C18" i="16"/>
  <c r="F18" i="16" s="1"/>
  <c r="C13" i="16"/>
  <c r="F13" i="16" s="1"/>
  <c r="C12" i="16"/>
  <c r="F12" i="16" s="1"/>
  <c r="C16" i="16"/>
  <c r="F16" i="16" s="1"/>
  <c r="C15" i="16"/>
  <c r="F15" i="16" s="1"/>
  <c r="C14" i="16"/>
  <c r="F14" i="16" s="1"/>
  <c r="C10" i="16"/>
  <c r="F10" i="16" s="1"/>
  <c r="C9" i="16"/>
  <c r="F9" i="16" s="1"/>
  <c r="C8" i="16"/>
  <c r="F8" i="16" s="1"/>
  <c r="C7" i="16"/>
  <c r="C6" i="16"/>
  <c r="F6" i="16" s="1"/>
  <c r="C5" i="16"/>
  <c r="D24" i="16"/>
  <c r="G24" i="16" s="1"/>
  <c r="D5" i="16"/>
  <c r="D23" i="16"/>
  <c r="G23" i="16" s="1"/>
  <c r="D21" i="16"/>
  <c r="G21" i="16" s="1"/>
  <c r="D20" i="16"/>
  <c r="G20" i="16" s="1"/>
  <c r="D19" i="16"/>
  <c r="G19" i="16" s="1"/>
  <c r="D18" i="16"/>
  <c r="G18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C11" i="16"/>
  <c r="E11" i="16" s="1"/>
  <c r="D11" i="16"/>
  <c r="G11" i="16" s="1"/>
  <c r="D10" i="16"/>
  <c r="G10" i="16" s="1"/>
  <c r="D9" i="16"/>
  <c r="D8" i="16"/>
  <c r="D7" i="16"/>
  <c r="G7" i="16" s="1"/>
  <c r="D6" i="16"/>
  <c r="G6" i="16" s="1"/>
  <c r="F5" i="16"/>
  <c r="F7" i="16"/>
  <c r="E25" i="16"/>
  <c r="E24" i="16"/>
  <c r="E20" i="16" l="1"/>
  <c r="C26" i="16"/>
  <c r="E22" i="16"/>
  <c r="G8" i="16"/>
  <c r="E8" i="16"/>
  <c r="G9" i="16"/>
  <c r="E9" i="16"/>
  <c r="E5" i="16"/>
  <c r="G5" i="16"/>
  <c r="D26" i="16"/>
  <c r="E10" i="16"/>
  <c r="E7" i="16"/>
  <c r="E14" i="16"/>
  <c r="E23" i="16"/>
  <c r="E6" i="16"/>
  <c r="E12" i="16"/>
  <c r="E13" i="16"/>
  <c r="F11" i="16"/>
  <c r="E15" i="16"/>
  <c r="F26" i="16"/>
  <c r="E19" i="16"/>
  <c r="E16" i="16"/>
  <c r="E18" i="16"/>
  <c r="E21" i="16"/>
  <c r="E17" i="16"/>
  <c r="G26" i="16" l="1"/>
  <c r="E26" i="16"/>
  <c r="K9" i="16" l="1"/>
  <c r="D5" i="37" l="1"/>
  <c r="D4" i="37"/>
  <c r="H8" i="30"/>
  <c r="H7" i="30"/>
</calcChain>
</file>

<file path=xl/sharedStrings.xml><?xml version="1.0" encoding="utf-8"?>
<sst xmlns="http://schemas.openxmlformats.org/spreadsheetml/2006/main" count="271" uniqueCount="216">
  <si>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</si>
  <si>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</si>
  <si>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</si>
  <si>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</si>
  <si>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</si>
  <si>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</si>
  <si>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</si>
  <si>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</si>
  <si>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</si>
  <si>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</si>
  <si>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</si>
  <si>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</si>
  <si>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</si>
  <si>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</si>
  <si>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</si>
  <si>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</si>
  <si>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</si>
  <si>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</si>
  <si>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</si>
  <si>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</si>
  <si>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</si>
  <si>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</si>
  <si>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</si>
  <si>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</si>
  <si>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</si>
  <si>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</si>
  <si>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</si>
  <si>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</si>
  <si>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</si>
  <si>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</si>
  <si>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</si>
  <si>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</si>
  <si>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</si>
  <si>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</si>
  <si>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</si>
  <si>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</si>
  <si>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</si>
  <si>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</si>
  <si>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</si>
  <si>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</si>
  <si>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</si>
  <si>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</si>
  <si>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</si>
  <si>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</si>
  <si>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</si>
  <si>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</si>
  <si>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</si>
  <si>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</si>
  <si>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</si>
  <si>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</si>
  <si>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</si>
  <si>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</si>
  <si>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</si>
  <si>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</si>
  <si>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</si>
  <si>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</si>
  <si>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</si>
  <si>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</si>
  <si>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</si>
  <si>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</si>
  <si>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</si>
  <si>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Sveučilište Algebra</t>
  </si>
  <si>
    <t>Broj klikova (000)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</si>
  <si>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</si>
  <si>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</si>
  <si>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</si>
  <si>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</si>
  <si>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</si>
  <si>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</si>
  <si>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</si>
  <si>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</si>
  <si>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</si>
  <si>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t>ispit - grupa 2 u 18:00 sati</t>
  </si>
  <si>
    <t>Brend</t>
  </si>
  <si>
    <t>Prosj. broj klikova na oglas (u tisućama)</t>
  </si>
  <si>
    <t>Apple</t>
  </si>
  <si>
    <t>Samsung</t>
  </si>
  <si>
    <t>Xiaomi</t>
  </si>
  <si>
    <t>Huawei</t>
  </si>
  <si>
    <t>Google</t>
  </si>
  <si>
    <t>Nokia</t>
  </si>
  <si>
    <t>Motorola</t>
  </si>
  <si>
    <t>Sony</t>
  </si>
  <si>
    <t>LG</t>
  </si>
  <si>
    <t>OnePlus</t>
  </si>
  <si>
    <t>Realme</t>
  </si>
  <si>
    <t>Asus</t>
  </si>
  <si>
    <t>Lenovo</t>
  </si>
  <si>
    <t>HTC</t>
  </si>
  <si>
    <t>BlackBerry</t>
  </si>
  <si>
    <t>Alcatel</t>
  </si>
  <si>
    <t>ZTE</t>
  </si>
  <si>
    <t>Vivo</t>
  </si>
  <si>
    <t>Oppo</t>
  </si>
  <si>
    <t>Redni broj muzeja</t>
  </si>
  <si>
    <t>Broj novih korisnika</t>
  </si>
  <si>
    <t>Novi korisnici</t>
  </si>
  <si>
    <t>Prodaja kozmetičkih proizvoda (u tisućama)</t>
  </si>
  <si>
    <t>It (2014=100)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</si>
  <si>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</si>
  <si>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</si>
  <si>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</si>
  <si>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</si>
  <si>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</si>
  <si>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4. 9. 2024.</t>
  </si>
  <si>
    <t>1.</t>
  </si>
  <si>
    <t>a</t>
  </si>
  <si>
    <t xml:space="preserve">statistički skup je brendovi mobitela na FB u rujnu 2023. </t>
  </si>
  <si>
    <t>b</t>
  </si>
  <si>
    <t>obilježje je prosječni broj klikova na oglas, riječ je o diskretnoj skali</t>
  </si>
  <si>
    <t>c</t>
  </si>
  <si>
    <t>min</t>
  </si>
  <si>
    <t>max</t>
  </si>
  <si>
    <t>More</t>
  </si>
  <si>
    <t>manje od</t>
  </si>
  <si>
    <t>web stranice</t>
  </si>
  <si>
    <t>6 web stranica muzeja ima od 50 do 100 novih korisnika u prvom kvartalu 2023. godine</t>
  </si>
  <si>
    <t xml:space="preserve">manje od 5 i manje web stranica ima 0 do 50 novih korisnika u prvom kvartalu 2023. godine </t>
  </si>
  <si>
    <t>Column Labels</t>
  </si>
  <si>
    <t>Grand Total</t>
  </si>
  <si>
    <t>Row Labels</t>
  </si>
  <si>
    <t>Max of Ukupni prihod (000 €)</t>
  </si>
  <si>
    <t>130-279</t>
  </si>
  <si>
    <t>280-429</t>
  </si>
  <si>
    <t>430-579</t>
  </si>
  <si>
    <t>26-35</t>
  </si>
  <si>
    <t>36-45</t>
  </si>
  <si>
    <t>46-55</t>
  </si>
  <si>
    <t>56-65</t>
  </si>
  <si>
    <t>66-75</t>
  </si>
  <si>
    <t>76-85</t>
  </si>
  <si>
    <t xml:space="preserve">jedna kampanja ostvari prihod od 26 do 35 tisuća eura i privuče od 130 do 279 novih korisnika </t>
  </si>
  <si>
    <t xml:space="preserve">prosječna godišnja stopa rasta prodaje iznosi 174 714 kozmetičkih proizvoda </t>
  </si>
  <si>
    <t>prosjek impresija pretraživačkih oglasa Sveučilišta Algebra iznosi 457 impresija u travnju 2023. godine</t>
  </si>
  <si>
    <t xml:space="preserve">25% impresija pretraživačkih oglasa Sveučilišta Algebra  iznosi 565 </t>
  </si>
  <si>
    <t>prosječno odstupanje od prosjeka iznosi 138 impresija u travnju 2023. godine</t>
  </si>
  <si>
    <t>varijabilnost je umjerena</t>
  </si>
  <si>
    <t xml:space="preserve">e) </t>
  </si>
  <si>
    <t>10% ključnih riječi sa najmanje impresija iznosi 228 impresija</t>
  </si>
  <si>
    <t xml:space="preserve">a) </t>
  </si>
  <si>
    <t>koleracija je jaka</t>
  </si>
  <si>
    <t xml:space="preserve">MODEL POTENCIJE, SNAGE, DVOSTRUKOLOGARITAMSKI (POWER, POTENCIJA, SNAGA) </t>
  </si>
  <si>
    <t>y=a*x^b</t>
  </si>
  <si>
    <t>REPREZENTATIVNOST</t>
  </si>
  <si>
    <r>
      <t xml:space="preserve">a = ____ Kad bi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bio 1 jedinica, možemo očekivati da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bude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</si>
  <si>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r>
      <t xml:space="preserve">b =__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1%,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b%</t>
    </r>
  </si>
  <si>
    <r>
      <t xml:space="preserve">R^2 % veze između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i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objašnjeno je </t>
    </r>
    <r>
      <rPr>
        <u/>
        <sz val="11"/>
        <color rgb="FF000000"/>
        <rFont val="Calibri"/>
        <family val="2"/>
        <charset val="238"/>
        <scheme val="minor"/>
      </rPr>
      <t>linearnim/eksponencijalnim/potencija</t>
    </r>
    <r>
      <rPr>
        <sz val="11"/>
        <color rgb="FF000000"/>
        <rFont val="Calibri"/>
        <family val="2"/>
        <charset val="238"/>
        <scheme val="minor"/>
      </rPr>
      <t xml:space="preserve"> modelom.</t>
    </r>
  </si>
  <si>
    <t>a= 53,806</t>
  </si>
  <si>
    <t>b=0,7129</t>
  </si>
  <si>
    <t>b =Kad bi se trošak oglašavanja povećao za 1%, možemo očekivati povećanje broja generiranih leadova za 71 %</t>
  </si>
  <si>
    <t>a = Kad bi trošak oglašavanja na Google Adsu bio 100 eura, možemo očekivati da broj generiranig leadova bude 5 300,00 eura</t>
  </si>
  <si>
    <t>e)</t>
  </si>
  <si>
    <t xml:space="preserve">kada bi troškovi oglašavanja na google ads iznosili 400 eura očekivali bismo 144 leadova </t>
  </si>
  <si>
    <t>f)</t>
  </si>
  <si>
    <t>g)</t>
  </si>
  <si>
    <t>R^2% veze između troška oglašavanja na google ads-u i broja generiranih leadova objašnjena je potencija modelom</t>
  </si>
  <si>
    <t>R^2= 0,977</t>
  </si>
  <si>
    <t xml:space="preserve">ulaganje </t>
  </si>
  <si>
    <t>broj pretplatnika</t>
  </si>
  <si>
    <t xml:space="preserve">a) riječ je o linearnom modelu </t>
  </si>
  <si>
    <t xml:space="preserve">b) </t>
  </si>
  <si>
    <t>y=bx+a</t>
  </si>
  <si>
    <t>y=3,3*x+800</t>
  </si>
  <si>
    <t>Ako se u Facebook uloži 600 eura imat će 2780 novih pretplatnika</t>
  </si>
  <si>
    <t>vt</t>
  </si>
  <si>
    <t>verižna vrijednost iznosi 107,83 uz 23 tisuće klikova 2016 godine</t>
  </si>
  <si>
    <t>3. APSOLUTNE VRIJEDNOSTI (Yt) → BAZNI  INDEKSI (It ____=100)</t>
  </si>
  <si>
    <t>It=Yt/Yb(F4)*100</t>
  </si>
  <si>
    <t>It  2017= 100</t>
  </si>
  <si>
    <t xml:space="preserve">d) </t>
  </si>
  <si>
    <t>bazni indeks za 2017 godinu iznosi 100</t>
  </si>
  <si>
    <t>linearni model</t>
  </si>
  <si>
    <t>eksponencijalni model</t>
  </si>
  <si>
    <t>LINEARNI MODEL</t>
  </si>
  <si>
    <t>a = ____ Trend vrijednost za y u ishodišnoj _____ godini iznosi a jedinica.</t>
  </si>
  <si>
    <t>EKSPONENCIJALNI MODEL</t>
  </si>
  <si>
    <t>y=a*e^(cx)</t>
  </si>
  <si>
    <t>a = ____Trend vrijednost za y u ishodišnoj ____ godini iznosi a jedinica.</t>
  </si>
  <si>
    <t>Napomena: Ako je c &gt; 0,05 trebamo izračunati b=exp(c) (na 4 decimale) i zapisati u formatu y=a*b^x</t>
  </si>
  <si>
    <t>s=(b-1)*100%</t>
  </si>
  <si>
    <t>x=0 u ishodišnoj ____ godini/mjesecu</t>
  </si>
  <si>
    <t>jedinica za x je jedna godina/mjesec</t>
  </si>
  <si>
    <t>jedinica za y je 1/1000/milijun EUR, tona, proizvoda, komada...</t>
  </si>
  <si>
    <t>b = ____ U promatranom razdoblju y prosječno se godišnje povećavao/smanjivao za b jedinica.</t>
  </si>
  <si>
    <t>x=0 u ishodišnoj _____ godini/mjesecu</t>
  </si>
  <si>
    <t>c = ____U promatranom razdoblju y prosječno se godišnje povećavao/smanjivao za c*100%</t>
  </si>
  <si>
    <t>R^2 % periodičnih promjena y objašnjeno je linearnim/eksponencijalnim modelom.</t>
  </si>
  <si>
    <t>y= bx+ a</t>
  </si>
  <si>
    <t>a=</t>
  </si>
  <si>
    <t>y=2,322*x+22,358</t>
  </si>
  <si>
    <t>y=22,962*e^0,0772*x</t>
  </si>
  <si>
    <t xml:space="preserve">f) </t>
  </si>
  <si>
    <t>R^2% periodičnih promjena broj klikova objašnjeno je eksponencijalnim modelom</t>
  </si>
  <si>
    <t>c=</t>
  </si>
  <si>
    <t>x=0 u ishodišnoj  godini</t>
  </si>
  <si>
    <t>Trend vrijednost za broj klikova u ishodišnoj 2016 godini iznosi 23 000 klikova.</t>
  </si>
  <si>
    <t>U promatranom razdoblju broj klikova prosječno se godišnje povećavao za 7,72%</t>
  </si>
  <si>
    <t>Procjenjeni broj klikova bi bio 50,2</t>
  </si>
  <si>
    <t>h)</t>
  </si>
  <si>
    <t>najveća zadana vrijednost baznog indeksa iznosi 109</t>
  </si>
  <si>
    <t>ne slijedi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</si>
  <si>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</si>
  <si>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</si>
  <si>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</si>
  <si>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</si>
  <si>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</si>
  <si>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</si>
  <si>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</si>
  <si>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</si>
  <si>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</si>
  <si>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</si>
  <si>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</si>
  <si>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</si>
  <si>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</si>
  <si>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Largest(1)</t>
  </si>
  <si>
    <t>Smallest(1)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</si>
</sst>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#,##0.##"/>
    <numFmt numFmtId="166" formatCode="0.0000"/>
    <numFmt numFmtId="168" formatCode="0.000"/>
    <numFmt numFmtId="169" formatCode="0.000%"/>
    <numFmt numFmtId="170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9" applyFont="1"/>
    <xf numFmtId="0" fontId="3" fillId="0" borderId="0" xfId="9"/>
    <xf numFmtId="0" fontId="20" fillId="0" borderId="0" xfId="9" applyFont="1"/>
    <xf numFmtId="0" fontId="3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3" fillId="0" borderId="0" xfId="11"/>
    <xf numFmtId="0" fontId="22" fillId="0" borderId="0" xfId="11" applyFont="1"/>
    <xf numFmtId="0" fontId="6" fillId="0" borderId="11" xfId="0" applyFont="1" applyBorder="1" applyAlignment="1">
      <alignment horizontal="center" vertical="center"/>
    </xf>
    <xf numFmtId="0" fontId="11" fillId="0" borderId="1" xfId="5" applyBorder="1" applyAlignment="1">
      <alignment horizontal="center" vertical="center"/>
    </xf>
    <xf numFmtId="0" fontId="2" fillId="0" borderId="0" xfId="9" applyFont="1"/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/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/>
    <xf numFmtId="0" fontId="0" fillId="0" borderId="1" xfId="0" applyFill="1" applyBorder="1" applyAlignment="1"/>
    <xf numFmtId="0" fontId="0" fillId="0" borderId="0" xfId="0" pivotButton="1"/>
    <xf numFmtId="3" fontId="0" fillId="0" borderId="0" xfId="0" applyNumberFormat="1"/>
    <xf numFmtId="9" fontId="0" fillId="0" borderId="0" xfId="1" applyFont="1"/>
    <xf numFmtId="2" fontId="13" fillId="0" borderId="1" xfId="0" applyNumberFormat="1" applyFont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1" fillId="0" borderId="0" xfId="0" applyFont="1"/>
    <xf numFmtId="1" fontId="5" fillId="0" borderId="0" xfId="0" applyNumberFormat="1" applyFo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hr-HR"/>
              <a:t>Prosječan broj klikova na oglas (u tisućama) za različite brendove mobitela na FB u rujnu 2023. godine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broj klikova na oglas (u tisućama)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'1ish1'!$A$5:$A$23</c:f>
              <c:strCache>
                <c:ptCount val="19"/>
                <c:pt idx="0">
                  <c:v>Apple</c:v>
                </c:pt>
                <c:pt idx="1">
                  <c:v>Samsung</c:v>
                </c:pt>
                <c:pt idx="2">
                  <c:v>Xiaomi</c:v>
                </c:pt>
                <c:pt idx="3">
                  <c:v>Huawei</c:v>
                </c:pt>
                <c:pt idx="4">
                  <c:v>Google</c:v>
                </c:pt>
                <c:pt idx="5">
                  <c:v>Nokia</c:v>
                </c:pt>
                <c:pt idx="6">
                  <c:v>Motorola</c:v>
                </c:pt>
                <c:pt idx="7">
                  <c:v>Sony</c:v>
                </c:pt>
                <c:pt idx="8">
                  <c:v>LG</c:v>
                </c:pt>
                <c:pt idx="9">
                  <c:v>OnePlus</c:v>
                </c:pt>
                <c:pt idx="10">
                  <c:v>Realme</c:v>
                </c:pt>
                <c:pt idx="11">
                  <c:v>Asus</c:v>
                </c:pt>
                <c:pt idx="12">
                  <c:v>Lenovo</c:v>
                </c:pt>
                <c:pt idx="13">
                  <c:v>HTC</c:v>
                </c:pt>
                <c:pt idx="14">
                  <c:v>BlackBerry</c:v>
                </c:pt>
                <c:pt idx="15">
                  <c:v>Alcatel</c:v>
                </c:pt>
                <c:pt idx="16">
                  <c:v>ZTE</c:v>
                </c:pt>
                <c:pt idx="17">
                  <c:v>Vivo</c:v>
                </c:pt>
                <c:pt idx="18">
                  <c:v>Oppo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478</c:v>
                </c:pt>
                <c:pt idx="1">
                  <c:v>519.20000000000005</c:v>
                </c:pt>
                <c:pt idx="2">
                  <c:v>435.3</c:v>
                </c:pt>
                <c:pt idx="3">
                  <c:v>398.6</c:v>
                </c:pt>
                <c:pt idx="4">
                  <c:v>404.8</c:v>
                </c:pt>
                <c:pt idx="5">
                  <c:v>356.8</c:v>
                </c:pt>
                <c:pt idx="6">
                  <c:v>373.1</c:v>
                </c:pt>
                <c:pt idx="7">
                  <c:v>391.4</c:v>
                </c:pt>
                <c:pt idx="8">
                  <c:v>408.5</c:v>
                </c:pt>
                <c:pt idx="9">
                  <c:v>461</c:v>
                </c:pt>
                <c:pt idx="10">
                  <c:v>445.7</c:v>
                </c:pt>
                <c:pt idx="11">
                  <c:v>425.5</c:v>
                </c:pt>
                <c:pt idx="12">
                  <c:v>389.4</c:v>
                </c:pt>
                <c:pt idx="13">
                  <c:v>326.2</c:v>
                </c:pt>
                <c:pt idx="14">
                  <c:v>304.10000000000002</c:v>
                </c:pt>
                <c:pt idx="15">
                  <c:v>217.7</c:v>
                </c:pt>
                <c:pt idx="16">
                  <c:v>189.7</c:v>
                </c:pt>
                <c:pt idx="17">
                  <c:v>162.69999999999999</c:v>
                </c:pt>
                <c:pt idx="18">
                  <c:v>174.8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B-42D6-A6BE-54626A652A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15817167"/>
        <c:axId val="1215808047"/>
      </c:barChart>
      <c:catAx>
        <c:axId val="1215817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Brend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15808047"/>
        <c:crosses val="autoZero"/>
        <c:auto val="1"/>
        <c:lblAlgn val="ctr"/>
        <c:lblOffset val="100"/>
        <c:noMultiLvlLbl val="0"/>
      </c:catAx>
      <c:valAx>
        <c:axId val="1215808047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prosj. broj klikova na oglas (u tisućama)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crossAx val="121581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/>
              <a:t>broj novih korisnika web stranica različitih muzeja u prvom kvartalu 2023. godine</a:t>
            </a:r>
          </a:p>
        </c:rich>
      </c:tx>
      <c:layout>
        <c:manualLayout>
          <c:xMode val="edge"/>
          <c:yMode val="edge"/>
          <c:x val="9.7086494688922595E-2"/>
          <c:y val="5.990059753169151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'1ish2'!$D$11:$D$15</c:f>
              <c:strCache>
                <c:ptCount val="5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More</c:v>
                </c:pt>
              </c:strCache>
            </c:strRef>
          </c:cat>
          <c:val>
            <c:numRef>
              <c:f>'1ish2'!$E$11:$E$15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B-4325-985A-0C358EB99F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5814767"/>
        <c:axId val="1215822927"/>
      </c:barChart>
      <c:catAx>
        <c:axId val="1215814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Broj novih korisnika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822927"/>
        <c:crosses val="autoZero"/>
        <c:auto val="1"/>
        <c:lblAlgn val="ctr"/>
        <c:lblOffset val="100"/>
        <c:noMultiLvlLbl val="0"/>
      </c:catAx>
      <c:valAx>
        <c:axId val="12158229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web stranice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814767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273840769903761E-2"/>
                  <c:y val="-5.85024788568095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F2-4D0F-9905-8873C144D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141839"/>
        <c:axId val="1202146159"/>
      </c:scatterChart>
      <c:valAx>
        <c:axId val="120214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02146159"/>
        <c:crosses val="autoZero"/>
        <c:crossBetween val="midCat"/>
      </c:valAx>
      <c:valAx>
        <c:axId val="120214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0214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'3ish2'!$B$2</c:f>
              <c:strCache>
                <c:ptCount val="1"/>
                <c:pt idx="0">
                  <c:v>broj pretplatnika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'3ish2'!$A$3:$A$5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</c:numCache>
            </c:numRef>
          </c:xVal>
          <c:yVal>
            <c:numRef>
              <c:f>'3ish2'!$B$3:$B$5</c:f>
              <c:numCache>
                <c:formatCode>General</c:formatCode>
                <c:ptCount val="3"/>
                <c:pt idx="0">
                  <c:v>800</c:v>
                </c:pt>
                <c:pt idx="1">
                  <c:v>1130</c:v>
                </c:pt>
                <c:pt idx="2">
                  <c:v>1460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9-44DD-9CAE-88DDE30D7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114319"/>
        <c:axId val="1208109039"/>
      </c:scatterChart>
      <c:valAx>
        <c:axId val="1208114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08109039"/>
        <c:crosses val="autoZero"/>
        <c:crossBetween val="midCat"/>
      </c:valAx>
      <c:valAx>
        <c:axId val="120810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08114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 (000)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9339303961050672E-2"/>
                  <c:y val="-8.87792207792207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3585838793051632"/>
                  <c:y val="-0.125142857142857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23</c:v>
                </c:pt>
                <c:pt idx="1">
                  <c:v>24.8</c:v>
                </c:pt>
                <c:pt idx="2">
                  <c:v>26.6</c:v>
                </c:pt>
                <c:pt idx="3">
                  <c:v>29.1</c:v>
                </c:pt>
                <c:pt idx="4">
                  <c:v>31.3</c:v>
                </c:pt>
                <c:pt idx="5">
                  <c:v>33.799999999999997</c:v>
                </c:pt>
                <c:pt idx="6">
                  <c:v>36.6</c:v>
                </c:pt>
                <c:pt idx="7">
                  <c:v>39.299999999999997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7-4F7E-9D16-4F257E518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081247"/>
        <c:axId val="1551055807"/>
      </c:scatterChart>
      <c:valAx>
        <c:axId val="1551081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55807"/>
        <c:crosses val="autoZero"/>
        <c:crossBetween val="midCat"/>
      </c:valAx>
      <c:valAx>
        <c:axId val="155105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1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30</xdr:row>
      <xdr:rowOff>0</xdr:rowOff>
    </xdr:from>
    <xdr:to>
      <xdr:col>9</xdr:col>
      <xdr:colOff>431800</xdr:colOff>
      <xdr:row>52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869A31-3303-C034-FA52-4931F66F3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</xdr:row>
      <xdr:rowOff>88900</xdr:rowOff>
    </xdr:from>
    <xdr:to>
      <xdr:col>13</xdr:col>
      <xdr:colOff>603250</xdr:colOff>
      <xdr:row>17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B3113-6266-669A-3606-F7C84F4AB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113665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7B07241-0DEC-40FE-9F77-AB958A39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542925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984250</xdr:colOff>
      <xdr:row>28</xdr:row>
      <xdr:rowOff>6350</xdr:rowOff>
    </xdr:from>
    <xdr:to>
      <xdr:col>6</xdr:col>
      <xdr:colOff>501650</xdr:colOff>
      <xdr:row>42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2913DB-A48C-783F-0855-94918FB4E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4</xdr:row>
      <xdr:rowOff>12700</xdr:rowOff>
    </xdr:from>
    <xdr:to>
      <xdr:col>10</xdr:col>
      <xdr:colOff>311150</xdr:colOff>
      <xdr:row>18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B234FC-D5B7-71FB-C955-4CA394523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20</xdr:row>
      <xdr:rowOff>171450</xdr:rowOff>
    </xdr:from>
    <xdr:to>
      <xdr:col>4</xdr:col>
      <xdr:colOff>393700</xdr:colOff>
      <xdr:row>34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E36AB6-FCE7-95F7-FC92-501C639F8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770682175928" createdVersion="8" refreshedVersion="8" minRefreshableVersion="3" recordCount="20" xr:uid="{CAA6C241-6E70-4916-B487-859882E6E954}">
  <cacheSource type="worksheet">
    <worksheetSource ref="A4:C24" sheet="1ish3"/>
  </cacheSource>
  <cacheFields count="3">
    <cacheField name="Redni broj kampanje" numFmtId="0">
      <sharedItems containsSemiMixedTypes="0" containsString="0" containsNumber="1" containsInteger="1" minValue="1" maxValue="20"/>
    </cacheField>
    <cacheField name="Ukupni prihod (000 €)" numFmtId="3">
      <sharedItems containsSemiMixedTypes="0" containsString="0" containsNumber="1" containsInteger="1" minValue="26" maxValue="83" count="9">
        <n v="35"/>
        <n v="42"/>
        <n v="63"/>
        <n v="58"/>
        <n v="47"/>
        <n v="26"/>
        <n v="68"/>
        <n v="76"/>
        <n v="83"/>
      </sharedItems>
      <fieldGroup base="1">
        <rangePr startNum="26" endNum="83" groupInterval="10"/>
        <groupItems count="8">
          <s v="&lt;26"/>
          <s v="26-35"/>
          <s v="36-45"/>
          <s v="46-55"/>
          <s v="56-65"/>
          <s v="66-75"/>
          <s v="76-85"/>
          <s v="&gt;86"/>
        </groupItems>
      </fieldGroup>
    </cacheField>
    <cacheField name="Novi korisnici" numFmtId="3">
      <sharedItems containsSemiMixedTypes="0" containsString="0" containsNumber="1" containsInteger="1" minValue="130" maxValue="487" count="12">
        <n v="195"/>
        <n v="260"/>
        <n v="390"/>
        <n v="325"/>
        <n v="291"/>
        <n v="130"/>
        <n v="455"/>
        <n v="425"/>
        <n v="228"/>
        <n v="487"/>
        <n v="242"/>
        <n v="357"/>
      </sharedItems>
      <fieldGroup base="2">
        <rangePr startNum="130" endNum="487" groupInterval="150"/>
        <groupItems count="5">
          <s v="&lt;130"/>
          <s v="130-279"/>
          <s v="280-429"/>
          <s v="430-579"/>
          <s v="&gt;58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x v="0"/>
    <x v="0"/>
  </r>
  <r>
    <n v="2"/>
    <x v="1"/>
    <x v="1"/>
  </r>
  <r>
    <n v="3"/>
    <x v="2"/>
    <x v="2"/>
  </r>
  <r>
    <n v="4"/>
    <x v="3"/>
    <x v="3"/>
  </r>
  <r>
    <n v="5"/>
    <x v="4"/>
    <x v="4"/>
  </r>
  <r>
    <n v="6"/>
    <x v="5"/>
    <x v="5"/>
  </r>
  <r>
    <n v="7"/>
    <x v="6"/>
    <x v="6"/>
  </r>
  <r>
    <n v="8"/>
    <x v="2"/>
    <x v="7"/>
  </r>
  <r>
    <n v="9"/>
    <x v="1"/>
    <x v="8"/>
  </r>
  <r>
    <n v="10"/>
    <x v="0"/>
    <x v="0"/>
  </r>
  <r>
    <n v="11"/>
    <x v="7"/>
    <x v="9"/>
  </r>
  <r>
    <n v="12"/>
    <x v="1"/>
    <x v="10"/>
  </r>
  <r>
    <n v="13"/>
    <x v="3"/>
    <x v="4"/>
  </r>
  <r>
    <n v="14"/>
    <x v="2"/>
    <x v="11"/>
  </r>
  <r>
    <n v="15"/>
    <x v="4"/>
    <x v="1"/>
  </r>
  <r>
    <n v="16"/>
    <x v="6"/>
    <x v="7"/>
  </r>
  <r>
    <n v="17"/>
    <x v="7"/>
    <x v="6"/>
  </r>
  <r>
    <n v="18"/>
    <x v="8"/>
    <x v="9"/>
  </r>
  <r>
    <n v="19"/>
    <x v="4"/>
    <x v="1"/>
  </r>
  <r>
    <n v="20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0A0B4B-9F50-472F-B210-AFC17B49732F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6:I14" firstHeaderRow="1" firstDataRow="2" firstDataCol="1"/>
  <pivotFields count="3">
    <pivotField showAll="0"/>
    <pivotField axis="axisRow" dataField="1" numFmtId="3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numFmtId="3" showAll="0">
      <items count="6">
        <item x="0"/>
        <item x="1"/>
        <item x="2"/>
        <item x="3"/>
        <item x="4"/>
        <item t="default"/>
      </items>
    </pivotField>
  </pivotFields>
  <rowFields count="1">
    <field x="1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Max of Ukupni prihod (000 €)" fld="1" subtotal="max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265625" defaultRowHeight="14.5" x14ac:dyDescent="0.35"/>
  <cols>
    <col min="1" max="1" width="17.54296875" style="73" customWidth="1"/>
    <col min="2" max="2" width="11.26953125" style="73" customWidth="1"/>
    <col min="3" max="3" width="8.7265625" style="73"/>
    <col min="4" max="4" width="10.7265625" style="73" customWidth="1"/>
    <col min="5" max="6" width="8.7265625" style="73"/>
    <col min="7" max="7" width="10.81640625" style="73" bestFit="1" customWidth="1"/>
    <col min="8" max="16384" width="8.7265625" style="73"/>
  </cols>
  <sheetData>
    <row r="1" spans="1:9" ht="26" x14ac:dyDescent="0.6">
      <c r="A1" s="72"/>
      <c r="D1" s="74" t="s">
        <v>11</v>
      </c>
      <c r="G1" s="72"/>
      <c r="I1" s="73" t="s">
        <v>12</v>
      </c>
    </row>
    <row r="2" spans="1:9" x14ac:dyDescent="0.35">
      <c r="D2" s="86" t="s">
        <v>72</v>
      </c>
      <c r="I2" s="73" t="s">
        <v>61</v>
      </c>
    </row>
    <row r="3" spans="1:9" x14ac:dyDescent="0.35">
      <c r="D3" s="94" t="s">
        <v>104</v>
      </c>
    </row>
    <row r="5" spans="1:9" x14ac:dyDescent="0.35">
      <c r="A5" s="75"/>
      <c r="B5" s="95" t="s">
        <v>13</v>
      </c>
      <c r="C5" s="96"/>
      <c r="D5" s="97"/>
      <c r="E5" s="95" t="s">
        <v>14</v>
      </c>
      <c r="F5" s="96"/>
      <c r="G5" s="97"/>
      <c r="H5" s="76"/>
    </row>
    <row r="6" spans="1:9" x14ac:dyDescent="0.35">
      <c r="A6" s="75" t="s">
        <v>15</v>
      </c>
      <c r="B6" s="76" t="s">
        <v>16</v>
      </c>
      <c r="C6" s="76" t="s">
        <v>17</v>
      </c>
      <c r="D6" s="76" t="s">
        <v>18</v>
      </c>
      <c r="E6" s="76" t="s">
        <v>19</v>
      </c>
      <c r="F6" s="76" t="s">
        <v>20</v>
      </c>
      <c r="G6" s="76" t="s">
        <v>21</v>
      </c>
      <c r="H6" s="76" t="s">
        <v>22</v>
      </c>
    </row>
    <row r="7" spans="1:9" x14ac:dyDescent="0.35">
      <c r="A7" s="75" t="s">
        <v>23</v>
      </c>
      <c r="B7" s="77">
        <v>13</v>
      </c>
      <c r="C7" s="77">
        <v>13</v>
      </c>
      <c r="D7" s="77">
        <v>13</v>
      </c>
      <c r="E7" s="77">
        <v>13</v>
      </c>
      <c r="F7" s="77">
        <v>13</v>
      </c>
      <c r="G7" s="77">
        <v>13</v>
      </c>
      <c r="H7" s="77">
        <f>SUM(B7:G7)</f>
        <v>78</v>
      </c>
    </row>
    <row r="8" spans="1:9" ht="29" x14ac:dyDescent="0.35">
      <c r="A8" s="78" t="s">
        <v>24</v>
      </c>
      <c r="B8" s="79">
        <v>30</v>
      </c>
      <c r="C8" s="79">
        <v>30</v>
      </c>
      <c r="D8" s="79">
        <v>30</v>
      </c>
      <c r="E8" s="79">
        <v>30</v>
      </c>
      <c r="F8" s="79">
        <v>30</v>
      </c>
      <c r="G8" s="79">
        <v>30</v>
      </c>
      <c r="H8" s="79">
        <f>SUM(B8:G8)</f>
        <v>180</v>
      </c>
    </row>
    <row r="11" spans="1:9" x14ac:dyDescent="0.35">
      <c r="A11" s="80" t="s">
        <v>25</v>
      </c>
    </row>
    <row r="12" spans="1:9" x14ac:dyDescent="0.35">
      <c r="A12" s="80"/>
    </row>
    <row r="13" spans="1:9" x14ac:dyDescent="0.35">
      <c r="A13" s="80" t="s">
        <v>5</v>
      </c>
    </row>
    <row r="14" spans="1:9" x14ac:dyDescent="0.35">
      <c r="A14" s="80"/>
    </row>
    <row r="15" spans="1:9" x14ac:dyDescent="0.35">
      <c r="A15" s="80" t="s">
        <v>26</v>
      </c>
    </row>
    <row r="16" spans="1:9" x14ac:dyDescent="0.35">
      <c r="A16" s="80"/>
    </row>
    <row r="17" spans="1:1" x14ac:dyDescent="0.35">
      <c r="A17" s="80" t="s">
        <v>27</v>
      </c>
    </row>
    <row r="18" spans="1:1" x14ac:dyDescent="0.35">
      <c r="A18" s="80"/>
    </row>
    <row r="19" spans="1:1" x14ac:dyDescent="0.35">
      <c r="A19" s="80" t="s">
        <v>6</v>
      </c>
    </row>
    <row r="20" spans="1:1" x14ac:dyDescent="0.35">
      <c r="A20" s="80"/>
    </row>
    <row r="21" spans="1:1" x14ac:dyDescent="0.35">
      <c r="A21" s="80" t="s">
        <v>4</v>
      </c>
    </row>
    <row r="22" spans="1:1" x14ac:dyDescent="0.35">
      <c r="A22" s="80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4"/>
  <sheetViews>
    <sheetView topLeftCell="A7" zoomScaleNormal="100" workbookViewId="0">
      <selection activeCell="E58" sqref="E58"/>
    </sheetView>
  </sheetViews>
  <sheetFormatPr defaultColWidth="9.1796875" defaultRowHeight="14.5" x14ac:dyDescent="0.35"/>
  <cols>
    <col min="1" max="2" width="17" style="26" customWidth="1"/>
    <col min="3" max="3" width="17.81640625" style="26" bestFit="1" customWidth="1"/>
    <col min="4" max="4" width="19.1796875" style="26" bestFit="1" customWidth="1"/>
    <col min="5" max="5" width="11.36328125" style="26" bestFit="1" customWidth="1"/>
    <col min="6" max="6" width="10" style="26" customWidth="1"/>
    <col min="7" max="16384" width="9.1796875" style="26"/>
  </cols>
  <sheetData>
    <row r="1" spans="1:16" x14ac:dyDescent="0.3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35">
      <c r="A3"/>
      <c r="B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35">
      <c r="A6"/>
      <c r="B6"/>
      <c r="C6"/>
      <c r="D6" s="12"/>
      <c r="E6"/>
      <c r="F6" s="12"/>
      <c r="G6"/>
      <c r="H6" s="12"/>
      <c r="I6"/>
      <c r="J6"/>
      <c r="K6"/>
      <c r="L6"/>
      <c r="M6"/>
      <c r="N6"/>
      <c r="O6"/>
      <c r="P6"/>
    </row>
    <row r="7" spans="1:16" ht="15" thickBot="1" x14ac:dyDescent="0.4">
      <c r="A7" s="5" t="s">
        <v>3</v>
      </c>
      <c r="B7" s="5"/>
      <c r="C7" s="10" t="s">
        <v>62</v>
      </c>
      <c r="D7" s="1" t="s">
        <v>164</v>
      </c>
      <c r="E7" s="1" t="s">
        <v>168</v>
      </c>
      <c r="F7" s="17"/>
      <c r="G7" s="1"/>
      <c r="H7" s="1"/>
      <c r="I7" s="1"/>
      <c r="J7"/>
      <c r="K7"/>
      <c r="L7"/>
      <c r="M7"/>
      <c r="N7"/>
      <c r="O7"/>
      <c r="P7"/>
    </row>
    <row r="8" spans="1:16" x14ac:dyDescent="0.35">
      <c r="A8" s="15">
        <v>2016</v>
      </c>
      <c r="B8" s="15">
        <v>0</v>
      </c>
      <c r="C8" s="2">
        <v>23</v>
      </c>
      <c r="D8" s="14">
        <f>C9/C8*100</f>
        <v>107.82608695652173</v>
      </c>
      <c r="E8" s="14">
        <f>C8/C$9*100</f>
        <v>92.741935483870961</v>
      </c>
      <c r="F8"/>
      <c r="G8"/>
      <c r="H8"/>
      <c r="I8"/>
      <c r="J8"/>
      <c r="K8"/>
      <c r="L8"/>
      <c r="M8"/>
      <c r="N8"/>
      <c r="O8"/>
    </row>
    <row r="9" spans="1:16" x14ac:dyDescent="0.35">
      <c r="A9" s="15">
        <v>2017</v>
      </c>
      <c r="B9" s="15">
        <v>1</v>
      </c>
      <c r="C9" s="2">
        <v>24.8</v>
      </c>
      <c r="D9" s="14">
        <f t="shared" ref="D9:D15" si="0">C10/C9*100</f>
        <v>107.25806451612902</v>
      </c>
      <c r="E9" s="14">
        <f t="shared" ref="E9:E15" si="1">C9/C$9*100</f>
        <v>100</v>
      </c>
      <c r="F9"/>
      <c r="G9"/>
      <c r="H9"/>
      <c r="I9"/>
      <c r="J9"/>
      <c r="K9"/>
      <c r="L9"/>
      <c r="M9"/>
      <c r="N9"/>
      <c r="O9"/>
    </row>
    <row r="10" spans="1:16" x14ac:dyDescent="0.35">
      <c r="A10" s="15">
        <v>2018</v>
      </c>
      <c r="B10" s="15">
        <v>2</v>
      </c>
      <c r="C10" s="2">
        <v>26.6</v>
      </c>
      <c r="D10" s="14">
        <f t="shared" si="0"/>
        <v>109.39849624060149</v>
      </c>
      <c r="E10" s="14">
        <f t="shared" si="1"/>
        <v>107.25806451612902</v>
      </c>
      <c r="F10"/>
      <c r="G10"/>
      <c r="H10"/>
      <c r="I10"/>
      <c r="J10"/>
      <c r="K10"/>
      <c r="L10"/>
      <c r="M10"/>
      <c r="N10"/>
      <c r="O10"/>
    </row>
    <row r="11" spans="1:16" x14ac:dyDescent="0.35">
      <c r="A11" s="15">
        <v>2019</v>
      </c>
      <c r="B11" s="15">
        <v>3</v>
      </c>
      <c r="C11" s="2">
        <v>29.1</v>
      </c>
      <c r="D11" s="14">
        <f t="shared" si="0"/>
        <v>107.56013745704468</v>
      </c>
      <c r="E11" s="14">
        <f t="shared" si="1"/>
        <v>117.33870967741935</v>
      </c>
      <c r="F11"/>
      <c r="G11"/>
      <c r="H11"/>
      <c r="I11"/>
      <c r="J11"/>
      <c r="K11"/>
      <c r="L11"/>
      <c r="M11"/>
      <c r="N11"/>
      <c r="O11"/>
    </row>
    <row r="12" spans="1:16" x14ac:dyDescent="0.35">
      <c r="A12" s="15">
        <v>2020</v>
      </c>
      <c r="B12" s="15">
        <v>4</v>
      </c>
      <c r="C12" s="2">
        <v>31.3</v>
      </c>
      <c r="D12" s="14">
        <f t="shared" si="0"/>
        <v>107.98722044728433</v>
      </c>
      <c r="E12" s="14">
        <f t="shared" si="1"/>
        <v>126.20967741935485</v>
      </c>
      <c r="F12"/>
      <c r="G12"/>
      <c r="H12"/>
      <c r="I12"/>
      <c r="J12"/>
      <c r="K12"/>
      <c r="L12"/>
      <c r="M12"/>
      <c r="N12"/>
      <c r="O12"/>
    </row>
    <row r="13" spans="1:16" x14ac:dyDescent="0.35">
      <c r="A13" s="15">
        <v>2021</v>
      </c>
      <c r="B13" s="15">
        <v>5</v>
      </c>
      <c r="C13" s="2">
        <v>33.799999999999997</v>
      </c>
      <c r="D13" s="14">
        <f t="shared" si="0"/>
        <v>108.28402366863908</v>
      </c>
      <c r="E13" s="14">
        <f t="shared" si="1"/>
        <v>136.29032258064515</v>
      </c>
      <c r="F13"/>
      <c r="G13"/>
      <c r="H13"/>
      <c r="I13"/>
      <c r="J13"/>
      <c r="K13"/>
      <c r="L13"/>
      <c r="M13"/>
      <c r="N13"/>
      <c r="O13"/>
    </row>
    <row r="14" spans="1:16" x14ac:dyDescent="0.35">
      <c r="A14" s="15">
        <v>2022</v>
      </c>
      <c r="B14" s="15">
        <v>6</v>
      </c>
      <c r="C14" s="2">
        <v>36.6</v>
      </c>
      <c r="D14" s="14">
        <f t="shared" si="0"/>
        <v>107.37704918032787</v>
      </c>
      <c r="E14" s="14">
        <f t="shared" si="1"/>
        <v>147.58064516129033</v>
      </c>
      <c r="F14"/>
      <c r="G14"/>
      <c r="H14"/>
      <c r="I14"/>
      <c r="J14"/>
      <c r="K14"/>
      <c r="L14"/>
      <c r="M14"/>
      <c r="N14"/>
      <c r="O14"/>
    </row>
    <row r="15" spans="1:16" x14ac:dyDescent="0.35">
      <c r="A15" s="15">
        <v>2023</v>
      </c>
      <c r="B15" s="15">
        <v>7</v>
      </c>
      <c r="C15" s="2">
        <v>39.299999999999997</v>
      </c>
      <c r="D15" s="14">
        <f t="shared" si="0"/>
        <v>0</v>
      </c>
      <c r="E15" s="14">
        <f t="shared" si="1"/>
        <v>158.46774193548384</v>
      </c>
      <c r="F15"/>
      <c r="G15"/>
      <c r="H15"/>
      <c r="I15"/>
      <c r="J15"/>
      <c r="K15"/>
      <c r="L15"/>
      <c r="M15"/>
      <c r="N15"/>
      <c r="O15"/>
    </row>
    <row r="16" spans="1:16" x14ac:dyDescent="0.35">
      <c r="F16"/>
    </row>
    <row r="18" spans="1:10" x14ac:dyDescent="0.35">
      <c r="A18" s="26" t="s">
        <v>7</v>
      </c>
      <c r="B18" s="26" t="s">
        <v>165</v>
      </c>
      <c r="I18" s="26" t="s">
        <v>166</v>
      </c>
    </row>
    <row r="19" spans="1:10" x14ac:dyDescent="0.35">
      <c r="I19" s="26" t="s">
        <v>167</v>
      </c>
    </row>
    <row r="20" spans="1:10" x14ac:dyDescent="0.35">
      <c r="A20" s="26" t="s">
        <v>169</v>
      </c>
      <c r="B20" s="26" t="s">
        <v>170</v>
      </c>
      <c r="G20" s="27"/>
    </row>
    <row r="22" spans="1:10" x14ac:dyDescent="0.35">
      <c r="I22" s="26" t="s">
        <v>173</v>
      </c>
      <c r="J22" s="26" t="s">
        <v>161</v>
      </c>
    </row>
    <row r="23" spans="1:10" x14ac:dyDescent="0.35">
      <c r="I23" s="26" t="s">
        <v>180</v>
      </c>
    </row>
    <row r="24" spans="1:10" x14ac:dyDescent="0.35">
      <c r="I24" s="26" t="s">
        <v>181</v>
      </c>
    </row>
    <row r="25" spans="1:10" x14ac:dyDescent="0.35">
      <c r="I25" s="26" t="s">
        <v>182</v>
      </c>
    </row>
    <row r="27" spans="1:10" x14ac:dyDescent="0.35">
      <c r="I27" s="26" t="s">
        <v>174</v>
      </c>
    </row>
    <row r="28" spans="1:10" x14ac:dyDescent="0.35">
      <c r="I28" s="26" t="s">
        <v>183</v>
      </c>
    </row>
    <row r="30" spans="1:10" x14ac:dyDescent="0.35">
      <c r="I30" s="26" t="s">
        <v>175</v>
      </c>
      <c r="J30" s="26" t="s">
        <v>176</v>
      </c>
    </row>
    <row r="31" spans="1:10" x14ac:dyDescent="0.35">
      <c r="I31" s="26" t="s">
        <v>184</v>
      </c>
    </row>
    <row r="32" spans="1:10" x14ac:dyDescent="0.35">
      <c r="I32" s="26" t="s">
        <v>181</v>
      </c>
    </row>
    <row r="33" spans="1:9" x14ac:dyDescent="0.35">
      <c r="I33" s="26" t="s">
        <v>182</v>
      </c>
    </row>
    <row r="35" spans="1:9" x14ac:dyDescent="0.35">
      <c r="I35" s="26" t="s">
        <v>177</v>
      </c>
    </row>
    <row r="36" spans="1:9" x14ac:dyDescent="0.35">
      <c r="I36" s="26" t="s">
        <v>185</v>
      </c>
    </row>
    <row r="37" spans="1:9" x14ac:dyDescent="0.35">
      <c r="A37" s="26" t="s">
        <v>151</v>
      </c>
      <c r="B37" s="26" t="s">
        <v>171</v>
      </c>
      <c r="F37" s="26" t="s">
        <v>172</v>
      </c>
    </row>
    <row r="38" spans="1:9" x14ac:dyDescent="0.35">
      <c r="B38" s="26" t="s">
        <v>187</v>
      </c>
      <c r="F38" s="26" t="s">
        <v>176</v>
      </c>
      <c r="I38" s="26" t="s">
        <v>178</v>
      </c>
    </row>
    <row r="39" spans="1:9" x14ac:dyDescent="0.35">
      <c r="B39" s="26" t="s">
        <v>189</v>
      </c>
      <c r="F39" s="26" t="s">
        <v>190</v>
      </c>
      <c r="I39" s="26" t="s">
        <v>179</v>
      </c>
    </row>
    <row r="41" spans="1:9" x14ac:dyDescent="0.35">
      <c r="I41" s="26" t="s">
        <v>143</v>
      </c>
    </row>
    <row r="42" spans="1:9" x14ac:dyDescent="0.35">
      <c r="A42" s="26" t="s">
        <v>191</v>
      </c>
      <c r="B42" s="26" t="s">
        <v>192</v>
      </c>
      <c r="I42" s="26" t="s">
        <v>186</v>
      </c>
    </row>
    <row r="44" spans="1:9" x14ac:dyDescent="0.35">
      <c r="B44" s="26" t="s">
        <v>172</v>
      </c>
      <c r="D44" s="26" t="s">
        <v>194</v>
      </c>
    </row>
    <row r="45" spans="1:9" x14ac:dyDescent="0.35">
      <c r="B45" s="26" t="s">
        <v>176</v>
      </c>
      <c r="D45" s="26" t="s">
        <v>181</v>
      </c>
    </row>
    <row r="46" spans="1:9" x14ac:dyDescent="0.35">
      <c r="B46" s="26" t="s">
        <v>190</v>
      </c>
      <c r="D46" s="26" t="s">
        <v>182</v>
      </c>
      <c r="I46" s="26">
        <f>C49*100</f>
        <v>7.7200000000000006</v>
      </c>
    </row>
    <row r="48" spans="1:9" x14ac:dyDescent="0.35">
      <c r="B48" s="26" t="s">
        <v>188</v>
      </c>
      <c r="C48" s="26">
        <v>22.962</v>
      </c>
      <c r="D48" s="26" t="s">
        <v>195</v>
      </c>
    </row>
    <row r="49" spans="2:4" x14ac:dyDescent="0.35">
      <c r="B49" s="26" t="s">
        <v>193</v>
      </c>
      <c r="C49" s="26">
        <v>7.7200000000000005E-2</v>
      </c>
      <c r="D49" s="26" t="s">
        <v>196</v>
      </c>
    </row>
    <row r="52" spans="2:4" x14ac:dyDescent="0.35">
      <c r="B52" s="26" t="s">
        <v>154</v>
      </c>
      <c r="C52" s="26">
        <f>C48*EXP(C49)*2024</f>
        <v>50205.090558125565</v>
      </c>
    </row>
    <row r="54" spans="2:4" x14ac:dyDescent="0.35">
      <c r="B54" s="26" t="s">
        <v>198</v>
      </c>
      <c r="C54" s="26" t="s">
        <v>197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1"/>
  <sheetViews>
    <sheetView topLeftCell="A3" workbookViewId="0">
      <selection activeCell="B24" sqref="B24"/>
    </sheetView>
  </sheetViews>
  <sheetFormatPr defaultColWidth="9.1796875" defaultRowHeight="14.5" x14ac:dyDescent="0.35"/>
  <cols>
    <col min="1" max="1" width="18.453125" style="22" customWidth="1"/>
    <col min="2" max="2" width="13.54296875" style="22" customWidth="1"/>
    <col min="3" max="16384" width="9.1796875" style="22"/>
  </cols>
  <sheetData>
    <row r="1" spans="1:16" x14ac:dyDescent="0.35">
      <c r="A1" t="s">
        <v>1</v>
      </c>
      <c r="B1"/>
      <c r="C1"/>
      <c r="D1"/>
      <c r="E1"/>
      <c r="F1"/>
      <c r="G1"/>
      <c r="H1"/>
      <c r="I1"/>
      <c r="J1"/>
    </row>
    <row r="2" spans="1:16" x14ac:dyDescent="0.35">
      <c r="A2"/>
      <c r="B2"/>
      <c r="C2"/>
      <c r="D2"/>
      <c r="E2"/>
      <c r="F2"/>
      <c r="G2"/>
      <c r="H2"/>
      <c r="I2"/>
      <c r="J2"/>
    </row>
    <row r="3" spans="1:16" x14ac:dyDescent="0.35">
      <c r="A3" t="s">
        <v>1</v>
      </c>
      <c r="B3"/>
      <c r="C3"/>
      <c r="D3"/>
      <c r="E3"/>
      <c r="F3"/>
      <c r="G3"/>
      <c r="H3"/>
      <c r="I3"/>
      <c r="J3"/>
    </row>
    <row r="4" spans="1:16" x14ac:dyDescent="0.35">
      <c r="A4"/>
      <c r="B4"/>
      <c r="C4"/>
      <c r="D4"/>
      <c r="E4"/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15" thickBot="1" x14ac:dyDescent="0.4">
      <c r="A5" s="5" t="s">
        <v>3</v>
      </c>
      <c r="B5" s="5" t="s">
        <v>98</v>
      </c>
      <c r="C5" t="s">
        <v>164</v>
      </c>
      <c r="D5"/>
      <c r="E5"/>
      <c r="F5"/>
      <c r="G5"/>
      <c r="H5"/>
      <c r="I5"/>
      <c r="J5"/>
    </row>
    <row r="6" spans="1:16" x14ac:dyDescent="0.35">
      <c r="A6" s="16">
        <v>2010</v>
      </c>
      <c r="B6" s="70">
        <v>101</v>
      </c>
      <c r="C6">
        <f>B7/B6*100</f>
        <v>95.049504950495049</v>
      </c>
      <c r="D6"/>
      <c r="E6"/>
      <c r="F6"/>
      <c r="G6"/>
      <c r="H6"/>
      <c r="I6"/>
      <c r="J6"/>
    </row>
    <row r="7" spans="1:16" x14ac:dyDescent="0.35">
      <c r="A7" s="15">
        <v>2011</v>
      </c>
      <c r="B7" s="65">
        <v>96</v>
      </c>
      <c r="C7">
        <f t="shared" ref="C7:C18" si="0">B8/B7*100</f>
        <v>101.04166666666667</v>
      </c>
      <c r="D7"/>
      <c r="E7"/>
      <c r="F7"/>
      <c r="G7"/>
      <c r="H7"/>
      <c r="I7"/>
      <c r="J7" s="23"/>
    </row>
    <row r="8" spans="1:16" x14ac:dyDescent="0.35">
      <c r="A8" s="16">
        <v>2012</v>
      </c>
      <c r="B8" s="65">
        <v>97</v>
      </c>
      <c r="C8">
        <f t="shared" si="0"/>
        <v>102.06185567010309</v>
      </c>
      <c r="D8"/>
      <c r="E8"/>
      <c r="F8"/>
      <c r="G8"/>
      <c r="H8"/>
      <c r="I8"/>
    </row>
    <row r="9" spans="1:16" x14ac:dyDescent="0.35">
      <c r="A9" s="15">
        <v>2013</v>
      </c>
      <c r="B9" s="65">
        <v>99</v>
      </c>
      <c r="C9">
        <f t="shared" si="0"/>
        <v>101.01010101010101</v>
      </c>
      <c r="D9"/>
      <c r="E9"/>
      <c r="F9"/>
      <c r="G9"/>
      <c r="H9"/>
      <c r="I9"/>
    </row>
    <row r="10" spans="1:16" x14ac:dyDescent="0.35">
      <c r="A10" s="16">
        <v>2014</v>
      </c>
      <c r="B10" s="65">
        <v>100</v>
      </c>
      <c r="C10">
        <f t="shared" si="0"/>
        <v>101</v>
      </c>
      <c r="D10"/>
      <c r="E10"/>
      <c r="F10"/>
      <c r="G10"/>
      <c r="H10"/>
      <c r="I10"/>
    </row>
    <row r="11" spans="1:16" x14ac:dyDescent="0.35">
      <c r="A11" s="15">
        <v>2015</v>
      </c>
      <c r="B11" s="65">
        <v>101</v>
      </c>
      <c r="C11">
        <f t="shared" si="0"/>
        <v>101.98019801980197</v>
      </c>
      <c r="D11"/>
      <c r="E11"/>
      <c r="F11"/>
      <c r="G11"/>
      <c r="H11"/>
      <c r="I11"/>
    </row>
    <row r="12" spans="1:16" x14ac:dyDescent="0.35">
      <c r="A12" s="16">
        <v>2016</v>
      </c>
      <c r="B12" s="65">
        <v>103</v>
      </c>
      <c r="C12">
        <f t="shared" si="0"/>
        <v>100</v>
      </c>
      <c r="D12"/>
      <c r="E12"/>
      <c r="F12"/>
      <c r="G12"/>
      <c r="H12"/>
      <c r="I12"/>
    </row>
    <row r="13" spans="1:16" x14ac:dyDescent="0.35">
      <c r="A13" s="15">
        <v>2017</v>
      </c>
      <c r="B13" s="65">
        <v>103</v>
      </c>
      <c r="C13">
        <f t="shared" si="0"/>
        <v>102.91262135922329</v>
      </c>
      <c r="D13"/>
      <c r="E13"/>
      <c r="F13"/>
      <c r="G13"/>
      <c r="H13"/>
      <c r="I13"/>
    </row>
    <row r="14" spans="1:16" x14ac:dyDescent="0.35">
      <c r="A14" s="16">
        <v>2018</v>
      </c>
      <c r="B14" s="65">
        <v>106</v>
      </c>
      <c r="C14">
        <f t="shared" si="0"/>
        <v>101.88679245283019</v>
      </c>
      <c r="D14"/>
      <c r="E14"/>
      <c r="F14"/>
      <c r="G14"/>
      <c r="H14"/>
      <c r="I14"/>
    </row>
    <row r="15" spans="1:16" x14ac:dyDescent="0.35">
      <c r="A15" s="15">
        <v>2019</v>
      </c>
      <c r="B15" s="65">
        <v>108</v>
      </c>
      <c r="C15">
        <f t="shared" si="0"/>
        <v>100</v>
      </c>
      <c r="D15"/>
      <c r="E15"/>
      <c r="F15"/>
      <c r="G15"/>
      <c r="H15"/>
      <c r="I15"/>
    </row>
    <row r="16" spans="1:16" x14ac:dyDescent="0.35">
      <c r="A16" s="16">
        <v>2020</v>
      </c>
      <c r="B16" s="65">
        <v>108</v>
      </c>
      <c r="C16">
        <f t="shared" si="0"/>
        <v>100.92592592592592</v>
      </c>
      <c r="D16"/>
      <c r="E16"/>
      <c r="F16"/>
      <c r="G16"/>
      <c r="H16"/>
      <c r="I16"/>
    </row>
    <row r="17" spans="1:9" x14ac:dyDescent="0.35">
      <c r="A17" s="15">
        <v>2021</v>
      </c>
      <c r="B17" s="65">
        <v>109</v>
      </c>
      <c r="C17">
        <f t="shared" si="0"/>
        <v>100</v>
      </c>
      <c r="D17"/>
      <c r="E17"/>
      <c r="F17"/>
      <c r="G17"/>
      <c r="H17"/>
      <c r="I17"/>
    </row>
    <row r="18" spans="1:9" x14ac:dyDescent="0.35">
      <c r="A18" s="16">
        <v>2022</v>
      </c>
      <c r="B18" s="65">
        <v>109</v>
      </c>
      <c r="C18">
        <f t="shared" si="0"/>
        <v>100</v>
      </c>
      <c r="D18"/>
      <c r="E18"/>
      <c r="F18"/>
      <c r="G18"/>
      <c r="H18"/>
      <c r="I18"/>
    </row>
    <row r="19" spans="1:9" x14ac:dyDescent="0.35">
      <c r="B19" s="115">
        <f>MAX(B6:B18)</f>
        <v>109</v>
      </c>
    </row>
    <row r="21" spans="1:9" x14ac:dyDescent="0.35">
      <c r="A21" s="22" t="s">
        <v>199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0051-B095-494D-9A66-3C3E162D24D6}">
  <dimension ref="A1:D18"/>
  <sheetViews>
    <sheetView workbookViewId="0">
      <selection activeCell="F6" sqref="F6"/>
    </sheetView>
  </sheetViews>
  <sheetFormatPr defaultRowHeight="14.5" x14ac:dyDescent="0.35"/>
  <sheetData>
    <row r="1" spans="1:4" x14ac:dyDescent="0.35">
      <c r="A1" s="102" t="s">
        <v>64</v>
      </c>
      <c r="B1" s="102"/>
      <c r="C1" s="102" t="s">
        <v>63</v>
      </c>
      <c r="D1" s="102"/>
    </row>
    <row r="2" spans="1:4" x14ac:dyDescent="0.35">
      <c r="A2" s="100"/>
      <c r="B2" s="100"/>
      <c r="C2" s="100"/>
      <c r="D2" s="100"/>
    </row>
    <row r="3" spans="1:4" x14ac:dyDescent="0.35">
      <c r="A3" s="100" t="s">
        <v>201</v>
      </c>
      <c r="B3" s="100">
        <v>15.5</v>
      </c>
      <c r="C3" s="100" t="s">
        <v>201</v>
      </c>
      <c r="D3" s="100">
        <v>23.566666666666666</v>
      </c>
    </row>
    <row r="4" spans="1:4" x14ac:dyDescent="0.35">
      <c r="A4" s="100" t="s">
        <v>202</v>
      </c>
      <c r="B4" s="100">
        <v>1.6072751268321592</v>
      </c>
      <c r="C4" s="100" t="s">
        <v>202</v>
      </c>
      <c r="D4" s="100">
        <v>0.96809248790293667</v>
      </c>
    </row>
    <row r="5" spans="1:4" x14ac:dyDescent="0.35">
      <c r="A5" s="100" t="s">
        <v>203</v>
      </c>
      <c r="B5" s="100">
        <v>15.5</v>
      </c>
      <c r="C5" s="100" t="s">
        <v>203</v>
      </c>
      <c r="D5" s="100">
        <v>23</v>
      </c>
    </row>
    <row r="6" spans="1:4" x14ac:dyDescent="0.35">
      <c r="A6" s="100" t="s">
        <v>204</v>
      </c>
      <c r="B6" s="100" t="e">
        <v>#N/A</v>
      </c>
      <c r="C6" s="100" t="s">
        <v>204</v>
      </c>
      <c r="D6" s="100">
        <v>20</v>
      </c>
    </row>
    <row r="7" spans="1:4" x14ac:dyDescent="0.35">
      <c r="A7" s="100" t="s">
        <v>205</v>
      </c>
      <c r="B7" s="100">
        <v>8.8034084308295046</v>
      </c>
      <c r="C7" s="100" t="s">
        <v>205</v>
      </c>
      <c r="D7" s="100">
        <v>5.3024609337573558</v>
      </c>
    </row>
    <row r="8" spans="1:4" x14ac:dyDescent="0.35">
      <c r="A8" s="100" t="s">
        <v>206</v>
      </c>
      <c r="B8" s="100">
        <v>77.5</v>
      </c>
      <c r="C8" s="100" t="s">
        <v>206</v>
      </c>
      <c r="D8" s="100">
        <v>28.116091954022931</v>
      </c>
    </row>
    <row r="9" spans="1:4" x14ac:dyDescent="0.35">
      <c r="A9" s="100" t="s">
        <v>207</v>
      </c>
      <c r="B9" s="100">
        <v>-1.1999999999999997</v>
      </c>
      <c r="C9" s="100" t="s">
        <v>207</v>
      </c>
      <c r="D9" s="100">
        <v>-0.67624955799565845</v>
      </c>
    </row>
    <row r="10" spans="1:4" x14ac:dyDescent="0.35">
      <c r="A10" s="100" t="s">
        <v>208</v>
      </c>
      <c r="B10" s="100">
        <v>6.5628947268482166E-17</v>
      </c>
      <c r="C10" s="100" t="s">
        <v>208</v>
      </c>
      <c r="D10" s="100">
        <v>0.20207517737887681</v>
      </c>
    </row>
    <row r="11" spans="1:4" x14ac:dyDescent="0.35">
      <c r="A11" s="100" t="s">
        <v>209</v>
      </c>
      <c r="B11" s="100">
        <v>29</v>
      </c>
      <c r="C11" s="100" t="s">
        <v>209</v>
      </c>
      <c r="D11" s="100">
        <v>21</v>
      </c>
    </row>
    <row r="12" spans="1:4" x14ac:dyDescent="0.35">
      <c r="A12" s="100" t="s">
        <v>210</v>
      </c>
      <c r="B12" s="100">
        <v>1</v>
      </c>
      <c r="C12" s="100" t="s">
        <v>210</v>
      </c>
      <c r="D12" s="100">
        <v>14</v>
      </c>
    </row>
    <row r="13" spans="1:4" x14ac:dyDescent="0.35">
      <c r="A13" s="100" t="s">
        <v>211</v>
      </c>
      <c r="B13" s="100">
        <v>30</v>
      </c>
      <c r="C13" s="100" t="s">
        <v>211</v>
      </c>
      <c r="D13" s="100">
        <v>35</v>
      </c>
    </row>
    <row r="14" spans="1:4" x14ac:dyDescent="0.35">
      <c r="A14" s="100" t="s">
        <v>212</v>
      </c>
      <c r="B14" s="100">
        <v>465</v>
      </c>
      <c r="C14" s="100" t="s">
        <v>212</v>
      </c>
      <c r="D14" s="100">
        <v>707</v>
      </c>
    </row>
    <row r="15" spans="1:4" x14ac:dyDescent="0.35">
      <c r="A15" s="100" t="s">
        <v>213</v>
      </c>
      <c r="B15" s="100">
        <v>30</v>
      </c>
      <c r="C15" s="100" t="s">
        <v>213</v>
      </c>
      <c r="D15" s="100">
        <v>30</v>
      </c>
    </row>
    <row r="16" spans="1:4" x14ac:dyDescent="0.35">
      <c r="A16" s="100" t="s">
        <v>214</v>
      </c>
      <c r="B16" s="100">
        <v>30</v>
      </c>
      <c r="C16" s="100" t="s">
        <v>214</v>
      </c>
      <c r="D16" s="100">
        <v>35</v>
      </c>
    </row>
    <row r="17" spans="1:4" ht="15" thickBot="1" x14ac:dyDescent="0.4">
      <c r="A17" s="101" t="s">
        <v>215</v>
      </c>
      <c r="B17" s="101">
        <v>1</v>
      </c>
      <c r="C17" s="101" t="s">
        <v>215</v>
      </c>
      <c r="D17" s="101">
        <v>14</v>
      </c>
    </row>
    <row r="18" spans="1:4" x14ac:dyDescent="0.35">
      <c r="B18" t="b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tabSelected="1" workbookViewId="0">
      <selection activeCell="D10" sqref="D10"/>
    </sheetView>
  </sheetViews>
  <sheetFormatPr defaultRowHeight="14.5" x14ac:dyDescent="0.35"/>
  <cols>
    <col min="1" max="1" width="22.1796875" customWidth="1"/>
    <col min="2" max="2" width="14.453125" customWidth="1"/>
    <col min="4" max="4" width="11.81640625" bestFit="1" customWidth="1"/>
    <col min="5" max="5" width="10.453125" bestFit="1" customWidth="1"/>
    <col min="14" max="14" width="12.1796875" customWidth="1"/>
  </cols>
  <sheetData>
    <row r="1" spans="1:9" x14ac:dyDescent="0.35">
      <c r="A1" t="s">
        <v>0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1" t="s">
        <v>64</v>
      </c>
      <c r="B5" s="69" t="s">
        <v>63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85">
        <v>1</v>
      </c>
      <c r="B6" s="71">
        <v>14</v>
      </c>
      <c r="C6" s="11"/>
      <c r="D6" s="11">
        <f>SKEW(A6:A35)</f>
        <v>6.5628947268482166E-17</v>
      </c>
      <c r="E6" s="11">
        <f>SKEW(B6:B35)</f>
        <v>0.20207517737887681</v>
      </c>
      <c r="F6" s="11"/>
      <c r="G6" s="11"/>
      <c r="H6" s="11"/>
      <c r="I6" s="11"/>
    </row>
    <row r="7" spans="1:9" x14ac:dyDescent="0.35">
      <c r="A7" s="85">
        <v>2</v>
      </c>
      <c r="B7" s="71">
        <v>15</v>
      </c>
      <c r="C7" s="11"/>
      <c r="D7" s="11">
        <f>KURT(A6:A35)</f>
        <v>-1.1999999999999997</v>
      </c>
      <c r="E7" s="11">
        <f>KURT(B6:B35)</f>
        <v>-0.67624955799565845</v>
      </c>
      <c r="F7" s="11"/>
      <c r="G7" s="11"/>
      <c r="H7" s="11"/>
      <c r="I7" s="11"/>
    </row>
    <row r="8" spans="1:9" x14ac:dyDescent="0.35">
      <c r="A8" s="85">
        <v>3</v>
      </c>
      <c r="B8" s="71">
        <v>18</v>
      </c>
      <c r="C8" s="11"/>
      <c r="D8" s="11" t="s">
        <v>200</v>
      </c>
      <c r="E8" s="11" t="s">
        <v>200</v>
      </c>
      <c r="F8" s="11"/>
      <c r="G8" s="11"/>
      <c r="H8" s="11"/>
      <c r="I8" s="11"/>
    </row>
    <row r="9" spans="1:9" x14ac:dyDescent="0.35">
      <c r="A9" s="85">
        <v>4</v>
      </c>
      <c r="B9" s="71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85">
        <v>5</v>
      </c>
      <c r="B10" s="71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85">
        <v>6</v>
      </c>
      <c r="B11" s="71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85">
        <v>7</v>
      </c>
      <c r="B12" s="71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85">
        <v>8</v>
      </c>
      <c r="B13" s="71">
        <v>30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85">
        <v>9</v>
      </c>
      <c r="B14" s="71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85">
        <v>10</v>
      </c>
      <c r="B15" s="71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85">
        <v>11</v>
      </c>
      <c r="B16" s="71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85">
        <v>12</v>
      </c>
      <c r="B17" s="71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85">
        <v>13</v>
      </c>
      <c r="B18" s="71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85">
        <v>14</v>
      </c>
      <c r="B19" s="71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85">
        <v>15</v>
      </c>
      <c r="B20" s="71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85">
        <v>16</v>
      </c>
      <c r="B21" s="71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85">
        <v>17</v>
      </c>
      <c r="B22" s="71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85">
        <v>18</v>
      </c>
      <c r="B23" s="71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85">
        <v>19</v>
      </c>
      <c r="B24" s="71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85">
        <v>20</v>
      </c>
      <c r="B25" s="71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85">
        <v>21</v>
      </c>
      <c r="B26" s="71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85">
        <v>22</v>
      </c>
      <c r="B27" s="71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85">
        <v>23</v>
      </c>
      <c r="B28" s="71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85">
        <v>24</v>
      </c>
      <c r="B29" s="71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85">
        <v>25</v>
      </c>
      <c r="B30" s="71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85">
        <v>26</v>
      </c>
      <c r="B31" s="71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85">
        <v>27</v>
      </c>
      <c r="B32" s="71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85">
        <v>28</v>
      </c>
      <c r="B33" s="71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85">
        <v>29</v>
      </c>
      <c r="B34" s="71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85">
        <v>30</v>
      </c>
      <c r="B35" s="71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30</v>
      </c>
    </row>
    <row r="5" spans="1:14" x14ac:dyDescent="0.35">
      <c r="A5" t="s">
        <v>7</v>
      </c>
    </row>
    <row r="8" spans="1:14" ht="15" customHeight="1" x14ac:dyDescent="0.35">
      <c r="A8" t="s">
        <v>8</v>
      </c>
    </row>
    <row r="11" spans="1:14" x14ac:dyDescent="0.35">
      <c r="A11" t="s">
        <v>9</v>
      </c>
    </row>
    <row r="12" spans="1:14" x14ac:dyDescent="0.35">
      <c r="N12" s="12"/>
    </row>
    <row r="14" spans="1:14" x14ac:dyDescent="0.35">
      <c r="A14" t="s">
        <v>10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2"/>
  <sheetViews>
    <sheetView zoomScaleNormal="100" workbookViewId="0"/>
  </sheetViews>
  <sheetFormatPr defaultRowHeight="14.5" x14ac:dyDescent="0.35"/>
  <cols>
    <col min="1" max="1" width="21.453125" bestFit="1" customWidth="1"/>
    <col min="2" max="3" width="18.1796875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0</v>
      </c>
    </row>
    <row r="3" spans="1:4" x14ac:dyDescent="0.35">
      <c r="B3" s="57"/>
      <c r="C3" s="57"/>
    </row>
    <row r="4" spans="1:4" ht="14.5" customHeight="1" x14ac:dyDescent="0.35">
      <c r="A4" s="55" t="s">
        <v>58</v>
      </c>
      <c r="B4" s="55" t="s">
        <v>59</v>
      </c>
      <c r="C4" s="55" t="s">
        <v>60</v>
      </c>
    </row>
    <row r="5" spans="1:4" x14ac:dyDescent="0.35">
      <c r="A5" s="54">
        <v>25</v>
      </c>
      <c r="B5" s="54">
        <v>56</v>
      </c>
      <c r="C5" s="54">
        <v>32</v>
      </c>
    </row>
    <row r="6" spans="1:4" x14ac:dyDescent="0.35">
      <c r="A6" s="54">
        <v>28</v>
      </c>
      <c r="B6" s="54">
        <v>45</v>
      </c>
      <c r="C6" s="54">
        <v>35</v>
      </c>
    </row>
    <row r="7" spans="1:4" x14ac:dyDescent="0.35">
      <c r="A7" s="54">
        <v>30</v>
      </c>
      <c r="B7" s="54">
        <v>51</v>
      </c>
      <c r="C7" s="54">
        <v>33</v>
      </c>
    </row>
    <row r="8" spans="1:4" x14ac:dyDescent="0.35">
      <c r="A8" s="54">
        <v>26</v>
      </c>
      <c r="B8" s="54">
        <v>45</v>
      </c>
      <c r="C8" s="54">
        <v>26</v>
      </c>
      <c r="D8" s="3"/>
    </row>
    <row r="9" spans="1:4" x14ac:dyDescent="0.35">
      <c r="A9" s="54">
        <v>34</v>
      </c>
      <c r="B9" s="54">
        <v>43</v>
      </c>
      <c r="C9" s="54">
        <v>34</v>
      </c>
    </row>
    <row r="10" spans="1:4" x14ac:dyDescent="0.35">
      <c r="A10" s="54">
        <v>29</v>
      </c>
      <c r="B10" s="54">
        <v>39</v>
      </c>
      <c r="C10" s="54">
        <v>31</v>
      </c>
    </row>
    <row r="11" spans="1:4" x14ac:dyDescent="0.35">
      <c r="A11" s="54">
        <v>31</v>
      </c>
      <c r="B11" s="54">
        <v>51</v>
      </c>
      <c r="C11" s="54">
        <v>30</v>
      </c>
    </row>
    <row r="12" spans="1:4" x14ac:dyDescent="0.35">
      <c r="A12" s="54">
        <v>29</v>
      </c>
      <c r="B12" s="54">
        <v>33</v>
      </c>
      <c r="C12" s="54">
        <v>31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E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16.1796875" bestFit="1" customWidth="1"/>
    <col min="4" max="4" width="32.453125" bestFit="1" customWidth="1"/>
    <col min="5" max="5" width="29.453125" bestFit="1" customWidth="1"/>
  </cols>
  <sheetData>
    <row r="1" spans="1:5" x14ac:dyDescent="0.35">
      <c r="A1" t="s">
        <v>1</v>
      </c>
    </row>
    <row r="3" spans="1:5" x14ac:dyDescent="0.35">
      <c r="A3" s="59"/>
      <c r="B3" s="57"/>
    </row>
    <row r="4" spans="1:5" ht="29" x14ac:dyDescent="0.35">
      <c r="A4" s="66" t="s">
        <v>70</v>
      </c>
      <c r="B4" s="66" t="s">
        <v>71</v>
      </c>
    </row>
    <row r="5" spans="1:5" x14ac:dyDescent="0.35">
      <c r="A5" s="65">
        <v>80</v>
      </c>
      <c r="B5" s="65">
        <v>66</v>
      </c>
    </row>
    <row r="6" spans="1:5" x14ac:dyDescent="0.35">
      <c r="A6" s="88">
        <v>70</v>
      </c>
      <c r="B6" s="65">
        <v>68</v>
      </c>
    </row>
    <row r="7" spans="1:5" x14ac:dyDescent="0.35">
      <c r="A7" s="65">
        <v>65</v>
      </c>
      <c r="B7" s="88">
        <v>65</v>
      </c>
    </row>
    <row r="8" spans="1:5" x14ac:dyDescent="0.35">
      <c r="A8" s="65">
        <v>59</v>
      </c>
      <c r="B8" s="65">
        <v>58</v>
      </c>
    </row>
    <row r="9" spans="1:5" x14ac:dyDescent="0.35">
      <c r="A9" s="65">
        <v>45</v>
      </c>
      <c r="B9" s="65">
        <v>54</v>
      </c>
    </row>
    <row r="10" spans="1:5" x14ac:dyDescent="0.35">
      <c r="A10" s="88">
        <v>45</v>
      </c>
      <c r="B10" s="65">
        <v>47</v>
      </c>
    </row>
    <row r="11" spans="1:5" x14ac:dyDescent="0.35">
      <c r="A11" s="65">
        <v>40</v>
      </c>
      <c r="B11" s="65">
        <v>42</v>
      </c>
    </row>
    <row r="12" spans="1:5" x14ac:dyDescent="0.35">
      <c r="A12" s="65">
        <v>37</v>
      </c>
      <c r="B12" s="65">
        <v>33</v>
      </c>
    </row>
    <row r="13" spans="1:5" x14ac:dyDescent="0.35">
      <c r="A13" s="65">
        <v>31</v>
      </c>
      <c r="B13" s="65">
        <v>34</v>
      </c>
    </row>
    <row r="14" spans="1:5" x14ac:dyDescent="0.35">
      <c r="A14" s="65">
        <v>27</v>
      </c>
      <c r="B14" s="88">
        <v>15</v>
      </c>
    </row>
    <row r="15" spans="1:5" x14ac:dyDescent="0.35">
      <c r="A15" s="65">
        <v>10</v>
      </c>
      <c r="B15" s="65">
        <v>22</v>
      </c>
    </row>
    <row r="16" spans="1:5" x14ac:dyDescent="0.35">
      <c r="A16" s="65">
        <v>10</v>
      </c>
      <c r="B16" s="65">
        <v>9</v>
      </c>
      <c r="C16" s="3"/>
      <c r="D16" s="3"/>
      <c r="E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796875" defaultRowHeight="14.5" x14ac:dyDescent="0.35"/>
  <cols>
    <col min="1" max="1" width="22.1796875" customWidth="1"/>
    <col min="2" max="5" width="12.26953125" customWidth="1"/>
    <col min="6" max="6" width="14.81640625" customWidth="1"/>
    <col min="7" max="7" width="11.81640625" customWidth="1"/>
  </cols>
  <sheetData>
    <row r="1" spans="1:5" x14ac:dyDescent="0.35">
      <c r="A1" t="s">
        <v>1</v>
      </c>
    </row>
    <row r="5" spans="1:5" x14ac:dyDescent="0.35">
      <c r="A5" s="56"/>
      <c r="B5" s="2"/>
      <c r="C5" s="89" t="s">
        <v>65</v>
      </c>
      <c r="D5" s="89" t="s">
        <v>66</v>
      </c>
      <c r="E5" s="89" t="s">
        <v>67</v>
      </c>
    </row>
    <row r="6" spans="1:5" x14ac:dyDescent="0.35">
      <c r="A6" s="12"/>
      <c r="B6" s="90" t="s">
        <v>68</v>
      </c>
      <c r="C6" s="2">
        <v>33</v>
      </c>
      <c r="D6" s="2">
        <v>67</v>
      </c>
      <c r="E6" s="2">
        <v>122</v>
      </c>
    </row>
    <row r="7" spans="1:5" x14ac:dyDescent="0.35">
      <c r="A7" s="12"/>
      <c r="B7" s="89" t="s">
        <v>69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56" zoomScaleNormal="100" workbookViewId="0">
      <selection activeCell="M83" sqref="M83"/>
    </sheetView>
  </sheetViews>
  <sheetFormatPr defaultColWidth="8.7265625" defaultRowHeight="14.5" x14ac:dyDescent="0.35"/>
  <cols>
    <col min="1" max="16384" width="8.7265625" style="82"/>
  </cols>
  <sheetData>
    <row r="2" spans="2:2" x14ac:dyDescent="0.35">
      <c r="B2" s="81"/>
    </row>
    <row r="89" spans="2:2" ht="18.5" x14ac:dyDescent="0.45">
      <c r="B89" s="83"/>
    </row>
    <row r="303" spans="2:2" ht="18.5" x14ac:dyDescent="0.45">
      <c r="B303" s="8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8F4C-F43C-4721-8B1C-A8F505018B29}">
  <dimension ref="A1:M37"/>
  <sheetViews>
    <sheetView workbookViewId="0">
      <selection activeCell="H13" sqref="H13"/>
    </sheetView>
  </sheetViews>
  <sheetFormatPr defaultRowHeight="14.5" x14ac:dyDescent="0.35"/>
  <cols>
    <col min="1" max="1" width="21.453125" bestFit="1" customWidth="1"/>
    <col min="2" max="2" width="20.1796875" customWidth="1"/>
    <col min="3" max="3" width="14.54296875" customWidth="1"/>
  </cols>
  <sheetData>
    <row r="1" spans="1:6" x14ac:dyDescent="0.35">
      <c r="A1" t="s">
        <v>1</v>
      </c>
      <c r="B1" s="58"/>
    </row>
    <row r="3" spans="1:6" x14ac:dyDescent="0.35">
      <c r="A3" s="19"/>
    </row>
    <row r="4" spans="1:6" ht="29" x14ac:dyDescent="0.35">
      <c r="A4" s="84" t="s">
        <v>73</v>
      </c>
      <c r="B4" s="60" t="s">
        <v>74</v>
      </c>
      <c r="C4" s="43"/>
    </row>
    <row r="5" spans="1:6" x14ac:dyDescent="0.35">
      <c r="A5" s="6" t="s">
        <v>75</v>
      </c>
      <c r="B5" s="62">
        <v>478</v>
      </c>
      <c r="C5" s="37"/>
      <c r="F5" s="12"/>
    </row>
    <row r="6" spans="1:6" x14ac:dyDescent="0.35">
      <c r="A6" s="6" t="s">
        <v>76</v>
      </c>
      <c r="B6" s="62">
        <v>519.20000000000005</v>
      </c>
      <c r="C6" s="37"/>
    </row>
    <row r="7" spans="1:6" x14ac:dyDescent="0.35">
      <c r="A7" s="6" t="s">
        <v>77</v>
      </c>
      <c r="B7" s="62">
        <v>435.3</v>
      </c>
      <c r="C7" s="37"/>
    </row>
    <row r="8" spans="1:6" x14ac:dyDescent="0.35">
      <c r="A8" s="6" t="s">
        <v>78</v>
      </c>
      <c r="B8" s="62">
        <v>398.6</v>
      </c>
      <c r="C8" s="37"/>
    </row>
    <row r="9" spans="1:6" x14ac:dyDescent="0.35">
      <c r="A9" s="6" t="s">
        <v>79</v>
      </c>
      <c r="B9" s="62">
        <v>404.8</v>
      </c>
      <c r="C9" s="37"/>
    </row>
    <row r="10" spans="1:6" x14ac:dyDescent="0.35">
      <c r="A10" s="6" t="s">
        <v>80</v>
      </c>
      <c r="B10" s="62">
        <v>356.8</v>
      </c>
      <c r="C10" s="37"/>
    </row>
    <row r="11" spans="1:6" x14ac:dyDescent="0.35">
      <c r="A11" s="6" t="s">
        <v>81</v>
      </c>
      <c r="B11" s="62">
        <v>373.1</v>
      </c>
      <c r="C11" s="37"/>
    </row>
    <row r="12" spans="1:6" x14ac:dyDescent="0.35">
      <c r="A12" s="6" t="s">
        <v>82</v>
      </c>
      <c r="B12" s="62">
        <v>391.4</v>
      </c>
      <c r="C12" s="37"/>
    </row>
    <row r="13" spans="1:6" x14ac:dyDescent="0.35">
      <c r="A13" s="6" t="s">
        <v>83</v>
      </c>
      <c r="B13" s="62">
        <v>408.5</v>
      </c>
      <c r="C13" s="37"/>
    </row>
    <row r="14" spans="1:6" x14ac:dyDescent="0.35">
      <c r="A14" s="6" t="s">
        <v>84</v>
      </c>
      <c r="B14" s="62">
        <v>461</v>
      </c>
      <c r="C14" s="37"/>
    </row>
    <row r="15" spans="1:6" x14ac:dyDescent="0.35">
      <c r="A15" s="6" t="s">
        <v>85</v>
      </c>
      <c r="B15" s="62">
        <v>445.7</v>
      </c>
    </row>
    <row r="16" spans="1:6" x14ac:dyDescent="0.35">
      <c r="A16" s="61" t="s">
        <v>86</v>
      </c>
      <c r="B16" s="62">
        <v>425.5</v>
      </c>
    </row>
    <row r="17" spans="1:13" x14ac:dyDescent="0.35">
      <c r="A17" s="6" t="s">
        <v>87</v>
      </c>
      <c r="B17" s="62">
        <v>389.4</v>
      </c>
    </row>
    <row r="18" spans="1:13" x14ac:dyDescent="0.35">
      <c r="A18" s="61" t="s">
        <v>88</v>
      </c>
      <c r="B18" s="62">
        <v>326.2</v>
      </c>
    </row>
    <row r="19" spans="1:13" x14ac:dyDescent="0.35">
      <c r="A19" s="61" t="s">
        <v>89</v>
      </c>
      <c r="B19" s="62">
        <v>304.10000000000002</v>
      </c>
    </row>
    <row r="20" spans="1:13" x14ac:dyDescent="0.35">
      <c r="A20" s="61" t="s">
        <v>90</v>
      </c>
      <c r="B20" s="62">
        <v>217.7</v>
      </c>
    </row>
    <row r="21" spans="1:13" x14ac:dyDescent="0.35">
      <c r="A21" s="61" t="s">
        <v>91</v>
      </c>
      <c r="B21" s="62">
        <v>189.7</v>
      </c>
      <c r="M21" s="12"/>
    </row>
    <row r="22" spans="1:13" x14ac:dyDescent="0.35">
      <c r="A22" s="61" t="s">
        <v>92</v>
      </c>
      <c r="B22" s="62">
        <v>162.69999999999999</v>
      </c>
      <c r="M22" s="12"/>
    </row>
    <row r="23" spans="1:13" x14ac:dyDescent="0.35">
      <c r="A23" s="61" t="s">
        <v>93</v>
      </c>
      <c r="B23" s="62">
        <v>174.8</v>
      </c>
      <c r="M23" s="12"/>
    </row>
    <row r="24" spans="1:13" x14ac:dyDescent="0.35">
      <c r="M24" s="12"/>
    </row>
    <row r="27" spans="1:13" x14ac:dyDescent="0.35">
      <c r="A27" t="s">
        <v>105</v>
      </c>
    </row>
    <row r="28" spans="1:13" x14ac:dyDescent="0.35">
      <c r="A28" t="s">
        <v>106</v>
      </c>
      <c r="B28" t="s">
        <v>107</v>
      </c>
    </row>
    <row r="29" spans="1:13" x14ac:dyDescent="0.35">
      <c r="A29" t="s">
        <v>108</v>
      </c>
      <c r="B29" t="s">
        <v>109</v>
      </c>
    </row>
    <row r="30" spans="1:13" x14ac:dyDescent="0.35">
      <c r="A30" t="s">
        <v>110</v>
      </c>
    </row>
    <row r="37" spans="1:2" x14ac:dyDescent="0.35">
      <c r="A37" s="40"/>
      <c r="B37" s="4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7DE6-5504-44B1-A428-BD8517B94E1E}">
  <dimension ref="A1:G118"/>
  <sheetViews>
    <sheetView topLeftCell="B1" workbookViewId="0">
      <selection activeCell="E23" sqref="E23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7.36328125" bestFit="1" customWidth="1"/>
    <col min="4" max="4" width="17.54296875" bestFit="1" customWidth="1"/>
    <col min="5" max="5" width="18.453125" bestFit="1" customWidth="1"/>
    <col min="6" max="7" width="11.453125" customWidth="1"/>
  </cols>
  <sheetData>
    <row r="1" spans="1:7" x14ac:dyDescent="0.35">
      <c r="A1" t="s">
        <v>31</v>
      </c>
    </row>
    <row r="3" spans="1:7" x14ac:dyDescent="0.35">
      <c r="C3" s="12" t="s">
        <v>7</v>
      </c>
      <c r="E3" s="12"/>
    </row>
    <row r="4" spans="1:7" x14ac:dyDescent="0.35">
      <c r="A4" s="63" t="s">
        <v>94</v>
      </c>
      <c r="B4" s="63" t="s">
        <v>95</v>
      </c>
      <c r="C4" s="12" t="s">
        <v>95</v>
      </c>
      <c r="D4" s="98">
        <f>MIN(B5:B28)</f>
        <v>12</v>
      </c>
      <c r="E4" s="3" t="s">
        <v>111</v>
      </c>
      <c r="F4" s="47"/>
      <c r="G4" s="17"/>
    </row>
    <row r="5" spans="1:7" x14ac:dyDescent="0.35">
      <c r="A5" s="65">
        <v>1</v>
      </c>
      <c r="B5" s="65">
        <v>85</v>
      </c>
      <c r="C5" s="12">
        <v>50</v>
      </c>
      <c r="D5" s="98">
        <f>MAX(B5:B28)</f>
        <v>176</v>
      </c>
      <c r="E5" s="46" t="s">
        <v>112</v>
      </c>
    </row>
    <row r="6" spans="1:7" x14ac:dyDescent="0.35">
      <c r="A6" s="65">
        <v>2</v>
      </c>
      <c r="B6" s="65">
        <v>172</v>
      </c>
      <c r="C6" s="12">
        <v>100</v>
      </c>
      <c r="E6" s="46"/>
    </row>
    <row r="7" spans="1:7" x14ac:dyDescent="0.35">
      <c r="A7" s="65">
        <v>3</v>
      </c>
      <c r="B7" s="65">
        <v>115</v>
      </c>
      <c r="C7" s="12">
        <v>150</v>
      </c>
      <c r="E7" s="46"/>
    </row>
    <row r="8" spans="1:7" x14ac:dyDescent="0.35">
      <c r="A8" s="65">
        <v>4</v>
      </c>
      <c r="B8" s="65">
        <v>90</v>
      </c>
      <c r="C8" s="12">
        <v>200</v>
      </c>
      <c r="E8" s="46"/>
    </row>
    <row r="9" spans="1:7" x14ac:dyDescent="0.35">
      <c r="A9" s="65">
        <v>5</v>
      </c>
      <c r="B9" s="65">
        <v>164</v>
      </c>
      <c r="C9" s="12"/>
      <c r="E9" s="46"/>
    </row>
    <row r="10" spans="1:7" x14ac:dyDescent="0.35">
      <c r="A10" s="65">
        <v>6</v>
      </c>
      <c r="B10" s="65">
        <v>40</v>
      </c>
      <c r="C10" s="12"/>
      <c r="D10" s="103" t="s">
        <v>95</v>
      </c>
      <c r="E10" s="103" t="s">
        <v>115</v>
      </c>
      <c r="F10" s="61" t="s">
        <v>114</v>
      </c>
    </row>
    <row r="11" spans="1:7" x14ac:dyDescent="0.35">
      <c r="A11" s="65">
        <v>7</v>
      </c>
      <c r="B11" s="65">
        <v>147</v>
      </c>
      <c r="C11" s="12">
        <v>0</v>
      </c>
      <c r="D11" s="104">
        <v>50</v>
      </c>
      <c r="E11" s="105">
        <v>5</v>
      </c>
      <c r="F11" s="61">
        <f>E11</f>
        <v>5</v>
      </c>
    </row>
    <row r="12" spans="1:7" x14ac:dyDescent="0.35">
      <c r="A12" s="65">
        <v>8</v>
      </c>
      <c r="B12" s="65">
        <v>104</v>
      </c>
      <c r="C12" s="12">
        <v>50</v>
      </c>
      <c r="D12" s="104">
        <v>100</v>
      </c>
      <c r="E12" s="105">
        <v>6</v>
      </c>
      <c r="F12" s="61">
        <f>E12+F11</f>
        <v>11</v>
      </c>
    </row>
    <row r="13" spans="1:7" x14ac:dyDescent="0.35">
      <c r="A13" s="65">
        <v>9</v>
      </c>
      <c r="B13" s="65">
        <v>107</v>
      </c>
      <c r="C13" s="12">
        <v>100</v>
      </c>
      <c r="D13" s="104">
        <v>150</v>
      </c>
      <c r="E13" s="105">
        <v>8</v>
      </c>
      <c r="F13" s="61">
        <f>E13+F12</f>
        <v>19</v>
      </c>
    </row>
    <row r="14" spans="1:7" x14ac:dyDescent="0.35">
      <c r="A14" s="65">
        <v>10</v>
      </c>
      <c r="B14" s="65">
        <v>153</v>
      </c>
      <c r="C14" s="12">
        <v>150</v>
      </c>
      <c r="D14" s="104">
        <v>200</v>
      </c>
      <c r="E14" s="105">
        <v>5</v>
      </c>
      <c r="F14" s="61">
        <f>E14+F13</f>
        <v>24</v>
      </c>
    </row>
    <row r="15" spans="1:7" x14ac:dyDescent="0.35">
      <c r="A15" s="65">
        <v>11</v>
      </c>
      <c r="B15" s="65">
        <v>69</v>
      </c>
      <c r="C15" s="12"/>
      <c r="D15" s="105" t="s">
        <v>113</v>
      </c>
      <c r="E15" s="105">
        <v>0</v>
      </c>
      <c r="F15" s="61"/>
    </row>
    <row r="16" spans="1:7" x14ac:dyDescent="0.35">
      <c r="A16" s="65">
        <v>12</v>
      </c>
      <c r="B16" s="65">
        <v>126</v>
      </c>
      <c r="C16" s="12"/>
    </row>
    <row r="17" spans="1:4" x14ac:dyDescent="0.35">
      <c r="A17" s="65">
        <v>13</v>
      </c>
      <c r="B17" s="65">
        <v>176</v>
      </c>
      <c r="C17" s="12"/>
    </row>
    <row r="18" spans="1:4" x14ac:dyDescent="0.35">
      <c r="A18" s="65">
        <v>14</v>
      </c>
      <c r="B18" s="65">
        <v>15</v>
      </c>
      <c r="C18" s="12"/>
      <c r="D18" s="45"/>
    </row>
    <row r="19" spans="1:4" x14ac:dyDescent="0.35">
      <c r="A19" s="65">
        <v>15</v>
      </c>
      <c r="B19" s="65">
        <v>145</v>
      </c>
      <c r="C19" t="s">
        <v>9</v>
      </c>
      <c r="D19" s="44"/>
    </row>
    <row r="20" spans="1:4" x14ac:dyDescent="0.35">
      <c r="A20" s="65">
        <v>16</v>
      </c>
      <c r="B20" s="65">
        <v>102</v>
      </c>
      <c r="C20" t="s">
        <v>116</v>
      </c>
      <c r="D20" s="44"/>
    </row>
    <row r="21" spans="1:4" x14ac:dyDescent="0.35">
      <c r="A21" s="65">
        <v>17</v>
      </c>
      <c r="B21" s="65">
        <v>98</v>
      </c>
      <c r="D21" s="44"/>
    </row>
    <row r="22" spans="1:4" x14ac:dyDescent="0.35">
      <c r="A22" s="65">
        <v>18</v>
      </c>
      <c r="B22" s="65">
        <v>152</v>
      </c>
      <c r="C22" t="s">
        <v>117</v>
      </c>
      <c r="D22" s="44"/>
    </row>
    <row r="23" spans="1:4" x14ac:dyDescent="0.35">
      <c r="A23" s="65">
        <v>19</v>
      </c>
      <c r="B23" s="65">
        <v>25</v>
      </c>
      <c r="D23" s="44"/>
    </row>
    <row r="24" spans="1:4" x14ac:dyDescent="0.35">
      <c r="A24" s="65">
        <v>20</v>
      </c>
      <c r="B24" s="65">
        <v>12</v>
      </c>
      <c r="D24" s="44"/>
    </row>
    <row r="25" spans="1:4" x14ac:dyDescent="0.35">
      <c r="A25" s="65">
        <v>21</v>
      </c>
      <c r="B25" s="65">
        <v>57</v>
      </c>
      <c r="D25" s="44"/>
    </row>
    <row r="26" spans="1:4" x14ac:dyDescent="0.35">
      <c r="A26" s="65">
        <v>22</v>
      </c>
      <c r="B26" s="65">
        <v>28</v>
      </c>
      <c r="D26" s="44"/>
    </row>
    <row r="27" spans="1:4" x14ac:dyDescent="0.35">
      <c r="A27" s="65">
        <v>23</v>
      </c>
      <c r="B27" s="65">
        <v>103</v>
      </c>
      <c r="D27" s="44"/>
    </row>
    <row r="28" spans="1:4" x14ac:dyDescent="0.35">
      <c r="A28" s="65">
        <v>24</v>
      </c>
      <c r="B28" s="65">
        <v>60</v>
      </c>
      <c r="D28" s="44"/>
    </row>
    <row r="29" spans="1:4" x14ac:dyDescent="0.35">
      <c r="B29" s="44"/>
    </row>
    <row r="30" spans="1:4" x14ac:dyDescent="0.35">
      <c r="B30" s="44"/>
    </row>
    <row r="31" spans="1:4" x14ac:dyDescent="0.35">
      <c r="B31" s="44"/>
    </row>
    <row r="32" spans="1:4" x14ac:dyDescent="0.35">
      <c r="B32" s="44"/>
    </row>
    <row r="33" spans="2:2" x14ac:dyDescent="0.35">
      <c r="B33" s="44"/>
    </row>
    <row r="34" spans="2:2" x14ac:dyDescent="0.35">
      <c r="B34" s="44"/>
    </row>
    <row r="35" spans="2:2" x14ac:dyDescent="0.35">
      <c r="B35" s="44"/>
    </row>
    <row r="36" spans="2:2" x14ac:dyDescent="0.35">
      <c r="B36" s="44"/>
    </row>
    <row r="37" spans="2:2" x14ac:dyDescent="0.35">
      <c r="B37" s="44"/>
    </row>
    <row r="38" spans="2:2" x14ac:dyDescent="0.35">
      <c r="B38" s="44"/>
    </row>
    <row r="39" spans="2:2" x14ac:dyDescent="0.35">
      <c r="B39" s="44"/>
    </row>
    <row r="40" spans="2:2" x14ac:dyDescent="0.35">
      <c r="B40" s="44"/>
    </row>
    <row r="41" spans="2:2" x14ac:dyDescent="0.35">
      <c r="B41" s="44"/>
    </row>
    <row r="42" spans="2:2" x14ac:dyDescent="0.35">
      <c r="B42" s="44"/>
    </row>
    <row r="43" spans="2:2" x14ac:dyDescent="0.35">
      <c r="B43" s="44"/>
    </row>
    <row r="44" spans="2:2" x14ac:dyDescent="0.35">
      <c r="B44" s="44"/>
    </row>
    <row r="45" spans="2:2" x14ac:dyDescent="0.35">
      <c r="B45" s="44"/>
    </row>
    <row r="46" spans="2:2" x14ac:dyDescent="0.35">
      <c r="B46" s="44"/>
    </row>
    <row r="47" spans="2:2" x14ac:dyDescent="0.35">
      <c r="B47" s="44"/>
    </row>
    <row r="48" spans="2:2" x14ac:dyDescent="0.35">
      <c r="B48" s="44"/>
    </row>
    <row r="49" spans="2:2" x14ac:dyDescent="0.35">
      <c r="B49" s="44"/>
    </row>
    <row r="50" spans="2:2" x14ac:dyDescent="0.35">
      <c r="B50" s="44"/>
    </row>
    <row r="51" spans="2:2" x14ac:dyDescent="0.35">
      <c r="B51" s="44"/>
    </row>
    <row r="52" spans="2:2" x14ac:dyDescent="0.35">
      <c r="B52" s="44"/>
    </row>
    <row r="53" spans="2:2" x14ac:dyDescent="0.35">
      <c r="B53" s="44"/>
    </row>
    <row r="54" spans="2:2" x14ac:dyDescent="0.35">
      <c r="B54" s="44"/>
    </row>
    <row r="55" spans="2:2" x14ac:dyDescent="0.35">
      <c r="B55" s="44"/>
    </row>
    <row r="56" spans="2:2" x14ac:dyDescent="0.35">
      <c r="B56" s="44"/>
    </row>
    <row r="57" spans="2:2" x14ac:dyDescent="0.35">
      <c r="B57" s="44"/>
    </row>
    <row r="58" spans="2:2" x14ac:dyDescent="0.35">
      <c r="B58" s="44"/>
    </row>
    <row r="59" spans="2:2" x14ac:dyDescent="0.35">
      <c r="B59" s="44"/>
    </row>
    <row r="60" spans="2:2" x14ac:dyDescent="0.35">
      <c r="B60" s="44"/>
    </row>
    <row r="61" spans="2:2" x14ac:dyDescent="0.35">
      <c r="B61" s="44"/>
    </row>
    <row r="62" spans="2:2" x14ac:dyDescent="0.35">
      <c r="B62" s="44"/>
    </row>
    <row r="63" spans="2:2" x14ac:dyDescent="0.35">
      <c r="B63" s="44"/>
    </row>
    <row r="64" spans="2:2" x14ac:dyDescent="0.35">
      <c r="B64" s="44"/>
    </row>
    <row r="65" spans="2:2" x14ac:dyDescent="0.35">
      <c r="B65" s="44"/>
    </row>
    <row r="66" spans="2:2" x14ac:dyDescent="0.35">
      <c r="B66" s="44"/>
    </row>
    <row r="67" spans="2:2" x14ac:dyDescent="0.35">
      <c r="B67" s="44"/>
    </row>
    <row r="68" spans="2:2" x14ac:dyDescent="0.35">
      <c r="B68" s="44"/>
    </row>
    <row r="69" spans="2:2" x14ac:dyDescent="0.35">
      <c r="B69" s="44"/>
    </row>
    <row r="70" spans="2:2" x14ac:dyDescent="0.35">
      <c r="B70" s="44"/>
    </row>
    <row r="71" spans="2:2" x14ac:dyDescent="0.35">
      <c r="B71" s="44"/>
    </row>
    <row r="72" spans="2:2" x14ac:dyDescent="0.35">
      <c r="B72" s="44"/>
    </row>
    <row r="73" spans="2:2" x14ac:dyDescent="0.35">
      <c r="B73" s="44"/>
    </row>
    <row r="74" spans="2:2" x14ac:dyDescent="0.35">
      <c r="B74" s="44"/>
    </row>
    <row r="75" spans="2:2" x14ac:dyDescent="0.35">
      <c r="B75" s="44"/>
    </row>
    <row r="76" spans="2:2" x14ac:dyDescent="0.35">
      <c r="B76" s="44"/>
    </row>
    <row r="77" spans="2:2" x14ac:dyDescent="0.35">
      <c r="B77" s="44"/>
    </row>
    <row r="78" spans="2:2" x14ac:dyDescent="0.35">
      <c r="B78" s="44"/>
    </row>
    <row r="79" spans="2:2" x14ac:dyDescent="0.35">
      <c r="B79" s="44"/>
    </row>
    <row r="80" spans="2:2" x14ac:dyDescent="0.35">
      <c r="B80" s="44"/>
    </row>
    <row r="81" spans="2:2" x14ac:dyDescent="0.35">
      <c r="B81" s="44"/>
    </row>
    <row r="82" spans="2:2" x14ac:dyDescent="0.35">
      <c r="B82" s="44"/>
    </row>
    <row r="83" spans="2:2" x14ac:dyDescent="0.35">
      <c r="B83" s="44"/>
    </row>
    <row r="84" spans="2:2" x14ac:dyDescent="0.35">
      <c r="B84" s="44"/>
    </row>
    <row r="85" spans="2:2" x14ac:dyDescent="0.35">
      <c r="B85" s="44"/>
    </row>
    <row r="86" spans="2:2" x14ac:dyDescent="0.35">
      <c r="B86" s="44"/>
    </row>
    <row r="87" spans="2:2" x14ac:dyDescent="0.35">
      <c r="B87" s="44"/>
    </row>
    <row r="88" spans="2:2" x14ac:dyDescent="0.35">
      <c r="B88" s="44"/>
    </row>
    <row r="89" spans="2:2" x14ac:dyDescent="0.35">
      <c r="B89" s="44"/>
    </row>
    <row r="90" spans="2:2" x14ac:dyDescent="0.35">
      <c r="B90" s="44"/>
    </row>
    <row r="91" spans="2:2" x14ac:dyDescent="0.35">
      <c r="B91" s="44"/>
    </row>
    <row r="92" spans="2:2" x14ac:dyDescent="0.35">
      <c r="B92" s="44"/>
    </row>
    <row r="93" spans="2:2" x14ac:dyDescent="0.35">
      <c r="B93" s="44"/>
    </row>
    <row r="94" spans="2:2" x14ac:dyDescent="0.35">
      <c r="B94" s="44"/>
    </row>
    <row r="95" spans="2:2" x14ac:dyDescent="0.35">
      <c r="B95" s="44"/>
    </row>
    <row r="96" spans="2:2" x14ac:dyDescent="0.35">
      <c r="B96" s="44"/>
    </row>
    <row r="97" spans="2:4" x14ac:dyDescent="0.35">
      <c r="B97" s="44"/>
    </row>
    <row r="98" spans="2:4" x14ac:dyDescent="0.35">
      <c r="B98" s="44"/>
    </row>
    <row r="99" spans="2:4" x14ac:dyDescent="0.35">
      <c r="B99" s="44"/>
    </row>
    <row r="100" spans="2:4" x14ac:dyDescent="0.35">
      <c r="B100" s="44"/>
    </row>
    <row r="101" spans="2:4" x14ac:dyDescent="0.35">
      <c r="B101" s="44"/>
    </row>
    <row r="102" spans="2:4" x14ac:dyDescent="0.35">
      <c r="B102" s="44"/>
    </row>
    <row r="103" spans="2:4" x14ac:dyDescent="0.35">
      <c r="B103" s="44"/>
    </row>
    <row r="104" spans="2:4" x14ac:dyDescent="0.35">
      <c r="B104" s="44"/>
    </row>
    <row r="105" spans="2:4" x14ac:dyDescent="0.35">
      <c r="D105" s="44"/>
    </row>
    <row r="106" spans="2:4" x14ac:dyDescent="0.35">
      <c r="D106" s="44"/>
    </row>
    <row r="107" spans="2:4" x14ac:dyDescent="0.35">
      <c r="D107" s="44"/>
    </row>
    <row r="108" spans="2:4" x14ac:dyDescent="0.35">
      <c r="D108" s="44"/>
    </row>
    <row r="109" spans="2:4" x14ac:dyDescent="0.35">
      <c r="D109" s="44"/>
    </row>
    <row r="110" spans="2:4" x14ac:dyDescent="0.35">
      <c r="D110" s="44"/>
    </row>
    <row r="111" spans="2:4" x14ac:dyDescent="0.35">
      <c r="D111" s="44"/>
    </row>
    <row r="112" spans="2:4" x14ac:dyDescent="0.35">
      <c r="D112" s="44"/>
    </row>
    <row r="113" spans="4:4" x14ac:dyDescent="0.35">
      <c r="D113" s="44"/>
    </row>
    <row r="114" spans="4:4" x14ac:dyDescent="0.35">
      <c r="D114" s="44"/>
    </row>
    <row r="115" spans="4:4" x14ac:dyDescent="0.35">
      <c r="D115" s="44"/>
    </row>
    <row r="116" spans="4:4" x14ac:dyDescent="0.35">
      <c r="D116" s="44"/>
    </row>
    <row r="117" spans="4:4" x14ac:dyDescent="0.35">
      <c r="D117" s="44"/>
    </row>
    <row r="118" spans="4:4" x14ac:dyDescent="0.35">
      <c r="D118" s="44"/>
    </row>
  </sheetData>
  <sortState xmlns:xlrd2="http://schemas.microsoft.com/office/spreadsheetml/2017/richdata2" ref="D11:D14">
    <sortCondition ref="D11"/>
  </sortState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16B-638A-4754-B334-7E62CE828256}">
  <dimension ref="A1:I24"/>
  <sheetViews>
    <sheetView zoomScaleNormal="100" workbookViewId="0">
      <selection activeCell="E22" sqref="E22"/>
    </sheetView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25.6328125" bestFit="1" customWidth="1"/>
    <col min="6" max="6" width="9.90625" customWidth="1"/>
    <col min="7" max="7" width="8.08984375" customWidth="1"/>
    <col min="8" max="8" width="8.7265625" customWidth="1"/>
    <col min="9" max="9" width="10.7265625" bestFit="1" customWidth="1"/>
    <col min="10" max="17" width="3.81640625" bestFit="1" customWidth="1"/>
    <col min="18" max="18" width="10.7265625" bestFit="1" customWidth="1"/>
    <col min="19" max="25" width="7.54296875" customWidth="1"/>
    <col min="26" max="26" width="11.1796875" bestFit="1" customWidth="1"/>
  </cols>
  <sheetData>
    <row r="1" spans="1:9" x14ac:dyDescent="0.35">
      <c r="A1" t="s">
        <v>2</v>
      </c>
    </row>
    <row r="4" spans="1:9" ht="29.5" thickBot="1" x14ac:dyDescent="0.4">
      <c r="A4" s="64" t="s">
        <v>32</v>
      </c>
      <c r="B4" s="10" t="s">
        <v>33</v>
      </c>
      <c r="C4" s="10" t="s">
        <v>96</v>
      </c>
      <c r="E4" s="19"/>
      <c r="F4" s="41"/>
    </row>
    <row r="5" spans="1:9" x14ac:dyDescent="0.35">
      <c r="A5" s="9">
        <v>1</v>
      </c>
      <c r="B5" s="8">
        <v>35</v>
      </c>
      <c r="C5" s="8">
        <v>195</v>
      </c>
      <c r="D5" s="40"/>
      <c r="E5" s="40"/>
      <c r="F5" s="40"/>
      <c r="G5" s="40"/>
      <c r="H5" s="40"/>
    </row>
    <row r="6" spans="1:9" x14ac:dyDescent="0.35">
      <c r="A6" s="6">
        <v>2</v>
      </c>
      <c r="B6" s="7">
        <v>42</v>
      </c>
      <c r="C6" s="7">
        <v>260</v>
      </c>
      <c r="D6" s="12"/>
      <c r="E6" s="106" t="s">
        <v>121</v>
      </c>
      <c r="F6" s="106" t="s">
        <v>118</v>
      </c>
    </row>
    <row r="7" spans="1:9" x14ac:dyDescent="0.35">
      <c r="A7" s="6">
        <v>3</v>
      </c>
      <c r="B7" s="7">
        <v>63</v>
      </c>
      <c r="C7" s="7">
        <v>390</v>
      </c>
      <c r="D7" s="12"/>
      <c r="E7" s="106" t="s">
        <v>120</v>
      </c>
      <c r="F7" s="107" t="s">
        <v>122</v>
      </c>
      <c r="G7" s="107" t="s">
        <v>123</v>
      </c>
      <c r="H7" s="107" t="s">
        <v>124</v>
      </c>
      <c r="I7" s="107" t="s">
        <v>119</v>
      </c>
    </row>
    <row r="8" spans="1:9" x14ac:dyDescent="0.35">
      <c r="A8" s="6">
        <v>4</v>
      </c>
      <c r="B8" s="7">
        <v>58</v>
      </c>
      <c r="C8" s="7">
        <v>325</v>
      </c>
      <c r="D8" s="12"/>
      <c r="E8" s="38" t="s">
        <v>125</v>
      </c>
      <c r="F8" s="99">
        <v>35</v>
      </c>
      <c r="G8" s="99"/>
      <c r="H8" s="99"/>
      <c r="I8" s="99">
        <v>35</v>
      </c>
    </row>
    <row r="9" spans="1:9" x14ac:dyDescent="0.35">
      <c r="A9" s="9">
        <v>5</v>
      </c>
      <c r="B9" s="7">
        <v>47</v>
      </c>
      <c r="C9" s="7">
        <v>291</v>
      </c>
      <c r="D9" s="12"/>
      <c r="E9" s="38" t="s">
        <v>126</v>
      </c>
      <c r="F9" s="99">
        <v>42</v>
      </c>
      <c r="G9" s="99"/>
      <c r="H9" s="99"/>
      <c r="I9" s="99">
        <v>42</v>
      </c>
    </row>
    <row r="10" spans="1:9" x14ac:dyDescent="0.35">
      <c r="A10" s="6">
        <v>6</v>
      </c>
      <c r="B10" s="7">
        <v>26</v>
      </c>
      <c r="C10" s="7">
        <v>130</v>
      </c>
      <c r="D10" s="12"/>
      <c r="E10" s="38" t="s">
        <v>127</v>
      </c>
      <c r="F10" s="99">
        <v>47</v>
      </c>
      <c r="G10" s="99">
        <v>47</v>
      </c>
      <c r="H10" s="99"/>
      <c r="I10" s="99">
        <v>47</v>
      </c>
    </row>
    <row r="11" spans="1:9" x14ac:dyDescent="0.35">
      <c r="A11" s="6">
        <v>7</v>
      </c>
      <c r="B11" s="7">
        <v>68</v>
      </c>
      <c r="C11" s="7">
        <v>455</v>
      </c>
      <c r="D11" s="12"/>
      <c r="E11" s="38" t="s">
        <v>128</v>
      </c>
      <c r="F11" s="99"/>
      <c r="G11" s="99">
        <v>63</v>
      </c>
      <c r="H11" s="99"/>
      <c r="I11" s="99">
        <v>63</v>
      </c>
    </row>
    <row r="12" spans="1:9" x14ac:dyDescent="0.35">
      <c r="A12" s="6">
        <v>8</v>
      </c>
      <c r="B12" s="7">
        <v>63</v>
      </c>
      <c r="C12" s="7">
        <v>425</v>
      </c>
      <c r="D12" s="12"/>
      <c r="E12" s="38" t="s">
        <v>129</v>
      </c>
      <c r="F12" s="99"/>
      <c r="G12" s="99">
        <v>68</v>
      </c>
      <c r="H12" s="99">
        <v>68</v>
      </c>
      <c r="I12" s="99">
        <v>68</v>
      </c>
    </row>
    <row r="13" spans="1:9" x14ac:dyDescent="0.35">
      <c r="A13" s="9">
        <v>9</v>
      </c>
      <c r="B13" s="7">
        <v>42</v>
      </c>
      <c r="C13" s="7">
        <v>228</v>
      </c>
      <c r="D13" s="12"/>
      <c r="E13" s="38" t="s">
        <v>130</v>
      </c>
      <c r="F13" s="99"/>
      <c r="G13" s="99"/>
      <c r="H13" s="99">
        <v>83</v>
      </c>
      <c r="I13" s="99">
        <v>83</v>
      </c>
    </row>
    <row r="14" spans="1:9" x14ac:dyDescent="0.35">
      <c r="A14" s="6">
        <v>10</v>
      </c>
      <c r="B14" s="7">
        <v>35</v>
      </c>
      <c r="C14" s="7">
        <v>195</v>
      </c>
      <c r="D14" s="12"/>
      <c r="E14" s="38" t="s">
        <v>119</v>
      </c>
      <c r="F14" s="99">
        <v>47</v>
      </c>
      <c r="G14" s="99">
        <v>68</v>
      </c>
      <c r="H14" s="99">
        <v>83</v>
      </c>
      <c r="I14" s="99">
        <v>83</v>
      </c>
    </row>
    <row r="15" spans="1:9" x14ac:dyDescent="0.35">
      <c r="A15" s="6">
        <v>11</v>
      </c>
      <c r="B15" s="7">
        <v>76</v>
      </c>
      <c r="C15" s="7">
        <v>487</v>
      </c>
    </row>
    <row r="16" spans="1:9" x14ac:dyDescent="0.35">
      <c r="A16" s="6">
        <v>12</v>
      </c>
      <c r="B16" s="7">
        <v>42</v>
      </c>
      <c r="C16" s="7">
        <v>242</v>
      </c>
      <c r="D16" s="39"/>
    </row>
    <row r="17" spans="1:8" x14ac:dyDescent="0.35">
      <c r="A17" s="9">
        <v>13</v>
      </c>
      <c r="B17" s="7">
        <v>58</v>
      </c>
      <c r="C17" s="7">
        <v>291</v>
      </c>
      <c r="D17" s="39"/>
    </row>
    <row r="18" spans="1:8" x14ac:dyDescent="0.35">
      <c r="A18" s="6">
        <v>14</v>
      </c>
      <c r="B18" s="7">
        <v>63</v>
      </c>
      <c r="C18" s="7">
        <v>357</v>
      </c>
      <c r="D18" s="39"/>
      <c r="E18" t="s">
        <v>8</v>
      </c>
      <c r="F18" t="s">
        <v>131</v>
      </c>
      <c r="H18" s="38"/>
    </row>
    <row r="19" spans="1:8" x14ac:dyDescent="0.35">
      <c r="A19" s="6">
        <v>15</v>
      </c>
      <c r="B19" s="7">
        <v>47</v>
      </c>
      <c r="C19" s="7">
        <v>260</v>
      </c>
      <c r="H19" s="38"/>
    </row>
    <row r="20" spans="1:8" x14ac:dyDescent="0.35">
      <c r="A20" s="6">
        <v>16</v>
      </c>
      <c r="B20" s="7">
        <v>68</v>
      </c>
      <c r="C20" s="7">
        <v>425</v>
      </c>
    </row>
    <row r="21" spans="1:8" x14ac:dyDescent="0.35">
      <c r="A21" s="9">
        <v>17</v>
      </c>
      <c r="B21" s="7">
        <v>76</v>
      </c>
      <c r="C21" s="7">
        <v>455</v>
      </c>
    </row>
    <row r="22" spans="1:8" x14ac:dyDescent="0.35">
      <c r="A22" s="6">
        <v>18</v>
      </c>
      <c r="B22" s="7">
        <v>83</v>
      </c>
      <c r="C22" s="7">
        <v>487</v>
      </c>
    </row>
    <row r="23" spans="1:8" x14ac:dyDescent="0.35">
      <c r="A23" s="6">
        <v>19</v>
      </c>
      <c r="B23" s="7">
        <v>47</v>
      </c>
      <c r="C23" s="7">
        <v>260</v>
      </c>
    </row>
    <row r="24" spans="1:8" x14ac:dyDescent="0.35">
      <c r="A24" s="6">
        <v>20</v>
      </c>
      <c r="B24" s="7">
        <v>58</v>
      </c>
      <c r="C24" s="7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A39D-D32C-4102-9F1D-0A082EC5D4B5}">
  <dimension ref="A1:P19"/>
  <sheetViews>
    <sheetView workbookViewId="0">
      <selection activeCell="D5" sqref="D5"/>
    </sheetView>
  </sheetViews>
  <sheetFormatPr defaultColWidth="9.1796875" defaultRowHeight="14.5" x14ac:dyDescent="0.35"/>
  <cols>
    <col min="1" max="1" width="9.1796875" style="22"/>
    <col min="2" max="2" width="16" style="22" customWidth="1"/>
    <col min="3" max="3" width="11.1796875" style="22" customWidth="1"/>
    <col min="4" max="4" width="11.1796875" style="22" bestFit="1" customWidth="1"/>
    <col min="5" max="16384" width="9.1796875" style="22"/>
  </cols>
  <sheetData>
    <row r="1" spans="1:16" x14ac:dyDescent="0.35">
      <c r="A1" t="s">
        <v>2</v>
      </c>
      <c r="B1" s="58"/>
    </row>
    <row r="3" spans="1:16" x14ac:dyDescent="0.35">
      <c r="A3" s="19"/>
      <c r="B3"/>
      <c r="C3" s="34"/>
      <c r="D3" s="25"/>
      <c r="E3" s="25"/>
    </row>
    <row r="4" spans="1:16" ht="58" x14ac:dyDescent="0.35">
      <c r="A4" s="66" t="s">
        <v>3</v>
      </c>
      <c r="B4" s="66" t="s">
        <v>97</v>
      </c>
    </row>
    <row r="5" spans="1:16" x14ac:dyDescent="0.35">
      <c r="A5" s="87">
        <v>2014</v>
      </c>
      <c r="B5" s="87">
        <v>119</v>
      </c>
      <c r="D5" s="22" t="s">
        <v>132</v>
      </c>
    </row>
    <row r="6" spans="1:16" x14ac:dyDescent="0.35">
      <c r="A6" s="87">
        <v>2015</v>
      </c>
      <c r="B6" s="87">
        <v>135</v>
      </c>
    </row>
    <row r="7" spans="1:16" x14ac:dyDescent="0.35">
      <c r="A7" s="87">
        <v>2016</v>
      </c>
      <c r="B7" s="87">
        <v>152</v>
      </c>
    </row>
    <row r="8" spans="1:16" x14ac:dyDescent="0.35">
      <c r="A8" s="87">
        <v>2017</v>
      </c>
      <c r="B8" s="87">
        <v>170</v>
      </c>
    </row>
    <row r="9" spans="1:16" x14ac:dyDescent="0.35">
      <c r="A9" s="87">
        <v>2018</v>
      </c>
      <c r="B9" s="87">
        <v>192</v>
      </c>
    </row>
    <row r="10" spans="1:16" x14ac:dyDescent="0.35">
      <c r="A10" s="87">
        <v>2019</v>
      </c>
      <c r="B10" s="87">
        <v>215</v>
      </c>
    </row>
    <row r="11" spans="1:16" x14ac:dyDescent="0.35">
      <c r="A11" s="87">
        <v>2020</v>
      </c>
      <c r="B11" s="87">
        <v>240</v>
      </c>
      <c r="E11"/>
    </row>
    <row r="12" spans="1:16" x14ac:dyDescent="0.35">
      <c r="A12"/>
      <c r="B12" s="22">
        <f>AVERAGE(B5:B11)</f>
        <v>174.71428571428572</v>
      </c>
      <c r="C12" s="18"/>
      <c r="D12" s="18"/>
    </row>
    <row r="13" spans="1:16" x14ac:dyDescent="0.35">
      <c r="A13" s="31"/>
      <c r="C13"/>
      <c r="D13" s="33"/>
      <c r="E13"/>
      <c r="P13" s="18"/>
    </row>
    <row r="15" spans="1:16" x14ac:dyDescent="0.35">
      <c r="A15"/>
      <c r="C15" s="18"/>
      <c r="D15" s="18"/>
    </row>
    <row r="16" spans="1:16" x14ac:dyDescent="0.35">
      <c r="D16" s="32"/>
      <c r="E16"/>
      <c r="P16" s="18"/>
    </row>
    <row r="17" spans="1:2" x14ac:dyDescent="0.35">
      <c r="A17"/>
    </row>
    <row r="18" spans="1:2" x14ac:dyDescent="0.35">
      <c r="A18" s="31"/>
      <c r="B18"/>
    </row>
    <row r="19" spans="1:2" x14ac:dyDescent="0.3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F19" sqref="F19"/>
    </sheetView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28</v>
      </c>
    </row>
    <row r="4" spans="1:12" x14ac:dyDescent="0.35">
      <c r="A4" s="19"/>
    </row>
    <row r="5" spans="1:12" ht="15" thickBot="1" x14ac:dyDescent="0.4">
      <c r="A5" s="10" t="s">
        <v>34</v>
      </c>
      <c r="B5" s="10" t="s">
        <v>55</v>
      </c>
    </row>
    <row r="6" spans="1:12" x14ac:dyDescent="0.35">
      <c r="A6" s="9" t="s">
        <v>35</v>
      </c>
      <c r="B6" s="4">
        <v>720</v>
      </c>
      <c r="D6" t="s">
        <v>7</v>
      </c>
      <c r="E6">
        <f>QUARTILE(B6:B25,3)</f>
        <v>565</v>
      </c>
      <c r="G6" t="s">
        <v>134</v>
      </c>
    </row>
    <row r="7" spans="1:12" x14ac:dyDescent="0.35">
      <c r="A7" s="6" t="s">
        <v>36</v>
      </c>
      <c r="B7" s="2">
        <v>680</v>
      </c>
      <c r="D7" s="36"/>
      <c r="L7" s="12"/>
    </row>
    <row r="8" spans="1:12" x14ac:dyDescent="0.35">
      <c r="A8" s="6" t="s">
        <v>37</v>
      </c>
      <c r="B8" s="2">
        <v>650</v>
      </c>
      <c r="D8" t="s">
        <v>8</v>
      </c>
      <c r="E8">
        <f>AVERAGE(B6:B25)</f>
        <v>457</v>
      </c>
      <c r="G8" t="s">
        <v>133</v>
      </c>
    </row>
    <row r="9" spans="1:12" x14ac:dyDescent="0.35">
      <c r="A9" s="6" t="s">
        <v>38</v>
      </c>
      <c r="B9" s="2">
        <v>600</v>
      </c>
    </row>
    <row r="10" spans="1:12" x14ac:dyDescent="0.35">
      <c r="A10" s="6" t="s">
        <v>39</v>
      </c>
      <c r="B10" s="2">
        <v>580</v>
      </c>
      <c r="D10" s="36"/>
      <c r="E10" s="98">
        <f>STDEVP(B6:B25)</f>
        <v>137.77155003846042</v>
      </c>
      <c r="G10" t="s">
        <v>135</v>
      </c>
      <c r="L10" s="12"/>
    </row>
    <row r="11" spans="1:12" x14ac:dyDescent="0.35">
      <c r="A11" s="6" t="s">
        <v>40</v>
      </c>
      <c r="B11" s="2">
        <v>560</v>
      </c>
      <c r="D11" s="36"/>
    </row>
    <row r="12" spans="1:12" x14ac:dyDescent="0.35">
      <c r="A12" s="6" t="s">
        <v>41</v>
      </c>
      <c r="B12" s="2">
        <v>530</v>
      </c>
      <c r="E12" s="108">
        <f>E10/E8</f>
        <v>0.30146947492004467</v>
      </c>
      <c r="G12" t="s">
        <v>136</v>
      </c>
    </row>
    <row r="13" spans="1:12" x14ac:dyDescent="0.35">
      <c r="A13" s="6" t="s">
        <v>42</v>
      </c>
      <c r="B13" s="2">
        <v>500</v>
      </c>
      <c r="D13" s="36"/>
      <c r="L13" s="12"/>
    </row>
    <row r="14" spans="1:12" x14ac:dyDescent="0.35">
      <c r="A14" s="6" t="s">
        <v>43</v>
      </c>
      <c r="B14" s="2">
        <v>470</v>
      </c>
    </row>
    <row r="15" spans="1:12" x14ac:dyDescent="0.35">
      <c r="A15" s="6" t="s">
        <v>44</v>
      </c>
      <c r="B15" s="2">
        <v>450</v>
      </c>
      <c r="D15" t="s">
        <v>137</v>
      </c>
      <c r="E15">
        <f>PERCENTILE(B6:B25,10%)</f>
        <v>288</v>
      </c>
      <c r="G15" t="s">
        <v>138</v>
      </c>
    </row>
    <row r="16" spans="1:12" x14ac:dyDescent="0.35">
      <c r="A16" s="6" t="s">
        <v>45</v>
      </c>
      <c r="B16" s="2">
        <v>430</v>
      </c>
      <c r="D16" s="36"/>
      <c r="L16" s="12"/>
    </row>
    <row r="17" spans="1:12" x14ac:dyDescent="0.35">
      <c r="A17" s="6" t="s">
        <v>46</v>
      </c>
      <c r="B17" s="2">
        <v>410</v>
      </c>
    </row>
    <row r="18" spans="1:12" x14ac:dyDescent="0.35">
      <c r="A18" s="6" t="s">
        <v>47</v>
      </c>
      <c r="B18" s="2">
        <v>390</v>
      </c>
    </row>
    <row r="19" spans="1:12" x14ac:dyDescent="0.35">
      <c r="A19" s="6" t="s">
        <v>48</v>
      </c>
      <c r="B19" s="2">
        <v>370</v>
      </c>
      <c r="D19" s="36"/>
      <c r="L19" s="12"/>
    </row>
    <row r="20" spans="1:12" x14ac:dyDescent="0.35">
      <c r="A20" s="6" t="s">
        <v>49</v>
      </c>
      <c r="B20" s="2">
        <v>350</v>
      </c>
    </row>
    <row r="21" spans="1:12" x14ac:dyDescent="0.35">
      <c r="A21" s="6" t="s">
        <v>50</v>
      </c>
      <c r="B21" s="2">
        <v>330</v>
      </c>
    </row>
    <row r="22" spans="1:12" x14ac:dyDescent="0.35">
      <c r="A22" s="6" t="s">
        <v>51</v>
      </c>
      <c r="B22" s="2">
        <v>310</v>
      </c>
      <c r="L22" s="12"/>
    </row>
    <row r="23" spans="1:12" x14ac:dyDescent="0.35">
      <c r="A23" s="6" t="s">
        <v>52</v>
      </c>
      <c r="B23" s="2">
        <v>290</v>
      </c>
      <c r="D23" s="35"/>
    </row>
    <row r="24" spans="1:12" x14ac:dyDescent="0.35">
      <c r="A24" s="6" t="s">
        <v>53</v>
      </c>
      <c r="B24" s="2">
        <v>270</v>
      </c>
    </row>
    <row r="25" spans="1:12" x14ac:dyDescent="0.35">
      <c r="A25" s="6" t="s">
        <v>54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1"/>
  <sheetViews>
    <sheetView topLeftCell="B1" workbookViewId="0">
      <selection activeCell="M32" sqref="M32"/>
    </sheetView>
  </sheetViews>
  <sheetFormatPr defaultRowHeight="14.5" x14ac:dyDescent="0.35"/>
  <cols>
    <col min="1" max="1" width="18.54296875" customWidth="1"/>
    <col min="2" max="2" width="14.1796875" customWidth="1"/>
    <col min="3" max="7" width="14.54296875" customWidth="1"/>
    <col min="8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19" t="s">
        <v>29</v>
      </c>
      <c r="B1" s="20"/>
      <c r="C1" s="18"/>
      <c r="D1" s="12"/>
    </row>
    <row r="2" spans="1:13" x14ac:dyDescent="0.35">
      <c r="A2" s="19"/>
      <c r="B2" s="1"/>
      <c r="C2" s="18"/>
    </row>
    <row r="3" spans="1:13" x14ac:dyDescent="0.35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46.5" customHeight="1" thickBot="1" x14ac:dyDescent="0.4">
      <c r="A4" s="50" t="s">
        <v>57</v>
      </c>
      <c r="B4" s="50" t="s">
        <v>56</v>
      </c>
      <c r="C4" s="91" t="s">
        <v>99</v>
      </c>
      <c r="D4" s="92" t="s">
        <v>100</v>
      </c>
      <c r="E4" s="92" t="s">
        <v>101</v>
      </c>
      <c r="F4" s="92" t="s">
        <v>102</v>
      </c>
      <c r="G4" s="92" t="s">
        <v>103</v>
      </c>
      <c r="H4" s="48"/>
      <c r="I4" s="48"/>
      <c r="J4" s="48"/>
      <c r="K4" s="48"/>
      <c r="L4" s="48"/>
    </row>
    <row r="5" spans="1:13" ht="16" thickBot="1" x14ac:dyDescent="0.4">
      <c r="A5" s="67">
        <v>1.4</v>
      </c>
      <c r="B5" s="52">
        <v>70</v>
      </c>
      <c r="C5" s="109">
        <f>A5-A$26</f>
        <v>-0.78571428571428603</v>
      </c>
      <c r="D5" s="109">
        <f>B5-B$26</f>
        <v>-23.714285714285708</v>
      </c>
      <c r="E5" s="93">
        <f>C5*D5</f>
        <v>18.632653061224492</v>
      </c>
      <c r="F5" s="109">
        <f>C5^2</f>
        <v>0.61734693877551072</v>
      </c>
      <c r="G5" s="109">
        <f>D5^2</f>
        <v>562.3673469387752</v>
      </c>
      <c r="H5" s="48"/>
      <c r="I5" s="48"/>
      <c r="J5" s="48"/>
      <c r="K5" s="48"/>
      <c r="L5" s="48"/>
    </row>
    <row r="6" spans="1:13" ht="16" thickBot="1" x14ac:dyDescent="0.4">
      <c r="A6" s="68">
        <v>1.5</v>
      </c>
      <c r="B6" s="53">
        <v>73</v>
      </c>
      <c r="C6" s="109">
        <f t="shared" ref="C6:C25" si="0">A6-A$26</f>
        <v>-0.68571428571428594</v>
      </c>
      <c r="D6" s="109">
        <f t="shared" ref="D6:D25" si="1">B6-B$26</f>
        <v>-20.714285714285708</v>
      </c>
      <c r="E6" s="93">
        <f t="shared" ref="E6:E25" si="2">C6*D6</f>
        <v>14.204081632653061</v>
      </c>
      <c r="F6" s="109">
        <f t="shared" ref="F6:F25" si="3">C6^2</f>
        <v>0.47020408163265337</v>
      </c>
      <c r="G6" s="109">
        <f t="shared" ref="G6:G25" si="4">D6^2</f>
        <v>429.08163265306098</v>
      </c>
      <c r="H6" s="48"/>
      <c r="I6" s="48"/>
      <c r="J6" s="48"/>
      <c r="K6" s="48"/>
      <c r="L6" s="48"/>
    </row>
    <row r="7" spans="1:13" ht="16" thickBot="1" x14ac:dyDescent="0.4">
      <c r="A7" s="68">
        <v>2</v>
      </c>
      <c r="B7" s="53">
        <v>90</v>
      </c>
      <c r="C7" s="109">
        <f t="shared" si="0"/>
        <v>-0.18571428571428594</v>
      </c>
      <c r="D7" s="109">
        <f t="shared" si="1"/>
        <v>-3.7142857142857082</v>
      </c>
      <c r="E7" s="93">
        <f t="shared" si="2"/>
        <v>0.68979591836734666</v>
      </c>
      <c r="F7" s="109">
        <f t="shared" si="3"/>
        <v>3.4489795918367434E-2</v>
      </c>
      <c r="G7" s="109">
        <f t="shared" si="4"/>
        <v>13.795918367346893</v>
      </c>
      <c r="H7" s="48"/>
      <c r="I7" s="48"/>
      <c r="J7" s="48"/>
      <c r="K7" s="48"/>
      <c r="L7" s="48"/>
    </row>
    <row r="8" spans="1:13" ht="16" thickBot="1" x14ac:dyDescent="0.4">
      <c r="A8" s="68">
        <v>2.1</v>
      </c>
      <c r="B8" s="53">
        <v>95</v>
      </c>
      <c r="C8" s="109">
        <f t="shared" si="0"/>
        <v>-8.5714285714285854E-2</v>
      </c>
      <c r="D8" s="109">
        <f t="shared" si="1"/>
        <v>1.2857142857142918</v>
      </c>
      <c r="E8" s="93">
        <f t="shared" si="2"/>
        <v>-0.11020408163265376</v>
      </c>
      <c r="F8" s="109">
        <f t="shared" si="3"/>
        <v>7.346938775510228E-3</v>
      </c>
      <c r="G8" s="109">
        <f t="shared" si="4"/>
        <v>1.6530612244898115</v>
      </c>
      <c r="H8" s="48"/>
      <c r="I8" s="48"/>
      <c r="J8" s="48"/>
      <c r="K8" s="48"/>
      <c r="L8" s="48"/>
    </row>
    <row r="9" spans="1:13" ht="16" thickBot="1" x14ac:dyDescent="0.4">
      <c r="A9" s="68">
        <v>2.4</v>
      </c>
      <c r="B9" s="53">
        <v>100</v>
      </c>
      <c r="C9" s="109">
        <f t="shared" si="0"/>
        <v>0.21428571428571397</v>
      </c>
      <c r="D9" s="109">
        <f t="shared" si="1"/>
        <v>6.2857142857142918</v>
      </c>
      <c r="E9" s="93">
        <f>C9*D9</f>
        <v>1.3469387755102034</v>
      </c>
      <c r="F9" s="109">
        <f t="shared" si="3"/>
        <v>4.5918367346938639E-2</v>
      </c>
      <c r="G9" s="109">
        <f t="shared" si="4"/>
        <v>39.510204081632729</v>
      </c>
      <c r="H9" s="48"/>
      <c r="I9" s="48"/>
      <c r="J9" s="48" t="s">
        <v>139</v>
      </c>
      <c r="K9" s="48">
        <f>E26/(SQRT(F26)*SQRT(G26))</f>
        <v>0.9900621828030155</v>
      </c>
      <c r="L9" s="48"/>
    </row>
    <row r="10" spans="1:13" ht="16" thickBot="1" x14ac:dyDescent="0.4">
      <c r="A10" s="68">
        <v>1.9</v>
      </c>
      <c r="B10" s="53">
        <v>82</v>
      </c>
      <c r="C10" s="109">
        <f t="shared" si="0"/>
        <v>-0.28571428571428603</v>
      </c>
      <c r="D10" s="109">
        <f t="shared" si="1"/>
        <v>-11.714285714285708</v>
      </c>
      <c r="E10" s="93">
        <f t="shared" si="2"/>
        <v>3.346938775510206</v>
      </c>
      <c r="F10" s="109">
        <f t="shared" si="3"/>
        <v>8.1632653061224678E-2</v>
      </c>
      <c r="G10" s="109">
        <f t="shared" si="4"/>
        <v>137.22448979591823</v>
      </c>
      <c r="H10" s="48"/>
      <c r="I10" s="48"/>
      <c r="J10" s="48"/>
      <c r="K10" s="48"/>
      <c r="L10" s="48"/>
    </row>
    <row r="11" spans="1:13" ht="16" thickBot="1" x14ac:dyDescent="0.4">
      <c r="A11" s="68">
        <v>2.2000000000000002</v>
      </c>
      <c r="B11" s="53">
        <v>92</v>
      </c>
      <c r="C11" s="109">
        <f t="shared" si="0"/>
        <v>1.4285714285714235E-2</v>
      </c>
      <c r="D11" s="109">
        <f t="shared" si="1"/>
        <v>-1.7142857142857082</v>
      </c>
      <c r="E11" s="93">
        <f t="shared" si="2"/>
        <v>-2.4489795918367172E-2</v>
      </c>
      <c r="F11" s="109">
        <f t="shared" si="3"/>
        <v>2.0408163265305977E-4</v>
      </c>
      <c r="G11" s="109">
        <f t="shared" si="4"/>
        <v>2.9387755102040609</v>
      </c>
      <c r="H11" s="48"/>
      <c r="I11" s="48"/>
      <c r="J11" s="48" t="s">
        <v>8</v>
      </c>
      <c r="K11" s="48">
        <f>PEARSON(A5:A25,B5:B25)</f>
        <v>0.99006218280301539</v>
      </c>
      <c r="L11" s="48"/>
    </row>
    <row r="12" spans="1:13" ht="16" thickBot="1" x14ac:dyDescent="0.4">
      <c r="A12" s="67">
        <v>2.6</v>
      </c>
      <c r="B12" s="52">
        <v>105</v>
      </c>
      <c r="C12" s="109">
        <f t="shared" si="0"/>
        <v>0.41428571428571415</v>
      </c>
      <c r="D12" s="109">
        <f t="shared" si="1"/>
        <v>11.285714285714292</v>
      </c>
      <c r="E12" s="93">
        <f t="shared" si="2"/>
        <v>4.6755102040816334</v>
      </c>
      <c r="F12" s="109">
        <f t="shared" si="3"/>
        <v>0.17163265306122438</v>
      </c>
      <c r="G12" s="109">
        <f t="shared" si="4"/>
        <v>127.36734693877565</v>
      </c>
      <c r="H12" s="48"/>
      <c r="I12" s="48"/>
      <c r="J12" s="48"/>
      <c r="K12" s="48"/>
      <c r="L12" s="48"/>
    </row>
    <row r="13" spans="1:13" ht="16" thickBot="1" x14ac:dyDescent="0.4">
      <c r="A13" s="68">
        <v>2.2999999999999998</v>
      </c>
      <c r="B13" s="53">
        <v>98</v>
      </c>
      <c r="C13" s="109">
        <f t="shared" si="0"/>
        <v>0.11428571428571388</v>
      </c>
      <c r="D13" s="109">
        <f t="shared" si="1"/>
        <v>4.2857142857142918</v>
      </c>
      <c r="E13" s="93">
        <f t="shared" si="2"/>
        <v>0.48979591836734587</v>
      </c>
      <c r="F13" s="109">
        <f t="shared" si="3"/>
        <v>1.3061224489795825E-2</v>
      </c>
      <c r="G13" s="109">
        <f t="shared" si="4"/>
        <v>18.367346938775562</v>
      </c>
      <c r="H13" s="48"/>
      <c r="I13" s="48"/>
      <c r="J13" s="48" t="s">
        <v>9</v>
      </c>
      <c r="K13" s="48" t="s">
        <v>140</v>
      </c>
      <c r="L13" s="48"/>
    </row>
    <row r="14" spans="1:13" ht="16" thickBot="1" x14ac:dyDescent="0.4">
      <c r="A14" s="68">
        <v>2</v>
      </c>
      <c r="B14" s="53">
        <v>86</v>
      </c>
      <c r="C14" s="109">
        <f t="shared" si="0"/>
        <v>-0.18571428571428594</v>
      </c>
      <c r="D14" s="109">
        <f t="shared" si="1"/>
        <v>-7.7142857142857082</v>
      </c>
      <c r="E14" s="93">
        <f t="shared" si="2"/>
        <v>1.4326530612244903</v>
      </c>
      <c r="F14" s="109">
        <f t="shared" si="3"/>
        <v>3.4489795918367434E-2</v>
      </c>
      <c r="G14" s="109">
        <f t="shared" si="4"/>
        <v>59.510204081632558</v>
      </c>
    </row>
    <row r="15" spans="1:13" ht="16" thickBot="1" x14ac:dyDescent="0.4">
      <c r="A15" s="68">
        <v>2.1</v>
      </c>
      <c r="B15" s="53">
        <v>90</v>
      </c>
      <c r="C15" s="109">
        <f t="shared" si="0"/>
        <v>-8.5714285714285854E-2</v>
      </c>
      <c r="D15" s="109">
        <f t="shared" si="1"/>
        <v>-3.7142857142857082</v>
      </c>
      <c r="E15" s="93">
        <f t="shared" si="2"/>
        <v>0.3183673469387755</v>
      </c>
      <c r="F15" s="109">
        <f t="shared" si="3"/>
        <v>7.346938775510228E-3</v>
      </c>
      <c r="G15" s="109">
        <f t="shared" si="4"/>
        <v>13.795918367346893</v>
      </c>
      <c r="J15" t="s">
        <v>10</v>
      </c>
      <c r="K15" t="s">
        <v>142</v>
      </c>
      <c r="M15" t="s">
        <v>147</v>
      </c>
    </row>
    <row r="16" spans="1:13" ht="16" thickBot="1" x14ac:dyDescent="0.4">
      <c r="A16" s="68">
        <v>1.8</v>
      </c>
      <c r="B16" s="53">
        <v>80</v>
      </c>
      <c r="C16" s="109">
        <f t="shared" si="0"/>
        <v>-0.3857142857142859</v>
      </c>
      <c r="D16" s="109">
        <f t="shared" si="1"/>
        <v>-13.714285714285708</v>
      </c>
      <c r="E16" s="93">
        <f t="shared" si="2"/>
        <v>5.2897959183673473</v>
      </c>
      <c r="F16" s="109">
        <f t="shared" si="3"/>
        <v>0.14877551020408178</v>
      </c>
      <c r="G16" s="109">
        <f t="shared" si="4"/>
        <v>188.08163265306106</v>
      </c>
      <c r="K16" t="s">
        <v>150</v>
      </c>
    </row>
    <row r="17" spans="1:14" ht="16" thickBot="1" x14ac:dyDescent="0.4">
      <c r="A17" s="68">
        <v>2.5</v>
      </c>
      <c r="B17" s="53">
        <v>104</v>
      </c>
      <c r="C17" s="109">
        <f t="shared" si="0"/>
        <v>0.31428571428571406</v>
      </c>
      <c r="D17" s="109">
        <f t="shared" si="1"/>
        <v>10.285714285714292</v>
      </c>
      <c r="E17" s="93">
        <f t="shared" si="2"/>
        <v>3.2326530612244895</v>
      </c>
      <c r="F17" s="109">
        <f t="shared" si="3"/>
        <v>9.8775510204081485E-2</v>
      </c>
      <c r="G17" s="109">
        <f t="shared" si="4"/>
        <v>105.79591836734707</v>
      </c>
    </row>
    <row r="18" spans="1:14" ht="16" thickBot="1" x14ac:dyDescent="0.4">
      <c r="A18" s="68">
        <v>2.7</v>
      </c>
      <c r="B18" s="53">
        <v>110</v>
      </c>
      <c r="C18" s="109">
        <f t="shared" si="0"/>
        <v>0.51428571428571423</v>
      </c>
      <c r="D18" s="109">
        <f t="shared" si="1"/>
        <v>16.285714285714292</v>
      </c>
      <c r="E18" s="93">
        <f t="shared" si="2"/>
        <v>8.3755102040816354</v>
      </c>
      <c r="F18" s="109">
        <f t="shared" si="3"/>
        <v>0.2644897959183673</v>
      </c>
      <c r="G18" s="109">
        <f t="shared" si="4"/>
        <v>265.22448979591854</v>
      </c>
      <c r="K18" t="s">
        <v>148</v>
      </c>
      <c r="N18" s="108"/>
    </row>
    <row r="19" spans="1:14" ht="16" thickBot="1" x14ac:dyDescent="0.4">
      <c r="A19" s="67">
        <v>2.8</v>
      </c>
      <c r="B19" s="52">
        <v>115</v>
      </c>
      <c r="C19" s="109">
        <f t="shared" si="0"/>
        <v>0.61428571428571388</v>
      </c>
      <c r="D19" s="109">
        <f t="shared" si="1"/>
        <v>21.285714285714292</v>
      </c>
      <c r="E19" s="93">
        <f t="shared" si="2"/>
        <v>13.075510204081628</v>
      </c>
      <c r="F19" s="109">
        <f t="shared" si="3"/>
        <v>0.37734693877550973</v>
      </c>
      <c r="G19" s="109">
        <f t="shared" si="4"/>
        <v>453.08163265306149</v>
      </c>
      <c r="K19" t="s">
        <v>149</v>
      </c>
    </row>
    <row r="20" spans="1:14" ht="16" thickBot="1" x14ac:dyDescent="0.4">
      <c r="A20" s="68">
        <v>2.2000000000000002</v>
      </c>
      <c r="B20" s="53">
        <v>94</v>
      </c>
      <c r="C20" s="109">
        <f t="shared" si="0"/>
        <v>1.4285714285714235E-2</v>
      </c>
      <c r="D20" s="109">
        <f t="shared" si="1"/>
        <v>0.2857142857142918</v>
      </c>
      <c r="E20" s="93">
        <f t="shared" si="2"/>
        <v>4.0816326530612968E-3</v>
      </c>
      <c r="F20" s="109">
        <f t="shared" si="3"/>
        <v>2.0408163265305977E-4</v>
      </c>
      <c r="G20" s="109">
        <f t="shared" si="4"/>
        <v>8.1632653061227967E-2</v>
      </c>
    </row>
    <row r="21" spans="1:14" ht="16" thickBot="1" x14ac:dyDescent="0.4">
      <c r="A21" s="68">
        <v>2.4</v>
      </c>
      <c r="B21" s="53">
        <v>100</v>
      </c>
      <c r="C21" s="109">
        <f t="shared" si="0"/>
        <v>0.21428571428571397</v>
      </c>
      <c r="D21" s="109">
        <f t="shared" si="1"/>
        <v>6.2857142857142918</v>
      </c>
      <c r="E21" s="93">
        <f t="shared" si="2"/>
        <v>1.3469387755102034</v>
      </c>
      <c r="F21" s="109">
        <f t="shared" si="3"/>
        <v>4.5918367346938639E-2</v>
      </c>
      <c r="G21" s="109">
        <f t="shared" si="4"/>
        <v>39.510204081632729</v>
      </c>
      <c r="J21" t="s">
        <v>151</v>
      </c>
      <c r="K21">
        <f>53.806*4^0.7129</f>
        <v>144.5570493973546</v>
      </c>
    </row>
    <row r="22" spans="1:14" ht="16" thickBot="1" x14ac:dyDescent="0.4">
      <c r="A22" s="68">
        <v>2.6</v>
      </c>
      <c r="B22" s="53">
        <v>108</v>
      </c>
      <c r="C22" s="109">
        <f t="shared" si="0"/>
        <v>0.41428571428571415</v>
      </c>
      <c r="D22" s="109">
        <f t="shared" si="1"/>
        <v>14.285714285714292</v>
      </c>
      <c r="E22" s="93">
        <f t="shared" si="2"/>
        <v>5.9183673469387763</v>
      </c>
      <c r="F22" s="109">
        <f t="shared" si="3"/>
        <v>0.17163265306122438</v>
      </c>
      <c r="G22" s="109">
        <f t="shared" si="4"/>
        <v>204.0816326530614</v>
      </c>
    </row>
    <row r="23" spans="1:14" ht="16" thickBot="1" x14ac:dyDescent="0.4">
      <c r="A23" s="68">
        <v>2.1</v>
      </c>
      <c r="B23" s="53">
        <v>92</v>
      </c>
      <c r="C23" s="109">
        <f t="shared" si="0"/>
        <v>-8.5714285714285854E-2</v>
      </c>
      <c r="D23" s="109">
        <f t="shared" si="1"/>
        <v>-1.7142857142857082</v>
      </c>
      <c r="E23" s="93">
        <f t="shared" si="2"/>
        <v>0.14693877551020379</v>
      </c>
      <c r="F23" s="109">
        <f t="shared" si="3"/>
        <v>7.346938775510228E-3</v>
      </c>
      <c r="G23" s="109">
        <f t="shared" si="4"/>
        <v>2.9387755102040609</v>
      </c>
    </row>
    <row r="24" spans="1:14" ht="16" thickBot="1" x14ac:dyDescent="0.4">
      <c r="A24" s="68">
        <v>2</v>
      </c>
      <c r="B24" s="53">
        <v>88</v>
      </c>
      <c r="C24" s="109">
        <f t="shared" si="0"/>
        <v>-0.18571428571428594</v>
      </c>
      <c r="D24" s="109">
        <f t="shared" si="1"/>
        <v>-5.7142857142857082</v>
      </c>
      <c r="E24" s="93">
        <f t="shared" si="2"/>
        <v>1.0612244897959184</v>
      </c>
      <c r="F24" s="109">
        <f t="shared" si="3"/>
        <v>3.4489795918367434E-2</v>
      </c>
      <c r="G24" s="109">
        <f t="shared" si="4"/>
        <v>32.653061224489726</v>
      </c>
      <c r="J24" t="s">
        <v>153</v>
      </c>
      <c r="K24" t="s">
        <v>152</v>
      </c>
    </row>
    <row r="25" spans="1:14" ht="16" thickBot="1" x14ac:dyDescent="0.4">
      <c r="A25" s="68">
        <v>2.2999999999999998</v>
      </c>
      <c r="B25" s="53">
        <v>96</v>
      </c>
      <c r="C25" s="109">
        <f t="shared" si="0"/>
        <v>0.11428571428571388</v>
      </c>
      <c r="D25" s="109">
        <f t="shared" si="1"/>
        <v>2.2857142857142918</v>
      </c>
      <c r="E25" s="93">
        <f t="shared" si="2"/>
        <v>0.26122448979591811</v>
      </c>
      <c r="F25" s="109">
        <f t="shared" si="3"/>
        <v>1.3061224489795825E-2</v>
      </c>
      <c r="G25" s="109">
        <f t="shared" si="4"/>
        <v>5.2244897959183954</v>
      </c>
    </row>
    <row r="26" spans="1:14" x14ac:dyDescent="0.35">
      <c r="A26" s="14">
        <f>AVERAGE(A5:A25)</f>
        <v>2.1857142857142859</v>
      </c>
      <c r="B26">
        <f>AVERAGE(B5:B25)</f>
        <v>93.714285714285708</v>
      </c>
      <c r="C26" s="14">
        <f>SUM(C5:C25)</f>
        <v>-4.6629367034256575E-15</v>
      </c>
      <c r="D26" s="14">
        <f>SUM(D5:D25)</f>
        <v>1.2789769243681803E-13</v>
      </c>
      <c r="E26" s="111">
        <f>SUM(E5:E25)</f>
        <v>83.714285714285708</v>
      </c>
      <c r="F26" s="110">
        <f>SUM(F5:F25)</f>
        <v>2.6457142857142859</v>
      </c>
      <c r="G26" s="110">
        <f>SUM(G5:G25)</f>
        <v>2702.2857142857142</v>
      </c>
    </row>
    <row r="27" spans="1:14" x14ac:dyDescent="0.35">
      <c r="D27" s="12"/>
      <c r="J27" t="s">
        <v>154</v>
      </c>
      <c r="K27" t="s">
        <v>155</v>
      </c>
    </row>
    <row r="28" spans="1:14" x14ac:dyDescent="0.35">
      <c r="D28" s="12"/>
      <c r="E28" s="30"/>
    </row>
    <row r="29" spans="1:14" x14ac:dyDescent="0.35">
      <c r="K29" t="s">
        <v>156</v>
      </c>
    </row>
    <row r="32" spans="1:14" x14ac:dyDescent="0.35">
      <c r="E32" s="13"/>
    </row>
    <row r="34" spans="4:13" x14ac:dyDescent="0.35">
      <c r="D34" s="12"/>
      <c r="E34" s="29"/>
    </row>
    <row r="35" spans="4:13" x14ac:dyDescent="0.35">
      <c r="D35" s="12"/>
    </row>
    <row r="39" spans="4:13" x14ac:dyDescent="0.35">
      <c r="D39" s="12"/>
    </row>
    <row r="40" spans="4:13" x14ac:dyDescent="0.35">
      <c r="D40" s="12"/>
      <c r="E40" s="21"/>
    </row>
    <row r="44" spans="4:13" x14ac:dyDescent="0.35">
      <c r="D44" s="12"/>
      <c r="E44" s="28"/>
    </row>
    <row r="46" spans="4:13" x14ac:dyDescent="0.35">
      <c r="L46" s="112" t="s">
        <v>141</v>
      </c>
      <c r="M46" s="113" t="s">
        <v>142</v>
      </c>
    </row>
    <row r="47" spans="4:13" x14ac:dyDescent="0.35">
      <c r="L47" s="114" t="s">
        <v>144</v>
      </c>
    </row>
    <row r="48" spans="4:13" x14ac:dyDescent="0.35">
      <c r="L48" s="114" t="s">
        <v>145</v>
      </c>
    </row>
    <row r="49" spans="12:12" x14ac:dyDescent="0.35">
      <c r="L49" s="114"/>
    </row>
    <row r="50" spans="12:12" x14ac:dyDescent="0.35">
      <c r="L50" s="112" t="s">
        <v>143</v>
      </c>
    </row>
    <row r="51" spans="12:12" x14ac:dyDescent="0.35">
      <c r="L51" s="114" t="s">
        <v>146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workbookViewId="0">
      <selection activeCell="P33" sqref="P33"/>
    </sheetView>
  </sheetViews>
  <sheetFormatPr defaultRowHeight="14.5" x14ac:dyDescent="0.35"/>
  <cols>
    <col min="1" max="1" width="22.54296875" customWidth="1"/>
    <col min="2" max="2" width="14.81640625" bestFit="1" customWidth="1"/>
  </cols>
  <sheetData>
    <row r="1" spans="1:2" x14ac:dyDescent="0.35">
      <c r="A1" t="s">
        <v>1</v>
      </c>
    </row>
    <row r="2" spans="1:2" x14ac:dyDescent="0.35">
      <c r="A2" t="s">
        <v>157</v>
      </c>
      <c r="B2" t="s">
        <v>158</v>
      </c>
    </row>
    <row r="3" spans="1:2" x14ac:dyDescent="0.35">
      <c r="A3">
        <v>0</v>
      </c>
      <c r="B3">
        <v>800</v>
      </c>
    </row>
    <row r="4" spans="1:2" x14ac:dyDescent="0.35">
      <c r="A4">
        <v>100</v>
      </c>
      <c r="B4">
        <f>B3+330</f>
        <v>1130</v>
      </c>
    </row>
    <row r="5" spans="1:2" x14ac:dyDescent="0.35">
      <c r="A5">
        <v>200</v>
      </c>
      <c r="B5">
        <f>B4+330</f>
        <v>1460</v>
      </c>
    </row>
    <row r="22" spans="2:5" x14ac:dyDescent="0.35">
      <c r="B22" t="s">
        <v>159</v>
      </c>
    </row>
    <row r="23" spans="2:5" x14ac:dyDescent="0.35">
      <c r="B23" t="s">
        <v>160</v>
      </c>
      <c r="C23" s="113" t="s">
        <v>161</v>
      </c>
      <c r="E23" t="s">
        <v>162</v>
      </c>
    </row>
    <row r="24" spans="2:5" x14ac:dyDescent="0.35">
      <c r="C24">
        <f>3.3*A3+800</f>
        <v>800</v>
      </c>
    </row>
    <row r="25" spans="2:5" x14ac:dyDescent="0.35">
      <c r="B25" t="s">
        <v>9</v>
      </c>
      <c r="C25">
        <f>3.3*600+800</f>
        <v>2780</v>
      </c>
      <c r="E25" t="s">
        <v>163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645AE-33DC-4C44-A03B-071FC12C5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DB4B4A-8FF5-4D87-856F-ECE88140379A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ED3E55B4-77A3-4061-B5EE-145E769B44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Sheet2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Lorena Pavlović | Student</cp:lastModifiedBy>
  <dcterms:created xsi:type="dcterms:W3CDTF">2018-07-18T04:58:41Z</dcterms:created>
  <dcterms:modified xsi:type="dcterms:W3CDTF">2024-09-04T17:56:29Z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