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13_ncr:1_{D0630D79-B4B3-41DE-A3DC-D79B3F8BF2DD}" xr6:coauthVersionLast="47" xr6:coauthVersionMax="47" xr10:uidLastSave="{00000000-0000-0000-0000-000000000000}"/>
  <bookViews>
    <workbookView xWindow="-120" yWindow="-120" windowWidth="29040" windowHeight="15840" firstSheet="3" activeTab="14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8" l="1"/>
  <c r="F31" i="18"/>
  <c r="G28" i="18"/>
  <c r="G26" i="18"/>
  <c r="G23" i="18"/>
  <c r="G21" i="18"/>
  <c r="G20" i="18"/>
  <c r="D14" i="35"/>
  <c r="D12" i="35"/>
  <c r="D11" i="35"/>
  <c r="B9" i="25"/>
  <c r="J50" i="16"/>
  <c r="J48" i="16"/>
  <c r="J47" i="16"/>
  <c r="D6" i="16"/>
  <c r="D7" i="16"/>
  <c r="D8" i="16"/>
  <c r="D9" i="16"/>
  <c r="D10" i="16"/>
  <c r="D11" i="16"/>
  <c r="E11" i="16" s="1"/>
  <c r="D12" i="16"/>
  <c r="D13" i="16"/>
  <c r="D14" i="16"/>
  <c r="D15" i="16"/>
  <c r="D16" i="16"/>
  <c r="D17" i="16"/>
  <c r="D18" i="16"/>
  <c r="D19" i="16"/>
  <c r="D20" i="16"/>
  <c r="D21" i="16"/>
  <c r="D22" i="16"/>
  <c r="D23" i="16"/>
  <c r="E23" i="16" s="1"/>
  <c r="D24" i="16"/>
  <c r="G24" i="16" s="1"/>
  <c r="D25" i="16"/>
  <c r="D5" i="16"/>
  <c r="C6" i="16"/>
  <c r="E6" i="16" s="1"/>
  <c r="C7" i="16"/>
  <c r="F7" i="16" s="1"/>
  <c r="C8" i="16"/>
  <c r="F8" i="16" s="1"/>
  <c r="C9" i="16"/>
  <c r="C10" i="16"/>
  <c r="C11" i="16"/>
  <c r="C12" i="16"/>
  <c r="C13" i="16"/>
  <c r="C14" i="16"/>
  <c r="C15" i="16"/>
  <c r="C16" i="16"/>
  <c r="C17" i="16"/>
  <c r="C18" i="16"/>
  <c r="F18" i="16" s="1"/>
  <c r="C19" i="16"/>
  <c r="E19" i="16" s="1"/>
  <c r="C20" i="16"/>
  <c r="F20" i="16" s="1"/>
  <c r="C21" i="16"/>
  <c r="C22" i="16"/>
  <c r="C23" i="16"/>
  <c r="C24" i="16"/>
  <c r="C25" i="16"/>
  <c r="C5" i="16"/>
  <c r="F5" i="16" s="1"/>
  <c r="G8" i="16"/>
  <c r="G10" i="16"/>
  <c r="E22" i="16"/>
  <c r="G23" i="16"/>
  <c r="G5" i="16"/>
  <c r="G9" i="16"/>
  <c r="G18" i="16"/>
  <c r="F10" i="16"/>
  <c r="F11" i="16"/>
  <c r="F14" i="16"/>
  <c r="F16" i="16"/>
  <c r="F17" i="16"/>
  <c r="F22" i="16"/>
  <c r="F23" i="16"/>
  <c r="G7" i="16"/>
  <c r="G13" i="16"/>
  <c r="G19" i="16"/>
  <c r="L17" i="16"/>
  <c r="G6" i="16"/>
  <c r="G20" i="16"/>
  <c r="G21" i="16"/>
  <c r="F9" i="16"/>
  <c r="F13" i="16"/>
  <c r="F15" i="16"/>
  <c r="F21" i="16"/>
  <c r="F24" i="16"/>
  <c r="F25" i="16"/>
  <c r="E9" i="16"/>
  <c r="E21" i="16"/>
  <c r="L20" i="16"/>
  <c r="L19" i="16"/>
  <c r="C10" i="12"/>
  <c r="C11" i="12"/>
  <c r="C12" i="12"/>
  <c r="C13" i="12"/>
  <c r="C14" i="12"/>
  <c r="C15" i="12"/>
  <c r="C16" i="12"/>
  <c r="C17" i="12"/>
  <c r="C18" i="12"/>
  <c r="C9" i="12"/>
  <c r="C6" i="12"/>
  <c r="C7" i="12"/>
  <c r="C36" i="13"/>
  <c r="D10" i="13"/>
  <c r="D11" i="13"/>
  <c r="D12" i="13"/>
  <c r="D13" i="13"/>
  <c r="D14" i="13"/>
  <c r="D15" i="13"/>
  <c r="D9" i="13"/>
  <c r="C10" i="13"/>
  <c r="C11" i="13"/>
  <c r="C12" i="13"/>
  <c r="C13" i="13"/>
  <c r="C14" i="13"/>
  <c r="C15" i="13"/>
  <c r="C9" i="13"/>
  <c r="B9" i="9"/>
  <c r="B10" i="9"/>
  <c r="B12" i="9"/>
  <c r="B14" i="9"/>
  <c r="C6" i="9"/>
  <c r="E6" i="9"/>
  <c r="H15" i="10"/>
  <c r="G9" i="10"/>
  <c r="G8" i="10"/>
  <c r="E24" i="16" l="1"/>
  <c r="E12" i="16"/>
  <c r="G11" i="16"/>
  <c r="F19" i="16"/>
  <c r="E20" i="16"/>
  <c r="F12" i="16"/>
  <c r="E8" i="16"/>
  <c r="G22" i="16"/>
  <c r="E10" i="16"/>
  <c r="G12" i="16"/>
  <c r="E13" i="16"/>
  <c r="E17" i="16"/>
  <c r="E16" i="16"/>
  <c r="E15" i="16"/>
  <c r="E14" i="16"/>
  <c r="E25" i="16"/>
  <c r="F6" i="16"/>
  <c r="F26" i="16" s="1"/>
  <c r="E18" i="16"/>
  <c r="G14" i="16"/>
  <c r="G16" i="16"/>
  <c r="G15" i="16"/>
  <c r="G25" i="16"/>
  <c r="E7" i="16"/>
  <c r="G17" i="16"/>
  <c r="E5" i="16"/>
  <c r="G26" i="16" l="1"/>
  <c r="E26" i="16"/>
  <c r="J15" i="16" l="1"/>
  <c r="C15" i="7" l="1"/>
  <c r="C11" i="7"/>
  <c r="B11" i="7"/>
  <c r="A11" i="7"/>
  <c r="H8" i="30"/>
  <c r="H7" i="30"/>
</calcChain>
</file>

<file path=xl/sharedStrings.xml><?xml version="1.0" encoding="utf-8"?>
<sst xmlns="http://schemas.openxmlformats.org/spreadsheetml/2006/main" count="235" uniqueCount="212">
  <si>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</si>
  <si>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</si>
  <si>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</si>
  <si>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</si>
  <si>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</si>
  <si>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</si>
  <si>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</si>
  <si>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</si>
  <si>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</si>
  <si>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</si>
  <si>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</si>
  <si>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</si>
  <si>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</si>
  <si>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</si>
  <si>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</si>
  <si>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</si>
  <si>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</si>
  <si>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</si>
  <si>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</si>
  <si>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</si>
  <si>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</si>
  <si>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</si>
  <si>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</si>
  <si>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</si>
  <si>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</si>
  <si>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</si>
  <si>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</si>
  <si>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</si>
  <si>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</si>
  <si>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</si>
  <si>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</si>
  <si>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</si>
  <si>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</si>
  <si>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</si>
  <si>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</si>
  <si>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</si>
  <si>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</si>
  <si>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</si>
  <si>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</si>
  <si>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</si>
  <si>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</si>
  <si>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</si>
  <si>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</si>
  <si>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</si>
  <si>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</si>
  <si>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</si>
  <si>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</si>
  <si>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</si>
  <si>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</si>
  <si>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</si>
  <si>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</si>
  <si>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</si>
  <si>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</si>
  <si>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</si>
  <si>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</si>
  <si>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</si>
  <si>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</si>
  <si>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</si>
  <si>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</si>
  <si>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</si>
  <si>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</si>
  <si>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</si>
  <si>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</si>
  <si>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</si>
  <si>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</si>
  <si>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</si>
  <si>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</si>
  <si>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</si>
  <si>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</si>
  <si>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</si>
  <si>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</si>
  <si>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</si>
  <si>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</si>
  <si>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</si>
  <si>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</si>
  <si>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</si>
  <si>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</si>
  <si>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</si>
  <si>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</si>
  <si>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</si>
  <si>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</si>
  <si>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</si>
  <si>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</si>
  <si>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</si>
  <si>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</si>
  <si>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</si>
  <si>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</si>
  <si>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</si>
  <si>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</si>
  <si>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</si>
  <si>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</si>
  <si>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</si>
  <si>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</si>
  <si>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</si>
  <si>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</si>
  <si>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</si>
  <si>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</si>
  <si>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</si>
  <si>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</si>
  <si>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</si>
  <si>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</si>
  <si>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</si>
  <si>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</si>
  <si>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</si>
  <si>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</si>
  <si>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</si>
  <si>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H0</t>
  </si>
  <si>
    <t>H1</t>
  </si>
  <si>
    <t>Ne postoji statistički značajna razlika u broju konverzacija između tri kompanije</t>
  </si>
  <si>
    <t>Postoji statistički značajna razlika u broju konverzacija između barem dvije kompanije</t>
  </si>
  <si>
    <t>Kompanije A  i B</t>
  </si>
  <si>
    <t>Anova: Two-Factor Without Replication</t>
  </si>
  <si>
    <t>SUMMARY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</si>
  <si>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</si>
  <si>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</si>
  <si>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</si>
  <si>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</si>
  <si>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</si>
  <si>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</si>
  <si>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</si>
  <si>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</si>
  <si>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</si>
  <si>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</si>
  <si>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</si>
  <si>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</si>
  <si>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Rows</t>
  </si>
  <si>
    <t>Columns</t>
  </si>
  <si>
    <t>Error</t>
  </si>
  <si>
    <t>Total</t>
  </si>
  <si>
    <t>koeficjent zaobljenosti</t>
  </si>
  <si>
    <t>koeficjent asimetrije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</si>
  <si>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</si>
  <si>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</si>
  <si>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</si>
  <si>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</si>
  <si>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</si>
  <si>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</si>
  <si>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</si>
  <si>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</si>
  <si>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</si>
  <si>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</si>
  <si>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</si>
  <si>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 xml:space="preserve">od </t>
  </si>
  <si>
    <t>srednja vrijednost</t>
  </si>
  <si>
    <t>standardna devijacija</t>
  </si>
  <si>
    <t>do</t>
  </si>
  <si>
    <t>manje od 13000</t>
  </si>
  <si>
    <t>Veće od 14000</t>
  </si>
  <si>
    <t>Vrijednost koja odvaja 33 % najvećeg broja klikova je 12591 klikova</t>
  </si>
  <si>
    <t>Vjerojatnost da klikova bude manje od 12700 je 81%</t>
  </si>
  <si>
    <t>Vjerojatnije je da će broj klikova biti manji od 13000 za 89,44%</t>
  </si>
  <si>
    <t>V</t>
  </si>
  <si>
    <t>nema</t>
  </si>
  <si>
    <t>It(2016)</t>
  </si>
  <si>
    <t>B)</t>
  </si>
  <si>
    <t>D)</t>
  </si>
  <si>
    <t>U Godini 2017. Broj klikova je porastao za 13,04 % u odnosu na prethodnu 2016. godinu.</t>
  </si>
  <si>
    <t>U 2018. godini broj klikova je pao za 2,27 % u odnosu na prethodnu 2017 godinu.</t>
  </si>
  <si>
    <t>E)</t>
  </si>
  <si>
    <t xml:space="preserve">Linearni </t>
  </si>
  <si>
    <t>y=1,5131x-3038,9</t>
  </si>
  <si>
    <t>eksponencionalni</t>
  </si>
  <si>
    <t>y=9-81^0,0927x</t>
  </si>
  <si>
    <t>a=1,5131</t>
  </si>
  <si>
    <t>b=3038,9</t>
  </si>
  <si>
    <t>U promatranom razdoblju broja klikova prosječno se godišnje povećavao za 3038,9 klikova.</t>
  </si>
  <si>
    <t>c=9,27 %</t>
  </si>
  <si>
    <t>a=9-81</t>
  </si>
  <si>
    <t>Trend vrijednost za Broj klikova u ishodišnoj 2016. godini iznosi 1,5131 (000)  klikova.</t>
  </si>
  <si>
    <t>E),F)</t>
  </si>
  <si>
    <t>G)</t>
  </si>
  <si>
    <t>procijenjeni broj klikova u 2025. godini prema reprezentativnijem modelu će biti 39 (000) klikova</t>
  </si>
  <si>
    <t>H)</t>
  </si>
  <si>
    <t>A)</t>
  </si>
  <si>
    <t>U 2011. godini bio je smanjen broj pretplatnika u odnosu na baznu 2016 godinu za 4 %.</t>
  </si>
  <si>
    <t>It(2012=100)</t>
  </si>
  <si>
    <t>Prosjecni x</t>
  </si>
  <si>
    <t>Prosjecni y</t>
  </si>
  <si>
    <t>Person</t>
  </si>
  <si>
    <t>Korelacija je vrlo jaka i pozitivna</t>
  </si>
  <si>
    <t>eksponencijalni model</t>
  </si>
  <si>
    <t>y=a*b^x</t>
  </si>
  <si>
    <t>y=43,458*b^0,3481</t>
  </si>
  <si>
    <t>a= 43,458</t>
  </si>
  <si>
    <t>b=</t>
  </si>
  <si>
    <t>Kad bi Trošak oglašavanja bio 0, možemo očekivati da broj leadova bude 43,458.</t>
  </si>
  <si>
    <r>
      <t xml:space="preserve">b = Kad bi se trošak oglašavanja povećao za 1 jedinicu, možemo očekivati </t>
    </r>
    <r>
      <rPr>
        <u/>
        <sz val="11"/>
        <color rgb="FF000000"/>
        <rFont val="Calibri"/>
        <family val="2"/>
        <charset val="238"/>
        <scheme val="minor"/>
      </rPr>
      <t>povećanje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broja leadova</t>
    </r>
    <r>
      <rPr>
        <sz val="11"/>
        <color rgb="FF000000"/>
        <rFont val="Calibri"/>
        <family val="2"/>
        <charset val="238"/>
        <scheme val="minor"/>
      </rPr>
      <t xml:space="preserve"> za 41,64%.</t>
    </r>
  </si>
  <si>
    <t>f)</t>
  </si>
  <si>
    <t>Kada bi troškovi u oglašavanje iznosili 400 eura, možemo očekivati 193,1 novi lead.</t>
  </si>
  <si>
    <t xml:space="preserve">H) </t>
  </si>
  <si>
    <t>eksponencijalni model jako dobro reprenzentira model jer mu je r^2 jako blizu 1.</t>
  </si>
  <si>
    <t xml:space="preserve">A) </t>
  </si>
  <si>
    <t>radi se o modelu potencije</t>
  </si>
  <si>
    <t>y=a*x^b</t>
  </si>
  <si>
    <t>b=1,12%</t>
  </si>
  <si>
    <t>a=2,3</t>
  </si>
  <si>
    <t>y=2,3*x^0,0112</t>
  </si>
  <si>
    <t>C)</t>
  </si>
  <si>
    <t>Kada bi se uložilo 70 eura u facebook oglašavanje može se očekivati 2,41 novih mjesečnih pretplatnika.</t>
  </si>
  <si>
    <t>Avrg.</t>
  </si>
  <si>
    <t>stdvp</t>
  </si>
  <si>
    <t>Prosječna stopa rasta je 0,25 (tisuća) prodanih licenca godišnje</t>
  </si>
  <si>
    <t>avrg</t>
  </si>
  <si>
    <t>stdevp</t>
  </si>
  <si>
    <t>Q1</t>
  </si>
  <si>
    <t>Q3</t>
  </si>
  <si>
    <t>q3-q1</t>
  </si>
  <si>
    <t>Jedna trećina pretraženih ključnih riječi ima ispod 335 impresija</t>
  </si>
  <si>
    <t>Jedna trećina pretraženih ključnih riječi ima iznad 565 impresija</t>
  </si>
  <si>
    <t xml:space="preserve">Varijabilnost je umjerena </t>
  </si>
  <si>
    <t>e)</t>
  </si>
  <si>
    <t>636 impresija dijeli 88% ključnih riječi sa manje impresija i 12 % ključnih riječi sa više impresija.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</si>
</sst>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u/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2" xfId="0" applyFill="1" applyBorder="1" applyAlignment="1"/>
    <xf numFmtId="0" fontId="6" fillId="0" borderId="13" xfId="0" applyFont="1" applyFill="1" applyBorder="1" applyAlignment="1">
      <alignment horizontal="center"/>
    </xf>
    <xf numFmtId="168" fontId="13" fillId="0" borderId="0" xfId="0" applyNumberFormat="1" applyFont="1"/>
    <xf numFmtId="0" fontId="6" fillId="0" borderId="13" xfId="0" applyFont="1" applyFill="1" applyBorder="1" applyAlignment="1">
      <alignment horizontal="centerContinuous"/>
    </xf>
    <xf numFmtId="9" fontId="0" fillId="0" borderId="0" xfId="1" applyFont="1"/>
    <xf numFmtId="10" fontId="0" fillId="0" borderId="0" xfId="1" applyNumberFormat="1" applyFont="1"/>
    <xf numFmtId="170" fontId="0" fillId="0" borderId="0" xfId="0" applyNumberFormat="1"/>
    <xf numFmtId="1" fontId="0" fillId="0" borderId="0" xfId="0" applyNumberFormat="1"/>
    <xf numFmtId="9" fontId="12" fillId="0" borderId="0" xfId="1" applyFont="1"/>
    <xf numFmtId="2" fontId="0" fillId="5" borderId="0" xfId="0" applyNumberFormat="1" applyFill="1"/>
    <xf numFmtId="0" fontId="20" fillId="0" borderId="0" xfId="0" applyFont="1"/>
    <xf numFmtId="1" fontId="12" fillId="0" borderId="0" xfId="6" applyNumberFormat="1" applyFont="1"/>
    <xf numFmtId="0" fontId="26" fillId="0" borderId="0" xfId="0" applyFont="1"/>
    <xf numFmtId="2" fontId="12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168" fontId="12" fillId="0" borderId="14" xfId="0" applyNumberFormat="1" applyFont="1" applyFill="1" applyBorder="1" applyAlignment="1">
      <alignment horizontal="center" vertical="center"/>
    </xf>
    <xf numFmtId="0" fontId="27" fillId="0" borderId="0" xfId="0" applyFont="1"/>
    <xf numFmtId="170" fontId="4" fillId="0" borderId="0" xfId="0" applyNumberFormat="1" applyFon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46599606299212598"/>
                  <c:y val="-2.87729658792650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2-4794-9C16-160794969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586080"/>
        <c:axId val="2094587040"/>
      </c:scatterChart>
      <c:valAx>
        <c:axId val="209458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87040"/>
        <c:crosses val="autoZero"/>
        <c:crossBetween val="midCat"/>
      </c:valAx>
      <c:valAx>
        <c:axId val="20945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8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'4ish1'!$B$7</c:f>
              <c:strCache>
                <c:ptCount val="1"/>
                <c:pt idx="0">
                  <c:v>Broj klikova (000)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760783027121615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1819116360454949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'4ish1'!$A$8:$A$15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'4ish1'!$B$8:$B$15</c:f>
              <c:numCache>
                <c:formatCode>General</c:formatCode>
                <c:ptCount val="8"/>
                <c:pt idx="0">
                  <c:v>11.5</c:v>
                </c:pt>
                <c:pt idx="1">
                  <c:v>13</c:v>
                </c:pt>
                <c:pt idx="2">
                  <c:v>14.4</c:v>
                </c:pt>
                <c:pt idx="3">
                  <c:v>16</c:v>
                </c:pt>
                <c:pt idx="4">
                  <c:v>17.7</c:v>
                </c:pt>
                <c:pt idx="5">
                  <c:v>19.100000000000001</c:v>
                </c:pt>
                <c:pt idx="6">
                  <c:v>20.7</c:v>
                </c:pt>
                <c:pt idx="7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A-4D37-9E7D-54C99D4B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886864"/>
        <c:axId val="2095885904"/>
      </c:scatterChart>
      <c:valAx>
        <c:axId val="209588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5885904"/>
        <c:crosses val="autoZero"/>
        <c:crossBetween val="midCat"/>
      </c:valAx>
      <c:valAx>
        <c:axId val="20958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588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387350</xdr:colOff>
      <xdr:row>173</xdr:row>
      <xdr:rowOff>104775</xdr:rowOff>
    </xdr:from>
    <xdr:to>
      <xdr:col>10</xdr:col>
      <xdr:colOff>35560</xdr:colOff>
      <xdr:row>187</xdr:row>
      <xdr:rowOff>106680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5" y="33108900"/>
          <a:ext cx="4877435" cy="2668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25</xdr:row>
      <xdr:rowOff>4762</xdr:rowOff>
    </xdr:from>
    <xdr:to>
      <xdr:col>17</xdr:col>
      <xdr:colOff>57150</xdr:colOff>
      <xdr:row>39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46FC5E-09ED-9D8E-6030-31F451F00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166687</xdr:colOff>
      <xdr:row>8</xdr:row>
      <xdr:rowOff>104775</xdr:rowOff>
    </xdr:from>
    <xdr:to>
      <xdr:col>15</xdr:col>
      <xdr:colOff>471487</xdr:colOff>
      <xdr:row>22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FE82D-7864-F28D-AF71-858889F07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2</xdr:row>
      <xdr:rowOff>161925</xdr:rowOff>
    </xdr:from>
    <xdr:to>
      <xdr:col>15</xdr:col>
      <xdr:colOff>324485</xdr:colOff>
      <xdr:row>16</xdr:row>
      <xdr:rowOff>163830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68A84DC0-8B80-489A-AED5-E8E0CEA35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42925"/>
          <a:ext cx="4877435" cy="266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topLeftCell="A3" workbookViewId="0">
      <selection activeCell="D1" sqref="D1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9" ht="26.25" x14ac:dyDescent="0.4">
      <c r="A1" s="76"/>
      <c r="D1" s="78" t="s">
        <v>11</v>
      </c>
      <c r="G1" s="76"/>
      <c r="I1" s="77" t="s">
        <v>12</v>
      </c>
    </row>
    <row r="2" spans="1:9" x14ac:dyDescent="0.25">
      <c r="D2" s="77" t="s">
        <v>62</v>
      </c>
      <c r="I2" s="77" t="s">
        <v>63</v>
      </c>
    </row>
    <row r="3" spans="1:9" x14ac:dyDescent="0.25">
      <c r="D3" s="94" t="s">
        <v>105</v>
      </c>
    </row>
    <row r="5" spans="1:9" x14ac:dyDescent="0.25">
      <c r="A5" s="79"/>
      <c r="B5" s="95" t="s">
        <v>13</v>
      </c>
      <c r="C5" s="96"/>
      <c r="D5" s="97"/>
      <c r="E5" s="95" t="s">
        <v>14</v>
      </c>
      <c r="F5" s="96"/>
      <c r="G5" s="97"/>
      <c r="H5" s="80"/>
    </row>
    <row r="6" spans="1:9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25">
      <c r="A11" s="84" t="s">
        <v>25</v>
      </c>
    </row>
    <row r="12" spans="1:9" x14ac:dyDescent="0.25">
      <c r="A12" s="84"/>
    </row>
    <row r="13" spans="1:9" x14ac:dyDescent="0.25">
      <c r="A13" s="84" t="s">
        <v>5</v>
      </c>
    </row>
    <row r="14" spans="1:9" x14ac:dyDescent="0.25">
      <c r="A14" s="84"/>
    </row>
    <row r="15" spans="1:9" x14ac:dyDescent="0.25">
      <c r="A15" s="84" t="s">
        <v>26</v>
      </c>
    </row>
    <row r="16" spans="1:9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21" zoomScaleNormal="100" workbookViewId="0"/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103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>
      <selection activeCell="C17" sqref="C17"/>
    </sheetView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  <c r="C10" s="23" t="s">
        <v>7</v>
      </c>
    </row>
    <row r="11" spans="1:16" x14ac:dyDescent="0.25">
      <c r="A11" s="89">
        <v>2019</v>
      </c>
      <c r="B11" s="89">
        <v>460</v>
      </c>
      <c r="C11" s="23" t="s">
        <v>199</v>
      </c>
      <c r="D11" s="116">
        <f>AVERAGE(B5:B11)</f>
        <v>327.14285714285717</v>
      </c>
      <c r="E11"/>
    </row>
    <row r="12" spans="1:16" x14ac:dyDescent="0.25">
      <c r="A12"/>
      <c r="C12" s="23" t="s">
        <v>200</v>
      </c>
      <c r="D12" s="19">
        <f>_xlfn.STDEV.P(B5:B11)</f>
        <v>83.403371928115661</v>
      </c>
    </row>
    <row r="13" spans="1:16" x14ac:dyDescent="0.25">
      <c r="A13" s="32"/>
      <c r="C13"/>
      <c r="D13" s="34"/>
      <c r="E13"/>
      <c r="P13" s="19"/>
    </row>
    <row r="14" spans="1:16" x14ac:dyDescent="0.25">
      <c r="D14" s="32">
        <f>D12/D11</f>
        <v>0.25494480502044087</v>
      </c>
    </row>
    <row r="15" spans="1:16" x14ac:dyDescent="0.25">
      <c r="A15"/>
      <c r="C15" s="19"/>
      <c r="D15" s="19"/>
    </row>
    <row r="16" spans="1:16" x14ac:dyDescent="0.25">
      <c r="C16" s="23" t="s">
        <v>201</v>
      </c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6"/>
  <sheetViews>
    <sheetView topLeftCell="A4" workbookViewId="0">
      <selection activeCell="G37" sqref="G37"/>
    </sheetView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7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7"/>
      <c r="L10" s="12"/>
    </row>
    <row r="11" spans="1:12" x14ac:dyDescent="0.25">
      <c r="A11" s="6" t="s">
        <v>41</v>
      </c>
      <c r="B11" s="2">
        <v>560</v>
      </c>
      <c r="D11" s="37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7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7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7"/>
      <c r="L19" s="12"/>
    </row>
    <row r="20" spans="1:12" x14ac:dyDescent="0.25">
      <c r="A20" s="6" t="s">
        <v>50</v>
      </c>
      <c r="B20" s="2">
        <v>350</v>
      </c>
      <c r="F20" t="s">
        <v>202</v>
      </c>
      <c r="G20">
        <f>AVERAGE(B6:B25)</f>
        <v>457</v>
      </c>
    </row>
    <row r="21" spans="1:12" x14ac:dyDescent="0.25">
      <c r="A21" s="6" t="s">
        <v>51</v>
      </c>
      <c r="B21" s="2">
        <v>330</v>
      </c>
      <c r="F21" t="s">
        <v>203</v>
      </c>
      <c r="G21" s="14">
        <f>_xlfn.STDEV.P(B6:B25)</f>
        <v>137.77155003846042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  <c r="E23" t="s">
        <v>7</v>
      </c>
      <c r="F23" t="s">
        <v>204</v>
      </c>
      <c r="G23">
        <f>_xlfn.QUARTILE.EXC(B6:B25,1)</f>
        <v>335</v>
      </c>
    </row>
    <row r="24" spans="1:12" x14ac:dyDescent="0.25">
      <c r="A24" s="6" t="s">
        <v>54</v>
      </c>
      <c r="B24" s="2">
        <v>270</v>
      </c>
      <c r="F24" t="s">
        <v>207</v>
      </c>
    </row>
    <row r="25" spans="1:12" x14ac:dyDescent="0.25">
      <c r="A25" s="6" t="s">
        <v>55</v>
      </c>
      <c r="B25" s="2">
        <v>250</v>
      </c>
    </row>
    <row r="26" spans="1:12" x14ac:dyDescent="0.25">
      <c r="E26" t="s">
        <v>8</v>
      </c>
      <c r="F26" t="s">
        <v>205</v>
      </c>
      <c r="G26">
        <f>QUARTILE(B6:B25,3)</f>
        <v>565</v>
      </c>
    </row>
    <row r="27" spans="1:12" x14ac:dyDescent="0.25">
      <c r="F27" t="s">
        <v>208</v>
      </c>
    </row>
    <row r="28" spans="1:12" x14ac:dyDescent="0.25">
      <c r="F28" t="s">
        <v>206</v>
      </c>
      <c r="G28">
        <f>G26-G23</f>
        <v>230</v>
      </c>
    </row>
    <row r="31" spans="1:12" x14ac:dyDescent="0.25">
      <c r="F31">
        <f>(G26-G23)/(G26+G23)</f>
        <v>0.25555555555555554</v>
      </c>
    </row>
    <row r="32" spans="1:12" x14ac:dyDescent="0.25">
      <c r="F32" t="s">
        <v>209</v>
      </c>
    </row>
    <row r="35" spans="5:7" x14ac:dyDescent="0.25">
      <c r="E35" t="s">
        <v>210</v>
      </c>
      <c r="F35">
        <f>PERCENTILE(B6:B25,88%)</f>
        <v>636</v>
      </c>
    </row>
    <row r="36" spans="5:7" x14ac:dyDescent="0.25">
      <c r="G3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4"/>
  <sheetViews>
    <sheetView topLeftCell="A24" workbookViewId="0">
      <selection activeCell="J55" sqref="J55"/>
    </sheetView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9" width="5.5703125" customWidth="1"/>
    <col min="10" max="10" width="8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112">
        <f>A5-$L$19</f>
        <v>-0.78571428571428603</v>
      </c>
      <c r="D5" s="112">
        <f>B5-$L$20</f>
        <v>-23.714285714285708</v>
      </c>
      <c r="E5" s="113">
        <f>C5*D5</f>
        <v>18.632653061224492</v>
      </c>
      <c r="F5" s="112">
        <f>C5^2</f>
        <v>0.61734693877551072</v>
      </c>
      <c r="G5" s="112">
        <f>D5^2</f>
        <v>562.3673469387752</v>
      </c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112">
        <f t="shared" ref="C6:C25" si="0">A6-$L$19</f>
        <v>-0.68571428571428594</v>
      </c>
      <c r="D6" s="112">
        <f t="shared" ref="D6:D25" si="1">B6-$L$20</f>
        <v>-20.714285714285708</v>
      </c>
      <c r="E6" s="113">
        <f t="shared" ref="E6:E25" si="2">C6*D6</f>
        <v>14.204081632653061</v>
      </c>
      <c r="F6" s="112">
        <f t="shared" ref="F6:F25" si="3">C6^2</f>
        <v>0.47020408163265337</v>
      </c>
      <c r="G6" s="112">
        <f t="shared" ref="G6:G25" si="4">D6^2</f>
        <v>429.08163265306098</v>
      </c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112">
        <f t="shared" si="0"/>
        <v>-0.18571428571428594</v>
      </c>
      <c r="D7" s="112">
        <f t="shared" si="1"/>
        <v>-3.7142857142857082</v>
      </c>
      <c r="E7" s="113">
        <f t="shared" si="2"/>
        <v>0.68979591836734666</v>
      </c>
      <c r="F7" s="112">
        <f t="shared" si="3"/>
        <v>3.4489795918367434E-2</v>
      </c>
      <c r="G7" s="112">
        <f t="shared" si="4"/>
        <v>13.795918367346893</v>
      </c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112">
        <f t="shared" si="0"/>
        <v>-8.5714285714285854E-2</v>
      </c>
      <c r="D8" s="112">
        <f t="shared" si="1"/>
        <v>1.2857142857142918</v>
      </c>
      <c r="E8" s="113">
        <f t="shared" si="2"/>
        <v>-0.11020408163265376</v>
      </c>
      <c r="F8" s="112">
        <f t="shared" si="3"/>
        <v>7.346938775510228E-3</v>
      </c>
      <c r="G8" s="112">
        <f t="shared" si="4"/>
        <v>1.6530612244898115</v>
      </c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112">
        <f t="shared" si="0"/>
        <v>0.21428571428571397</v>
      </c>
      <c r="D9" s="112">
        <f t="shared" si="1"/>
        <v>6.2857142857142918</v>
      </c>
      <c r="E9" s="113">
        <f t="shared" si="2"/>
        <v>1.3469387755102034</v>
      </c>
      <c r="F9" s="112">
        <f t="shared" si="3"/>
        <v>4.5918367346938639E-2</v>
      </c>
      <c r="G9" s="112">
        <f t="shared" si="4"/>
        <v>39.510204081632729</v>
      </c>
      <c r="H9" s="51"/>
      <c r="I9" s="51"/>
      <c r="J9" s="51"/>
      <c r="K9" s="51"/>
      <c r="L9" s="51"/>
    </row>
    <row r="10" spans="1:13" ht="16.5" thickBot="1" x14ac:dyDescent="0.3">
      <c r="A10" s="71">
        <v>1.9</v>
      </c>
      <c r="B10" s="56">
        <v>82</v>
      </c>
      <c r="C10" s="112">
        <f t="shared" si="0"/>
        <v>-0.28571428571428603</v>
      </c>
      <c r="D10" s="112">
        <f t="shared" si="1"/>
        <v>-11.714285714285708</v>
      </c>
      <c r="E10" s="113">
        <f t="shared" si="2"/>
        <v>3.346938775510206</v>
      </c>
      <c r="F10" s="112">
        <f t="shared" si="3"/>
        <v>8.1632653061224678E-2</v>
      </c>
      <c r="G10" s="112">
        <f t="shared" si="4"/>
        <v>137.22448979591823</v>
      </c>
      <c r="H10" s="51"/>
      <c r="I10" s="51"/>
      <c r="J10" s="51"/>
      <c r="K10" s="51"/>
      <c r="L10" s="51"/>
    </row>
    <row r="11" spans="1:13" ht="16.5" thickBot="1" x14ac:dyDescent="0.3">
      <c r="A11" s="71">
        <v>2.2000000000000002</v>
      </c>
      <c r="B11" s="56">
        <v>92</v>
      </c>
      <c r="C11" s="112">
        <f t="shared" si="0"/>
        <v>1.4285714285714235E-2</v>
      </c>
      <c r="D11" s="112">
        <f t="shared" si="1"/>
        <v>-1.7142857142857082</v>
      </c>
      <c r="E11" s="113">
        <f t="shared" si="2"/>
        <v>-2.4489795918367172E-2</v>
      </c>
      <c r="F11" s="112">
        <f t="shared" si="3"/>
        <v>2.0408163265305977E-4</v>
      </c>
      <c r="G11" s="112">
        <f t="shared" si="4"/>
        <v>2.9387755102040609</v>
      </c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112">
        <f t="shared" si="0"/>
        <v>0.41428571428571415</v>
      </c>
      <c r="D12" s="112">
        <f t="shared" si="1"/>
        <v>11.285714285714292</v>
      </c>
      <c r="E12" s="113">
        <f t="shared" si="2"/>
        <v>4.6755102040816334</v>
      </c>
      <c r="F12" s="112">
        <f t="shared" si="3"/>
        <v>0.17163265306122438</v>
      </c>
      <c r="G12" s="112">
        <f t="shared" si="4"/>
        <v>127.36734693877565</v>
      </c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112">
        <f t="shared" si="0"/>
        <v>0.11428571428571388</v>
      </c>
      <c r="D13" s="112">
        <f t="shared" si="1"/>
        <v>4.2857142857142918</v>
      </c>
      <c r="E13" s="113">
        <f t="shared" si="2"/>
        <v>0.48979591836734587</v>
      </c>
      <c r="F13" s="112">
        <f t="shared" si="3"/>
        <v>1.3061224489795825E-2</v>
      </c>
      <c r="G13" s="112">
        <f t="shared" si="4"/>
        <v>18.367346938775562</v>
      </c>
      <c r="H13" s="51"/>
      <c r="I13" s="51"/>
      <c r="J13" s="51"/>
      <c r="K13" s="51"/>
      <c r="L13" s="51"/>
    </row>
    <row r="14" spans="1:13" ht="16.5" thickBot="1" x14ac:dyDescent="0.3">
      <c r="A14" s="71">
        <v>2</v>
      </c>
      <c r="B14" s="56">
        <v>86</v>
      </c>
      <c r="C14" s="112">
        <f t="shared" si="0"/>
        <v>-0.18571428571428594</v>
      </c>
      <c r="D14" s="112">
        <f t="shared" si="1"/>
        <v>-7.7142857142857082</v>
      </c>
      <c r="E14" s="113">
        <f t="shared" si="2"/>
        <v>1.4326530612244903</v>
      </c>
      <c r="F14" s="112">
        <f t="shared" si="3"/>
        <v>3.4489795918367434E-2</v>
      </c>
      <c r="G14" s="112">
        <f t="shared" si="4"/>
        <v>59.510204081632558</v>
      </c>
    </row>
    <row r="15" spans="1:13" ht="16.5" thickBot="1" x14ac:dyDescent="0.3">
      <c r="A15" s="71">
        <v>2.1</v>
      </c>
      <c r="B15" s="56">
        <v>90</v>
      </c>
      <c r="C15" s="112">
        <f t="shared" si="0"/>
        <v>-8.5714285714285854E-2</v>
      </c>
      <c r="D15" s="112">
        <f t="shared" si="1"/>
        <v>-3.7142857142857082</v>
      </c>
      <c r="E15" s="113">
        <f t="shared" si="2"/>
        <v>0.3183673469387755</v>
      </c>
      <c r="F15" s="112">
        <f t="shared" si="3"/>
        <v>7.346938775510228E-3</v>
      </c>
      <c r="G15" s="112">
        <f t="shared" si="4"/>
        <v>13.795918367346893</v>
      </c>
      <c r="I15" t="s">
        <v>7</v>
      </c>
      <c r="J15">
        <f>E26/(F26*G26)</f>
        <v>1.1709149967093347E-2</v>
      </c>
    </row>
    <row r="16" spans="1:13" ht="16.5" thickBot="1" x14ac:dyDescent="0.3">
      <c r="A16" s="71">
        <v>1.8</v>
      </c>
      <c r="B16" s="56">
        <v>80</v>
      </c>
      <c r="C16" s="112">
        <f t="shared" si="0"/>
        <v>-0.3857142857142859</v>
      </c>
      <c r="D16" s="112">
        <f t="shared" si="1"/>
        <v>-13.714285714285708</v>
      </c>
      <c r="E16" s="113">
        <f t="shared" si="2"/>
        <v>5.2897959183673473</v>
      </c>
      <c r="F16" s="112">
        <f t="shared" si="3"/>
        <v>0.14877551020408178</v>
      </c>
      <c r="G16" s="112">
        <f t="shared" si="4"/>
        <v>188.08163265306106</v>
      </c>
    </row>
    <row r="17" spans="1:12" ht="16.5" thickBot="1" x14ac:dyDescent="0.3">
      <c r="A17" s="71">
        <v>2.5</v>
      </c>
      <c r="B17" s="56">
        <v>104</v>
      </c>
      <c r="C17" s="112">
        <f t="shared" si="0"/>
        <v>0.31428571428571406</v>
      </c>
      <c r="D17" s="112">
        <f t="shared" si="1"/>
        <v>10.285714285714292</v>
      </c>
      <c r="E17" s="113">
        <f t="shared" si="2"/>
        <v>3.2326530612244895</v>
      </c>
      <c r="F17" s="112">
        <f t="shared" si="3"/>
        <v>9.8775510204081485E-2</v>
      </c>
      <c r="G17" s="112">
        <f t="shared" si="4"/>
        <v>105.79591836734707</v>
      </c>
      <c r="I17" t="s">
        <v>8</v>
      </c>
      <c r="J17" t="s">
        <v>178</v>
      </c>
      <c r="L17">
        <f>PEARSON(A5:A25,B5:B25)</f>
        <v>0.99006218280301539</v>
      </c>
    </row>
    <row r="18" spans="1:12" ht="16.5" thickBot="1" x14ac:dyDescent="0.3">
      <c r="A18" s="71">
        <v>2.7</v>
      </c>
      <c r="B18" s="56">
        <v>110</v>
      </c>
      <c r="C18" s="112">
        <f t="shared" si="0"/>
        <v>0.51428571428571423</v>
      </c>
      <c r="D18" s="112">
        <f t="shared" si="1"/>
        <v>16.285714285714292</v>
      </c>
      <c r="E18" s="113">
        <f t="shared" si="2"/>
        <v>8.3755102040816354</v>
      </c>
      <c r="F18" s="112">
        <f t="shared" si="3"/>
        <v>0.2644897959183673</v>
      </c>
      <c r="G18" s="112">
        <f t="shared" si="4"/>
        <v>265.22448979591854</v>
      </c>
    </row>
    <row r="19" spans="1:12" ht="16.5" thickBot="1" x14ac:dyDescent="0.3">
      <c r="A19" s="70">
        <v>2.8</v>
      </c>
      <c r="B19" s="55">
        <v>115</v>
      </c>
      <c r="C19" s="112">
        <f t="shared" si="0"/>
        <v>0.61428571428571388</v>
      </c>
      <c r="D19" s="112">
        <f t="shared" si="1"/>
        <v>21.285714285714292</v>
      </c>
      <c r="E19" s="113">
        <f t="shared" si="2"/>
        <v>13.075510204081628</v>
      </c>
      <c r="F19" s="112">
        <f t="shared" si="3"/>
        <v>0.37734693877550973</v>
      </c>
      <c r="G19" s="112">
        <f t="shared" si="4"/>
        <v>453.08163265306149</v>
      </c>
      <c r="J19" t="s">
        <v>176</v>
      </c>
      <c r="L19" s="14">
        <f>AVERAGE(A5:A25)</f>
        <v>2.1857142857142859</v>
      </c>
    </row>
    <row r="20" spans="1:12" ht="16.5" thickBot="1" x14ac:dyDescent="0.3">
      <c r="A20" s="71">
        <v>2.2000000000000002</v>
      </c>
      <c r="B20" s="56">
        <v>94</v>
      </c>
      <c r="C20" s="112">
        <f t="shared" si="0"/>
        <v>1.4285714285714235E-2</v>
      </c>
      <c r="D20" s="112">
        <f t="shared" si="1"/>
        <v>0.2857142857142918</v>
      </c>
      <c r="E20" s="113">
        <f t="shared" si="2"/>
        <v>4.0816326530612968E-3</v>
      </c>
      <c r="F20" s="112">
        <f t="shared" si="3"/>
        <v>2.0408163265305977E-4</v>
      </c>
      <c r="G20" s="112">
        <f t="shared" si="4"/>
        <v>8.1632653061227967E-2</v>
      </c>
      <c r="J20" t="s">
        <v>177</v>
      </c>
      <c r="L20">
        <f>AVERAGE(B5:B25)</f>
        <v>93.714285714285708</v>
      </c>
    </row>
    <row r="21" spans="1:12" ht="16.5" thickBot="1" x14ac:dyDescent="0.3">
      <c r="A21" s="71">
        <v>2.4</v>
      </c>
      <c r="B21" s="56">
        <v>100</v>
      </c>
      <c r="C21" s="112">
        <f t="shared" si="0"/>
        <v>0.21428571428571397</v>
      </c>
      <c r="D21" s="112">
        <f t="shared" si="1"/>
        <v>6.2857142857142918</v>
      </c>
      <c r="E21" s="113">
        <f t="shared" si="2"/>
        <v>1.3469387755102034</v>
      </c>
      <c r="F21" s="112">
        <f t="shared" si="3"/>
        <v>4.5918367346938639E-2</v>
      </c>
      <c r="G21" s="112">
        <f t="shared" si="4"/>
        <v>39.510204081632729</v>
      </c>
    </row>
    <row r="22" spans="1:12" ht="16.5" thickBot="1" x14ac:dyDescent="0.3">
      <c r="A22" s="71">
        <v>2.6</v>
      </c>
      <c r="B22" s="56">
        <v>108</v>
      </c>
      <c r="C22" s="112">
        <f t="shared" si="0"/>
        <v>0.41428571428571415</v>
      </c>
      <c r="D22" s="112">
        <f t="shared" si="1"/>
        <v>14.285714285714292</v>
      </c>
      <c r="E22" s="113">
        <f t="shared" si="2"/>
        <v>5.9183673469387763</v>
      </c>
      <c r="F22" s="112">
        <f t="shared" si="3"/>
        <v>0.17163265306122438</v>
      </c>
      <c r="G22" s="112">
        <f t="shared" si="4"/>
        <v>204.0816326530614</v>
      </c>
      <c r="I22" t="s">
        <v>9</v>
      </c>
      <c r="J22" t="s">
        <v>179</v>
      </c>
    </row>
    <row r="23" spans="1:12" ht="16.5" thickBot="1" x14ac:dyDescent="0.3">
      <c r="A23" s="71">
        <v>2.1</v>
      </c>
      <c r="B23" s="56">
        <v>92</v>
      </c>
      <c r="C23" s="112">
        <f t="shared" si="0"/>
        <v>-8.5714285714285854E-2</v>
      </c>
      <c r="D23" s="112">
        <f t="shared" si="1"/>
        <v>-1.7142857142857082</v>
      </c>
      <c r="E23" s="113">
        <f t="shared" si="2"/>
        <v>0.14693877551020379</v>
      </c>
      <c r="F23" s="112">
        <f t="shared" si="3"/>
        <v>7.346938775510228E-3</v>
      </c>
      <c r="G23" s="112">
        <f t="shared" si="4"/>
        <v>2.9387755102040609</v>
      </c>
    </row>
    <row r="24" spans="1:12" ht="16.5" thickBot="1" x14ac:dyDescent="0.3">
      <c r="A24" s="71">
        <v>2</v>
      </c>
      <c r="B24" s="56">
        <v>88</v>
      </c>
      <c r="C24" s="112">
        <f t="shared" si="0"/>
        <v>-0.18571428571428594</v>
      </c>
      <c r="D24" s="112">
        <f t="shared" si="1"/>
        <v>-5.7142857142857082</v>
      </c>
      <c r="E24" s="113">
        <f t="shared" si="2"/>
        <v>1.0612244897959184</v>
      </c>
      <c r="F24" s="112">
        <f t="shared" si="3"/>
        <v>3.4489795918367434E-2</v>
      </c>
      <c r="G24" s="112">
        <f t="shared" si="4"/>
        <v>32.653061224489726</v>
      </c>
      <c r="I24" t="s">
        <v>10</v>
      </c>
      <c r="J24" t="s">
        <v>180</v>
      </c>
    </row>
    <row r="25" spans="1:12" ht="16.5" thickBot="1" x14ac:dyDescent="0.3">
      <c r="A25" s="71">
        <v>2.2999999999999998</v>
      </c>
      <c r="B25" s="56">
        <v>96</v>
      </c>
      <c r="C25" s="112">
        <f t="shared" si="0"/>
        <v>0.11428571428571388</v>
      </c>
      <c r="D25" s="112">
        <f t="shared" si="1"/>
        <v>2.2857142857142918</v>
      </c>
      <c r="E25" s="113">
        <f t="shared" si="2"/>
        <v>0.26122448979591811</v>
      </c>
      <c r="F25" s="112">
        <f t="shared" si="3"/>
        <v>1.3061224489795825E-2</v>
      </c>
      <c r="G25" s="112">
        <f t="shared" si="4"/>
        <v>5.2244897959183954</v>
      </c>
    </row>
    <row r="26" spans="1:12" x14ac:dyDescent="0.25">
      <c r="E26" s="114">
        <f>SUM(E5:E25)</f>
        <v>83.714285714285708</v>
      </c>
      <c r="F26" s="14">
        <f>SUM(F5:F25)</f>
        <v>2.6457142857142859</v>
      </c>
      <c r="G26" s="14">
        <f>SUM(G5:G25)</f>
        <v>2702.2857142857142</v>
      </c>
    </row>
    <row r="27" spans="1:12" x14ac:dyDescent="0.25">
      <c r="D27" s="12"/>
    </row>
    <row r="28" spans="1:12" x14ac:dyDescent="0.25">
      <c r="D28" s="12"/>
      <c r="E28" s="31"/>
    </row>
    <row r="32" spans="1:12" x14ac:dyDescent="0.25">
      <c r="E32" s="13"/>
    </row>
    <row r="34" spans="4:12" x14ac:dyDescent="0.25">
      <c r="D34" s="12"/>
      <c r="E34" s="30"/>
    </row>
    <row r="35" spans="4:12" x14ac:dyDescent="0.25">
      <c r="D35" s="12"/>
    </row>
    <row r="39" spans="4:12" x14ac:dyDescent="0.25">
      <c r="D39" s="12"/>
    </row>
    <row r="40" spans="4:12" x14ac:dyDescent="0.25">
      <c r="D40" s="12"/>
      <c r="E40" s="22"/>
    </row>
    <row r="42" spans="4:12" x14ac:dyDescent="0.25">
      <c r="J42" s="115" t="s">
        <v>181</v>
      </c>
      <c r="L42" t="s">
        <v>182</v>
      </c>
    </row>
    <row r="44" spans="4:12" x14ac:dyDescent="0.25">
      <c r="D44" s="12"/>
      <c r="E44" s="29"/>
    </row>
    <row r="45" spans="4:12" x14ac:dyDescent="0.25">
      <c r="J45" t="s">
        <v>183</v>
      </c>
      <c r="L45" s="109" t="s">
        <v>185</v>
      </c>
    </row>
    <row r="47" spans="4:12" x14ac:dyDescent="0.25">
      <c r="I47" t="s">
        <v>184</v>
      </c>
      <c r="J47" s="36">
        <f>EXP(0.3481)</f>
        <v>1.4163738800463948</v>
      </c>
      <c r="L47" s="109" t="s">
        <v>186</v>
      </c>
    </row>
    <row r="48" spans="4:12" x14ac:dyDescent="0.25">
      <c r="J48" s="14">
        <f>(J47-1)*100</f>
        <v>41.637388004639476</v>
      </c>
    </row>
    <row r="50" spans="9:10" x14ac:dyDescent="0.25">
      <c r="I50" t="s">
        <v>158</v>
      </c>
      <c r="J50" s="105">
        <f>43.458*41.64^0.4</f>
        <v>193.14079909931692</v>
      </c>
    </row>
    <row r="52" spans="9:10" x14ac:dyDescent="0.25">
      <c r="I52" t="s">
        <v>187</v>
      </c>
      <c r="J52" t="s">
        <v>188</v>
      </c>
    </row>
    <row r="54" spans="9:10" x14ac:dyDescent="0.25">
      <c r="I54" t="s">
        <v>189</v>
      </c>
      <c r="J54" t="s">
        <v>190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"/>
  <sheetViews>
    <sheetView workbookViewId="0">
      <selection activeCell="B12" sqref="B12"/>
    </sheetView>
  </sheetViews>
  <sheetFormatPr defaultRowHeight="15" x14ac:dyDescent="0.25"/>
  <cols>
    <col min="1" max="1" width="22.5703125" customWidth="1"/>
  </cols>
  <sheetData>
    <row r="1" spans="1:5" x14ac:dyDescent="0.25">
      <c r="A1" t="s">
        <v>1</v>
      </c>
    </row>
    <row r="3" spans="1:5" x14ac:dyDescent="0.25">
      <c r="A3" t="s">
        <v>191</v>
      </c>
      <c r="B3" t="s">
        <v>192</v>
      </c>
    </row>
    <row r="5" spans="1:5" x14ac:dyDescent="0.25">
      <c r="A5" t="s">
        <v>154</v>
      </c>
      <c r="C5" t="s">
        <v>196</v>
      </c>
      <c r="E5" s="115" t="s">
        <v>193</v>
      </c>
    </row>
    <row r="6" spans="1:5" x14ac:dyDescent="0.25">
      <c r="B6" t="s">
        <v>195</v>
      </c>
    </row>
    <row r="7" spans="1:5" x14ac:dyDescent="0.25">
      <c r="B7" t="s">
        <v>194</v>
      </c>
    </row>
    <row r="9" spans="1:5" x14ac:dyDescent="0.25">
      <c r="A9" t="s">
        <v>197</v>
      </c>
      <c r="B9" s="14">
        <f>2.3*70^0.0112</f>
        <v>2.4120868113262501</v>
      </c>
    </row>
    <row r="10" spans="1:5" x14ac:dyDescent="0.25">
      <c r="B10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8"/>
  <sheetViews>
    <sheetView topLeftCell="A7" zoomScaleNormal="100" workbookViewId="0">
      <selection activeCell="B39" sqref="B39"/>
    </sheetView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87</v>
      </c>
      <c r="C7" s="1" t="s">
        <v>151</v>
      </c>
      <c r="D7" s="1" t="s">
        <v>153</v>
      </c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4" t="s">
        <v>152</v>
      </c>
      <c r="D8" s="14">
        <v>100</v>
      </c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4">
        <f>B9/B8*100</f>
        <v>113.04347826086956</v>
      </c>
      <c r="D9" s="108">
        <f>C9/$D$8*100</f>
        <v>113.04347826086956</v>
      </c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4">
        <f t="shared" ref="C10:C15" si="0">B10/B9*100</f>
        <v>110.76923076923077</v>
      </c>
      <c r="D10" s="108">
        <f t="shared" ref="D10:D15" si="1">C10/$D$8*100</f>
        <v>110.76923076923077</v>
      </c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4">
        <f t="shared" si="0"/>
        <v>111.11111111111111</v>
      </c>
      <c r="D11" s="14">
        <f t="shared" si="1"/>
        <v>111.11111111111111</v>
      </c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4">
        <f t="shared" si="0"/>
        <v>110.625</v>
      </c>
      <c r="D12" s="14">
        <f t="shared" si="1"/>
        <v>110.625</v>
      </c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4">
        <f t="shared" si="0"/>
        <v>107.90960451977402</v>
      </c>
      <c r="D13" s="14">
        <f t="shared" si="1"/>
        <v>107.90960451977402</v>
      </c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4">
        <f t="shared" si="0"/>
        <v>108.37696335078533</v>
      </c>
      <c r="D14" s="14">
        <f t="shared" si="1"/>
        <v>108.37696335078533</v>
      </c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4">
        <f t="shared" si="0"/>
        <v>105.79710144927536</v>
      </c>
      <c r="D15" s="14">
        <f t="shared" si="1"/>
        <v>105.79710144927536</v>
      </c>
      <c r="E15"/>
      <c r="F15"/>
      <c r="G15"/>
      <c r="H15"/>
      <c r="I15"/>
      <c r="J15"/>
      <c r="K15"/>
      <c r="L15"/>
      <c r="M15"/>
      <c r="N15"/>
    </row>
    <row r="16" spans="1:15" x14ac:dyDescent="0.25">
      <c r="E16"/>
      <c r="F16" s="27">
        <v>21900</v>
      </c>
    </row>
    <row r="17" spans="2:16" x14ac:dyDescent="0.25">
      <c r="B17" s="107"/>
    </row>
    <row r="18" spans="2:16" x14ac:dyDescent="0.25">
      <c r="B18" s="27" t="s">
        <v>154</v>
      </c>
    </row>
    <row r="19" spans="2:16" x14ac:dyDescent="0.25">
      <c r="B19" s="27" t="s">
        <v>156</v>
      </c>
    </row>
    <row r="20" spans="2:16" x14ac:dyDescent="0.25">
      <c r="F20" s="28"/>
    </row>
    <row r="21" spans="2:16" x14ac:dyDescent="0.25">
      <c r="B21" s="27" t="s">
        <v>155</v>
      </c>
    </row>
    <row r="22" spans="2:16" x14ac:dyDescent="0.25">
      <c r="B22" s="27" t="s">
        <v>157</v>
      </c>
    </row>
    <row r="24" spans="2:16" x14ac:dyDescent="0.25">
      <c r="B24" s="27" t="s">
        <v>169</v>
      </c>
    </row>
    <row r="25" spans="2:16" x14ac:dyDescent="0.25">
      <c r="B25" s="27" t="s">
        <v>159</v>
      </c>
      <c r="C25" s="27" t="s">
        <v>160</v>
      </c>
      <c r="P25" s="109"/>
    </row>
    <row r="26" spans="2:16" x14ac:dyDescent="0.25">
      <c r="P26" s="109"/>
    </row>
    <row r="27" spans="2:16" x14ac:dyDescent="0.25">
      <c r="B27" s="27" t="s">
        <v>163</v>
      </c>
      <c r="C27" s="27" t="s">
        <v>168</v>
      </c>
    </row>
    <row r="29" spans="2:16" x14ac:dyDescent="0.25">
      <c r="B29" s="27" t="s">
        <v>164</v>
      </c>
      <c r="C29" s="27" t="s">
        <v>165</v>
      </c>
    </row>
    <row r="31" spans="2:16" x14ac:dyDescent="0.25">
      <c r="B31" s="27" t="s">
        <v>161</v>
      </c>
      <c r="C31" s="27" t="s">
        <v>162</v>
      </c>
    </row>
    <row r="32" spans="2:16" x14ac:dyDescent="0.25">
      <c r="K32" s="109"/>
    </row>
    <row r="33" spans="2:11" x14ac:dyDescent="0.25">
      <c r="B33" s="27" t="s">
        <v>167</v>
      </c>
      <c r="K33" s="109"/>
    </row>
    <row r="34" spans="2:11" x14ac:dyDescent="0.25">
      <c r="B34" s="27" t="s">
        <v>166</v>
      </c>
    </row>
    <row r="36" spans="2:11" x14ac:dyDescent="0.25">
      <c r="B36" s="27" t="s">
        <v>170</v>
      </c>
      <c r="C36" s="110">
        <f>1.5131*21.9+3.0389*2</f>
        <v>39.21468999999999</v>
      </c>
    </row>
    <row r="38" spans="2:11" x14ac:dyDescent="0.25">
      <c r="B38" s="27" t="s">
        <v>172</v>
      </c>
      <c r="C38" s="111" t="s">
        <v>171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3"/>
  <sheetViews>
    <sheetView topLeftCell="A3" workbookViewId="0">
      <selection activeCell="I14" sqref="I14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3</v>
      </c>
      <c r="B5" s="5" t="s">
        <v>88</v>
      </c>
      <c r="C5" t="s">
        <v>175</v>
      </c>
      <c r="D5"/>
      <c r="E5"/>
      <c r="F5"/>
      <c r="G5"/>
      <c r="H5"/>
      <c r="I5"/>
      <c r="J5"/>
    </row>
    <row r="6" spans="1:16" x14ac:dyDescent="0.25">
      <c r="A6" s="17">
        <v>2010</v>
      </c>
      <c r="B6" s="74">
        <v>101</v>
      </c>
      <c r="C6">
        <f>B6/$C$8*100</f>
        <v>101</v>
      </c>
      <c r="D6"/>
      <c r="E6"/>
      <c r="F6"/>
      <c r="G6"/>
      <c r="H6"/>
      <c r="I6"/>
      <c r="J6"/>
    </row>
    <row r="7" spans="1:16" x14ac:dyDescent="0.25">
      <c r="A7" s="16">
        <v>2011</v>
      </c>
      <c r="B7" s="68">
        <v>96</v>
      </c>
      <c r="C7">
        <f>B7/$C$8*100</f>
        <v>96</v>
      </c>
      <c r="D7"/>
      <c r="E7"/>
      <c r="F7"/>
      <c r="G7"/>
      <c r="H7"/>
      <c r="I7"/>
      <c r="J7" s="24"/>
    </row>
    <row r="8" spans="1:16" x14ac:dyDescent="0.25">
      <c r="A8" s="17">
        <v>2012</v>
      </c>
      <c r="B8" s="68">
        <v>97</v>
      </c>
      <c r="C8">
        <v>100</v>
      </c>
      <c r="D8"/>
      <c r="E8"/>
      <c r="F8"/>
      <c r="G8"/>
      <c r="H8"/>
      <c r="I8"/>
    </row>
    <row r="9" spans="1:16" x14ac:dyDescent="0.25">
      <c r="A9" s="16">
        <v>2013</v>
      </c>
      <c r="B9" s="68">
        <v>99</v>
      </c>
      <c r="C9" s="14">
        <f>B9/$C$8*100</f>
        <v>99</v>
      </c>
      <c r="D9"/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 s="14">
        <f t="shared" ref="C10:C18" si="0">B10/$C$8*100</f>
        <v>101</v>
      </c>
      <c r="D10"/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 s="14">
        <f t="shared" si="0"/>
        <v>101</v>
      </c>
      <c r="D11"/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 s="14">
        <f t="shared" si="0"/>
        <v>100</v>
      </c>
      <c r="D12"/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 s="14">
        <f t="shared" si="0"/>
        <v>103</v>
      </c>
      <c r="D13"/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 s="14">
        <f t="shared" si="0"/>
        <v>106</v>
      </c>
      <c r="D14"/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 s="14">
        <f t="shared" si="0"/>
        <v>108</v>
      </c>
      <c r="D15"/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 s="14">
        <f t="shared" si="0"/>
        <v>108</v>
      </c>
      <c r="D16"/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 s="14">
        <f t="shared" si="0"/>
        <v>109.00000000000001</v>
      </c>
      <c r="D17"/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 s="14">
        <f t="shared" si="0"/>
        <v>109.00000000000001</v>
      </c>
      <c r="D18"/>
      <c r="E18"/>
      <c r="F18"/>
      <c r="G18"/>
      <c r="H18"/>
      <c r="I18"/>
    </row>
    <row r="21" spans="1:9" x14ac:dyDescent="0.25">
      <c r="B21" s="23" t="s">
        <v>173</v>
      </c>
      <c r="C21" s="23" t="s">
        <v>174</v>
      </c>
    </row>
    <row r="23" spans="1:9" x14ac:dyDescent="0.25">
      <c r="B23" s="23" t="s">
        <v>154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topLeftCell="A4" workbookViewId="0">
      <selection activeCell="H8" sqref="H8"/>
    </sheetView>
  </sheetViews>
  <sheetFormatPr defaultRowHeight="15" x14ac:dyDescent="0.25"/>
  <cols>
    <col min="1" max="1" width="22.140625" customWidth="1"/>
    <col min="2" max="2" width="14.42578125" customWidth="1"/>
    <col min="5" max="5" width="14.7109375" customWidth="1"/>
    <col min="6" max="6" width="10.140625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90</v>
      </c>
      <c r="B5" s="72" t="s">
        <v>89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90">
        <v>1</v>
      </c>
      <c r="B6" s="75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1" t="s">
        <v>129</v>
      </c>
      <c r="E8" s="11"/>
      <c r="G8" s="101">
        <f>KURT(B6:B34)</f>
        <v>-0.44581861440979687</v>
      </c>
      <c r="H8" s="11"/>
      <c r="I8" s="11"/>
    </row>
    <row r="9" spans="1:9" x14ac:dyDescent="0.25">
      <c r="A9" s="90">
        <v>4</v>
      </c>
      <c r="B9" s="75">
        <v>20</v>
      </c>
      <c r="C9" s="11"/>
      <c r="D9" s="11" t="s">
        <v>130</v>
      </c>
      <c r="E9" s="11"/>
      <c r="G9" s="101">
        <f>SKEW(B6:B35)</f>
        <v>0.14209149803071319</v>
      </c>
      <c r="H9" s="11"/>
      <c r="I9" s="11"/>
    </row>
    <row r="10" spans="1:9" x14ac:dyDescent="0.25">
      <c r="A10" s="90">
        <v>5</v>
      </c>
      <c r="B10" s="75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90">
        <v>6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90">
        <v>7</v>
      </c>
      <c r="B12" s="75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9" ht="15.75" thickBot="1" x14ac:dyDescent="0.3">
      <c r="A14" s="90">
        <v>9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90">
        <v>10</v>
      </c>
      <c r="B15" s="75">
        <v>26</v>
      </c>
      <c r="C15" s="11"/>
      <c r="D15" s="11"/>
      <c r="E15" s="102" t="s">
        <v>89</v>
      </c>
      <c r="F15" s="102"/>
      <c r="G15" s="11"/>
      <c r="H15" s="101">
        <f>G8+1.96*F18</f>
        <v>1.4748878967250278</v>
      </c>
      <c r="I15" s="11"/>
    </row>
    <row r="16" spans="1:9" x14ac:dyDescent="0.25">
      <c r="A16" s="90">
        <v>11</v>
      </c>
      <c r="B16" s="75">
        <v>23</v>
      </c>
      <c r="C16" s="11"/>
      <c r="D16" s="11"/>
      <c r="E16" s="98"/>
      <c r="F16" s="98"/>
      <c r="G16" s="11"/>
      <c r="H16" s="11"/>
      <c r="I16" s="11"/>
    </row>
    <row r="17" spans="1:9" x14ac:dyDescent="0.25">
      <c r="A17" s="90">
        <v>12</v>
      </c>
      <c r="B17" s="75">
        <v>20</v>
      </c>
      <c r="C17" s="11"/>
      <c r="D17" s="11"/>
      <c r="E17" s="98" t="s">
        <v>131</v>
      </c>
      <c r="F17" s="98">
        <v>23.533333333333335</v>
      </c>
      <c r="G17" s="11"/>
      <c r="H17" s="11"/>
      <c r="I17" s="11"/>
    </row>
    <row r="18" spans="1:9" x14ac:dyDescent="0.25">
      <c r="A18" s="90">
        <v>13</v>
      </c>
      <c r="B18" s="75">
        <v>18</v>
      </c>
      <c r="C18" s="11"/>
      <c r="D18" s="11"/>
      <c r="E18" s="98" t="s">
        <v>132</v>
      </c>
      <c r="F18" s="98">
        <v>0.97995230159940039</v>
      </c>
      <c r="G18" s="11"/>
      <c r="H18" s="11"/>
      <c r="I18" s="11"/>
    </row>
    <row r="19" spans="1:9" x14ac:dyDescent="0.25">
      <c r="A19" s="90">
        <v>14</v>
      </c>
      <c r="B19" s="75">
        <v>17</v>
      </c>
      <c r="C19" s="11"/>
      <c r="D19" s="11"/>
      <c r="E19" s="98" t="s">
        <v>133</v>
      </c>
      <c r="F19" s="98">
        <v>23</v>
      </c>
      <c r="G19" s="11"/>
      <c r="H19" s="11"/>
      <c r="I19" s="11"/>
    </row>
    <row r="20" spans="1:9" x14ac:dyDescent="0.25">
      <c r="A20" s="90">
        <v>15</v>
      </c>
      <c r="B20" s="75">
        <v>19</v>
      </c>
      <c r="C20" s="11"/>
      <c r="D20" s="11"/>
      <c r="E20" s="98" t="s">
        <v>134</v>
      </c>
      <c r="F20" s="98">
        <v>20</v>
      </c>
      <c r="G20" s="11"/>
      <c r="H20" s="11"/>
      <c r="I20" s="11"/>
    </row>
    <row r="21" spans="1:9" x14ac:dyDescent="0.25">
      <c r="A21" s="90">
        <v>16</v>
      </c>
      <c r="B21" s="75">
        <v>22</v>
      </c>
      <c r="C21" s="11"/>
      <c r="D21" s="11"/>
      <c r="E21" s="98" t="s">
        <v>135</v>
      </c>
      <c r="F21" s="98">
        <v>5.3674198086509746</v>
      </c>
      <c r="G21" s="11"/>
      <c r="H21" s="11"/>
      <c r="I21" s="11"/>
    </row>
    <row r="22" spans="1:9" x14ac:dyDescent="0.25">
      <c r="A22" s="90">
        <v>17</v>
      </c>
      <c r="B22" s="75">
        <v>24</v>
      </c>
      <c r="C22" s="11"/>
      <c r="D22" s="11"/>
      <c r="E22" s="98" t="s">
        <v>136</v>
      </c>
      <c r="F22" s="98">
        <v>28.809195402298869</v>
      </c>
      <c r="G22" s="11"/>
      <c r="H22" s="11"/>
      <c r="I22" s="11"/>
    </row>
    <row r="23" spans="1:9" x14ac:dyDescent="0.25">
      <c r="A23" s="90">
        <v>18</v>
      </c>
      <c r="B23" s="75">
        <v>28</v>
      </c>
      <c r="C23" s="11"/>
      <c r="D23" s="11"/>
      <c r="E23" s="98" t="s">
        <v>137</v>
      </c>
      <c r="F23" s="98">
        <v>-0.58991447809434838</v>
      </c>
      <c r="G23" s="11"/>
      <c r="H23" s="11"/>
      <c r="I23" s="11"/>
    </row>
    <row r="24" spans="1:9" x14ac:dyDescent="0.25">
      <c r="A24" s="90">
        <v>19</v>
      </c>
      <c r="B24" s="75">
        <v>32</v>
      </c>
      <c r="C24" s="11"/>
      <c r="D24" s="11"/>
      <c r="E24" s="98" t="s">
        <v>138</v>
      </c>
      <c r="F24" s="98">
        <v>0.14209149803071319</v>
      </c>
      <c r="G24" s="11"/>
      <c r="H24" s="11"/>
      <c r="I24" s="11"/>
    </row>
    <row r="25" spans="1:9" x14ac:dyDescent="0.25">
      <c r="A25" s="90">
        <v>20</v>
      </c>
      <c r="B25" s="75">
        <v>35</v>
      </c>
      <c r="C25" s="11"/>
      <c r="D25" s="11"/>
      <c r="E25" s="98" t="s">
        <v>139</v>
      </c>
      <c r="F25" s="98">
        <v>22</v>
      </c>
      <c r="G25" s="11"/>
      <c r="H25" s="11"/>
      <c r="I25" s="11"/>
    </row>
    <row r="26" spans="1:9" x14ac:dyDescent="0.25">
      <c r="A26" s="90">
        <v>21</v>
      </c>
      <c r="B26" s="75">
        <v>30</v>
      </c>
      <c r="C26" s="11"/>
      <c r="D26" s="11"/>
      <c r="E26" s="98" t="s">
        <v>140</v>
      </c>
      <c r="F26" s="98">
        <v>13</v>
      </c>
      <c r="G26" s="11"/>
      <c r="H26" s="11"/>
      <c r="I26" s="11"/>
    </row>
    <row r="27" spans="1:9" x14ac:dyDescent="0.25">
      <c r="A27" s="90">
        <v>22</v>
      </c>
      <c r="B27" s="75">
        <v>27</v>
      </c>
      <c r="C27" s="11"/>
      <c r="D27" s="11"/>
      <c r="E27" s="98" t="s">
        <v>141</v>
      </c>
      <c r="F27" s="98">
        <v>35</v>
      </c>
      <c r="G27" s="11"/>
      <c r="H27" s="11"/>
      <c r="I27" s="11"/>
    </row>
    <row r="28" spans="1:9" x14ac:dyDescent="0.25">
      <c r="A28" s="90">
        <v>23</v>
      </c>
      <c r="B28" s="75">
        <v>25</v>
      </c>
      <c r="C28" s="11"/>
      <c r="D28" s="11"/>
      <c r="E28" s="98" t="s">
        <v>114</v>
      </c>
      <c r="F28" s="98">
        <v>706</v>
      </c>
      <c r="G28" s="11"/>
      <c r="H28" s="11"/>
      <c r="I28" s="11"/>
    </row>
    <row r="29" spans="1:9" ht="15.75" thickBot="1" x14ac:dyDescent="0.3">
      <c r="A29" s="90">
        <v>24</v>
      </c>
      <c r="B29" s="75">
        <v>22</v>
      </c>
      <c r="C29" s="11"/>
      <c r="D29" s="11"/>
      <c r="E29" s="99" t="s">
        <v>113</v>
      </c>
      <c r="F29" s="99">
        <v>30</v>
      </c>
      <c r="G29" s="11"/>
      <c r="H29" s="11"/>
      <c r="I29" s="11"/>
    </row>
    <row r="30" spans="1:9" ht="15" customHeight="1" x14ac:dyDescent="0.25">
      <c r="A30" s="90">
        <v>25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90">
        <v>26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C10" sqref="C10"/>
    </sheetView>
  </sheetViews>
  <sheetFormatPr defaultRowHeight="15" x14ac:dyDescent="0.25"/>
  <cols>
    <col min="1" max="1" width="15.5703125" customWidth="1"/>
    <col min="2" max="2" width="10.42578125" customWidth="1"/>
    <col min="3" max="3" width="11.140625" bestFit="1" customWidth="1"/>
  </cols>
  <sheetData>
    <row r="1" spans="1:14" x14ac:dyDescent="0.25">
      <c r="A1" t="s">
        <v>30</v>
      </c>
    </row>
    <row r="3" spans="1:14" x14ac:dyDescent="0.25">
      <c r="C3" t="s">
        <v>143</v>
      </c>
      <c r="E3">
        <v>12000</v>
      </c>
    </row>
    <row r="4" spans="1:14" x14ac:dyDescent="0.25">
      <c r="C4" t="s">
        <v>144</v>
      </c>
      <c r="E4">
        <v>800</v>
      </c>
    </row>
    <row r="5" spans="1:14" x14ac:dyDescent="0.25">
      <c r="A5" t="s">
        <v>7</v>
      </c>
    </row>
    <row r="6" spans="1:14" x14ac:dyDescent="0.25">
      <c r="B6" t="s">
        <v>142</v>
      </c>
      <c r="C6">
        <f>_xlfn.NORM.INV(5%,E3,E4)</f>
        <v>10684.117098438823</v>
      </c>
      <c r="D6" t="s">
        <v>145</v>
      </c>
      <c r="E6">
        <f>_xlfn.NORM.INV(95%,E3,E4)</f>
        <v>13315.882901561177</v>
      </c>
    </row>
    <row r="8" spans="1:14" ht="15" customHeight="1" x14ac:dyDescent="0.25">
      <c r="A8" t="s">
        <v>8</v>
      </c>
    </row>
    <row r="9" spans="1:14" x14ac:dyDescent="0.25">
      <c r="A9" t="s">
        <v>146</v>
      </c>
      <c r="B9" s="104">
        <f>_xlfn.NORM.DIST(13000,E3,E4,TRUE)</f>
        <v>0.89435022633314476</v>
      </c>
      <c r="C9" t="s">
        <v>150</v>
      </c>
    </row>
    <row r="10" spans="1:14" x14ac:dyDescent="0.25">
      <c r="A10" t="s">
        <v>147</v>
      </c>
      <c r="B10" s="104">
        <f>1-NORMDIST(14000,E3,E4,TRUE)</f>
        <v>6.2096653257761592E-3</v>
      </c>
    </row>
    <row r="11" spans="1:14" x14ac:dyDescent="0.25">
      <c r="A11" t="s">
        <v>9</v>
      </c>
    </row>
    <row r="12" spans="1:14" x14ac:dyDescent="0.25">
      <c r="B12" s="103">
        <f>_xlfn.NORM.DIST(12700,E3,E4,TRUE)</f>
        <v>0.80921304714748943</v>
      </c>
      <c r="N12" s="12"/>
    </row>
    <row r="13" spans="1:14" x14ac:dyDescent="0.25">
      <c r="B13" t="s">
        <v>149</v>
      </c>
    </row>
    <row r="14" spans="1:14" x14ac:dyDescent="0.25">
      <c r="A14" t="s">
        <v>10</v>
      </c>
      <c r="B14" s="106">
        <f>_xlfn.NORM.INV(77%,E3,E4)</f>
        <v>12591.077479348171</v>
      </c>
    </row>
    <row r="15" spans="1:14" x14ac:dyDescent="0.25">
      <c r="B15" t="s">
        <v>148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7"/>
  <sheetViews>
    <sheetView topLeftCell="A4" zoomScale="70" zoomScaleNormal="70" workbookViewId="0">
      <selection activeCell="C42" sqref="C42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7.42578125" customWidth="1"/>
  </cols>
  <sheetData>
    <row r="1" spans="1:6" x14ac:dyDescent="0.25">
      <c r="A1" t="s">
        <v>0</v>
      </c>
    </row>
    <row r="3" spans="1:6" x14ac:dyDescent="0.25">
      <c r="B3" s="60"/>
    </row>
    <row r="4" spans="1:6" ht="14.45" customHeight="1" x14ac:dyDescent="0.25">
      <c r="A4" s="58" t="s">
        <v>59</v>
      </c>
      <c r="B4" s="58" t="s">
        <v>60</v>
      </c>
      <c r="C4" s="58" t="s">
        <v>61</v>
      </c>
    </row>
    <row r="5" spans="1:6" x14ac:dyDescent="0.25">
      <c r="A5" s="57">
        <v>25</v>
      </c>
      <c r="B5" s="57">
        <v>32</v>
      </c>
      <c r="C5" s="57">
        <v>56</v>
      </c>
    </row>
    <row r="6" spans="1:6" x14ac:dyDescent="0.25">
      <c r="A6" s="57">
        <v>28</v>
      </c>
      <c r="B6" s="57">
        <v>35</v>
      </c>
      <c r="C6" s="57">
        <v>45</v>
      </c>
    </row>
    <row r="7" spans="1:6" x14ac:dyDescent="0.25">
      <c r="A7" s="57">
        <v>30</v>
      </c>
      <c r="B7" s="57">
        <v>33</v>
      </c>
      <c r="C7" s="57">
        <v>51</v>
      </c>
    </row>
    <row r="8" spans="1:6" x14ac:dyDescent="0.25">
      <c r="A8" s="57">
        <v>26</v>
      </c>
      <c r="B8" s="57">
        <v>26</v>
      </c>
      <c r="C8" s="57">
        <v>45</v>
      </c>
      <c r="D8" s="3"/>
    </row>
    <row r="9" spans="1:6" x14ac:dyDescent="0.25">
      <c r="A9" s="57">
        <v>34</v>
      </c>
      <c r="B9" s="57">
        <v>34</v>
      </c>
      <c r="C9" s="57">
        <v>43</v>
      </c>
    </row>
    <row r="10" spans="1:6" x14ac:dyDescent="0.25">
      <c r="A10" s="57">
        <v>29</v>
      </c>
      <c r="B10" s="57">
        <v>31</v>
      </c>
      <c r="C10" s="57">
        <v>39</v>
      </c>
    </row>
    <row r="11" spans="1:6" x14ac:dyDescent="0.25">
      <c r="A11">
        <f>SUM(A5:A10)</f>
        <v>172</v>
      </c>
      <c r="B11">
        <f>SUM(B5:B10)</f>
        <v>191</v>
      </c>
      <c r="C11">
        <f>SUM(C5:C10)</f>
        <v>279</v>
      </c>
      <c r="E11" t="s">
        <v>106</v>
      </c>
      <c r="F11" t="s">
        <v>108</v>
      </c>
    </row>
    <row r="12" spans="1:6" x14ac:dyDescent="0.25">
      <c r="E12" t="s">
        <v>107</v>
      </c>
      <c r="F12" t="s">
        <v>109</v>
      </c>
    </row>
    <row r="14" spans="1:6" x14ac:dyDescent="0.25">
      <c r="A14" t="s">
        <v>110</v>
      </c>
    </row>
    <row r="15" spans="1:6" x14ac:dyDescent="0.25">
      <c r="C15">
        <f>_xlfn.F.TEST(A5:A10,B5:B10)</f>
        <v>0.99169184797922916</v>
      </c>
    </row>
    <row r="18" spans="2:8" x14ac:dyDescent="0.25">
      <c r="B18" t="s">
        <v>111</v>
      </c>
    </row>
    <row r="19" spans="2:8" ht="15.75" thickBot="1" x14ac:dyDescent="0.3"/>
    <row r="20" spans="2:8" x14ac:dyDescent="0.25">
      <c r="B20" s="100" t="s">
        <v>112</v>
      </c>
      <c r="C20" s="100" t="s">
        <v>113</v>
      </c>
      <c r="D20" s="100" t="s">
        <v>114</v>
      </c>
      <c r="E20" s="100" t="s">
        <v>115</v>
      </c>
      <c r="F20" s="100" t="s">
        <v>116</v>
      </c>
    </row>
    <row r="21" spans="2:8" x14ac:dyDescent="0.25">
      <c r="B21" s="98">
        <v>25</v>
      </c>
      <c r="C21" s="98">
        <v>1</v>
      </c>
      <c r="D21" s="98">
        <v>32</v>
      </c>
      <c r="E21" s="98">
        <v>32</v>
      </c>
      <c r="F21" s="98" t="e">
        <v>#DIV/0!</v>
      </c>
    </row>
    <row r="22" spans="2:8" x14ac:dyDescent="0.25">
      <c r="B22" s="98">
        <v>28</v>
      </c>
      <c r="C22" s="98">
        <v>1</v>
      </c>
      <c r="D22" s="98">
        <v>35</v>
      </c>
      <c r="E22" s="98">
        <v>35</v>
      </c>
      <c r="F22" s="98" t="e">
        <v>#DIV/0!</v>
      </c>
    </row>
    <row r="23" spans="2:8" x14ac:dyDescent="0.25">
      <c r="B23" s="98">
        <v>30</v>
      </c>
      <c r="C23" s="98">
        <v>1</v>
      </c>
      <c r="D23" s="98">
        <v>33</v>
      </c>
      <c r="E23" s="98">
        <v>33</v>
      </c>
      <c r="F23" s="98" t="e">
        <v>#DIV/0!</v>
      </c>
    </row>
    <row r="24" spans="2:8" x14ac:dyDescent="0.25">
      <c r="B24" s="98">
        <v>26</v>
      </c>
      <c r="C24" s="98">
        <v>1</v>
      </c>
      <c r="D24" s="98">
        <v>26</v>
      </c>
      <c r="E24" s="98">
        <v>26</v>
      </c>
      <c r="F24" s="98" t="e">
        <v>#DIV/0!</v>
      </c>
    </row>
    <row r="25" spans="2:8" x14ac:dyDescent="0.25">
      <c r="B25" s="98">
        <v>34</v>
      </c>
      <c r="C25" s="98">
        <v>1</v>
      </c>
      <c r="D25" s="98">
        <v>34</v>
      </c>
      <c r="E25" s="98">
        <v>34</v>
      </c>
      <c r="F25" s="98" t="e">
        <v>#DIV/0!</v>
      </c>
    </row>
    <row r="26" spans="2:8" x14ac:dyDescent="0.25">
      <c r="B26" s="98">
        <v>29</v>
      </c>
      <c r="C26" s="98">
        <v>1</v>
      </c>
      <c r="D26" s="98">
        <v>31</v>
      </c>
      <c r="E26" s="98">
        <v>31</v>
      </c>
      <c r="F26" s="98" t="e">
        <v>#DIV/0!</v>
      </c>
    </row>
    <row r="27" spans="2:8" x14ac:dyDescent="0.25">
      <c r="B27" s="98"/>
      <c r="C27" s="98"/>
      <c r="D27" s="98"/>
      <c r="E27" s="98"/>
      <c r="F27" s="98"/>
    </row>
    <row r="28" spans="2:8" ht="15.75" thickBot="1" x14ac:dyDescent="0.3">
      <c r="B28" s="99" t="s">
        <v>60</v>
      </c>
      <c r="C28" s="99">
        <v>6</v>
      </c>
      <c r="D28" s="99">
        <v>191</v>
      </c>
      <c r="E28" s="99">
        <v>31.833333333333332</v>
      </c>
      <c r="F28" s="99">
        <v>10.166666666666668</v>
      </c>
    </row>
    <row r="31" spans="2:8" ht="15.75" thickBot="1" x14ac:dyDescent="0.3">
      <c r="B31" t="s">
        <v>117</v>
      </c>
    </row>
    <row r="32" spans="2:8" x14ac:dyDescent="0.25">
      <c r="B32" s="100" t="s">
        <v>118</v>
      </c>
      <c r="C32" s="100" t="s">
        <v>119</v>
      </c>
      <c r="D32" s="100" t="s">
        <v>120</v>
      </c>
      <c r="E32" s="100" t="s">
        <v>121</v>
      </c>
      <c r="F32" s="100" t="s">
        <v>122</v>
      </c>
      <c r="G32" s="100" t="s">
        <v>123</v>
      </c>
      <c r="H32" s="100" t="s">
        <v>124</v>
      </c>
    </row>
    <row r="33" spans="2:8" x14ac:dyDescent="0.25">
      <c r="B33" s="98" t="s">
        <v>125</v>
      </c>
      <c r="C33" s="98">
        <v>50.833333333333336</v>
      </c>
      <c r="D33" s="98">
        <v>5</v>
      </c>
      <c r="E33" s="98">
        <v>10.166666666666668</v>
      </c>
      <c r="F33" s="98">
        <v>65535</v>
      </c>
      <c r="G33" s="98" t="e">
        <v>#NUM!</v>
      </c>
      <c r="H33" s="98" t="e">
        <v>#NUM!</v>
      </c>
    </row>
    <row r="34" spans="2:8" x14ac:dyDescent="0.25">
      <c r="B34" s="98" t="s">
        <v>126</v>
      </c>
      <c r="C34" s="98">
        <v>0</v>
      </c>
      <c r="D34" s="98">
        <v>0</v>
      </c>
      <c r="E34" s="98">
        <v>65535</v>
      </c>
      <c r="F34" s="98">
        <v>65535</v>
      </c>
      <c r="G34" s="98" t="e">
        <v>#NUM!</v>
      </c>
      <c r="H34" s="98" t="e">
        <v>#NUM!</v>
      </c>
    </row>
    <row r="35" spans="2:8" x14ac:dyDescent="0.25">
      <c r="B35" s="98" t="s">
        <v>127</v>
      </c>
      <c r="C35" s="98">
        <v>0</v>
      </c>
      <c r="D35" s="98">
        <v>0</v>
      </c>
      <c r="E35" s="98">
        <v>65535</v>
      </c>
      <c r="F35" s="98"/>
      <c r="G35" s="98"/>
      <c r="H35" s="98"/>
    </row>
    <row r="36" spans="2:8" x14ac:dyDescent="0.25">
      <c r="B36" s="98"/>
      <c r="C36" s="98"/>
      <c r="D36" s="98"/>
      <c r="E36" s="98"/>
      <c r="F36" s="98"/>
      <c r="G36" s="98"/>
      <c r="H36" s="98"/>
    </row>
    <row r="37" spans="2:8" ht="15.75" thickBot="1" x14ac:dyDescent="0.3">
      <c r="B37" s="99" t="s">
        <v>128</v>
      </c>
      <c r="C37" s="99">
        <v>50.833333333333336</v>
      </c>
      <c r="D37" s="99">
        <v>5</v>
      </c>
      <c r="E37" s="99"/>
      <c r="F37" s="99"/>
      <c r="G37" s="99"/>
      <c r="H37" s="99"/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tabSelected="1" workbookViewId="0">
      <selection activeCell="C4" sqref="C4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2"/>
      <c r="B3" s="60"/>
    </row>
    <row r="4" spans="1:6" ht="30" x14ac:dyDescent="0.25">
      <c r="A4" s="69" t="s">
        <v>96</v>
      </c>
      <c r="B4" s="69" t="s">
        <v>97</v>
      </c>
    </row>
    <row r="5" spans="1:6" x14ac:dyDescent="0.25">
      <c r="A5" s="15">
        <v>80</v>
      </c>
      <c r="B5" s="15">
        <v>100</v>
      </c>
    </row>
    <row r="6" spans="1:6" x14ac:dyDescent="0.25">
      <c r="A6" s="73">
        <v>70</v>
      </c>
      <c r="B6" s="15">
        <v>83</v>
      </c>
    </row>
    <row r="7" spans="1:6" x14ac:dyDescent="0.25">
      <c r="A7" s="15">
        <v>65</v>
      </c>
      <c r="B7" s="73">
        <v>80</v>
      </c>
    </row>
    <row r="8" spans="1:6" x14ac:dyDescent="0.25">
      <c r="A8" s="15">
        <v>59</v>
      </c>
      <c r="B8" s="15">
        <v>73</v>
      </c>
    </row>
    <row r="9" spans="1:6" x14ac:dyDescent="0.25">
      <c r="A9" s="15">
        <v>45</v>
      </c>
      <c r="B9" s="15">
        <v>69</v>
      </c>
    </row>
    <row r="10" spans="1:6" x14ac:dyDescent="0.25">
      <c r="A10" s="73">
        <v>45</v>
      </c>
      <c r="B10" s="15">
        <v>62</v>
      </c>
    </row>
    <row r="11" spans="1:6" x14ac:dyDescent="0.25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</row>
    <row r="13" spans="1:6" x14ac:dyDescent="0.25">
      <c r="A13" s="15">
        <v>31</v>
      </c>
      <c r="B13" s="15">
        <v>49</v>
      </c>
    </row>
    <row r="14" spans="1:6" x14ac:dyDescent="0.25">
      <c r="A14" s="15">
        <v>27</v>
      </c>
      <c r="B14" s="73">
        <v>49</v>
      </c>
    </row>
    <row r="15" spans="1:6" x14ac:dyDescent="0.25">
      <c r="A15" s="15">
        <v>10</v>
      </c>
      <c r="B15" s="15">
        <v>45</v>
      </c>
    </row>
    <row r="16" spans="1:6" x14ac:dyDescent="0.25">
      <c r="A16" s="15">
        <v>10</v>
      </c>
      <c r="B16" s="15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59"/>
      <c r="B5" s="2"/>
      <c r="C5" s="2" t="s">
        <v>91</v>
      </c>
      <c r="D5" s="2" t="s">
        <v>92</v>
      </c>
      <c r="E5" s="2" t="s">
        <v>93</v>
      </c>
    </row>
    <row r="6" spans="1:5" x14ac:dyDescent="0.25">
      <c r="A6" s="12"/>
      <c r="B6" s="91" t="s">
        <v>94</v>
      </c>
      <c r="C6" s="2">
        <v>45</v>
      </c>
      <c r="D6" s="2">
        <v>57</v>
      </c>
      <c r="E6" s="2">
        <v>44</v>
      </c>
    </row>
    <row r="7" spans="1:5" x14ac:dyDescent="0.25">
      <c r="A7" s="12"/>
      <c r="B7" s="2" t="s">
        <v>95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Ivan Leško | Student</cp:lastModifiedBy>
  <dcterms:created xsi:type="dcterms:W3CDTF">2018-07-18T04:58:41Z</dcterms:created>
  <dcterms:modified xsi:type="dcterms:W3CDTF">2024-09-04T09:30:17Z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