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algebrapou-my.sharepoint.com/personal/toni_milun_algebra_hr/Documents/Documents/toni stik/posao/VUA Algebra/matematika Algebra/VUA Matematika DM/VUA Mat DM ispiti/2024 VUA Mat DM 12. 9/"/>
    </mc:Choice>
  </mc:AlternateContent>
  <xr:revisionPtr revIDLastSave="190" documentId="8_{F48DD9FC-6334-4906-9F76-89A8C87661C1}" xr6:coauthVersionLast="47" xr6:coauthVersionMax="47" xr10:uidLastSave="{FDDBCAA4-2D5A-4805-A056-11B459EBE3C3}"/>
  <bookViews>
    <workbookView xWindow="-110" yWindow="-110" windowWidth="19420" windowHeight="10420" xr2:uid="{00000000-000D-0000-FFFF-FFFF00000000}"/>
  </bookViews>
  <sheets>
    <sheet name="uvod" sheetId="1" r:id="rId1"/>
    <sheet name="auto_feedback" sheetId="4" r:id="rId2"/>
    <sheet name="upute" sheetId="17" r:id="rId3"/>
    <sheet name="kontrola" sheetId="3" r:id="rId4"/>
    <sheet name="1. ish zad 1-10" sheetId="5" r:id="rId5"/>
    <sheet name="2. ish zad 11" sheetId="18" r:id="rId6"/>
    <sheet name="2. ish zad 12" sheetId="7" r:id="rId7"/>
    <sheet name="2. ish zad 13" sheetId="8" r:id="rId8"/>
    <sheet name="2. ish zad 14" sheetId="9" r:id="rId9"/>
    <sheet name="3. ish zad 15" sheetId="10" r:id="rId10"/>
    <sheet name="3. ish zad 16" sheetId="11" r:id="rId11"/>
    <sheet name="3. ish zad 17" sheetId="12" r:id="rId12"/>
    <sheet name="3. ish zad 18" sheetId="13" r:id="rId13"/>
    <sheet name="4. ish zad 19" sheetId="14" r:id="rId14"/>
    <sheet name="4. ish zad 20" sheetId="15" r:id="rId15"/>
    <sheet name="4. ish zad 21" sheetId="16" r:id="rId16"/>
  </sheets>
  <definedNames>
    <definedName name="A" localSheetId="5">#REF!</definedName>
    <definedName name="A" localSheetId="6">#REF!</definedName>
    <definedName name="A" localSheetId="7">#REF!</definedName>
    <definedName name="A" localSheetId="8">#REF!</definedName>
    <definedName name="A" localSheetId="2">#REF!</definedName>
    <definedName name="A" localSheetId="0">#REF!</definedName>
    <definedName name="A">#REF!</definedName>
    <definedName name="A_" localSheetId="5">#REF!</definedName>
    <definedName name="A_" localSheetId="6">#REF!</definedName>
    <definedName name="A_" localSheetId="7">#REF!</definedName>
    <definedName name="A_" localSheetId="8">#REF!</definedName>
    <definedName name="A_" localSheetId="2">#REF!</definedName>
    <definedName name="A_" localSheetId="0">#REF!</definedName>
    <definedName name="A_">#REF!</definedName>
    <definedName name="AB" localSheetId="5">#REF!</definedName>
    <definedName name="AB" localSheetId="6">#REF!</definedName>
    <definedName name="AB" localSheetId="7">#REF!</definedName>
    <definedName name="AB" localSheetId="8">#REF!</definedName>
    <definedName name="AB" localSheetId="2">#REF!</definedName>
    <definedName name="AB" localSheetId="0">#REF!</definedName>
    <definedName name="AB">#REF!</definedName>
    <definedName name="AT">#REF!</definedName>
    <definedName name="B">#REF!</definedName>
    <definedName name="B_">#REF!</definedName>
    <definedName name="C_">#REF!</definedName>
    <definedName name="D">#REF!</definedName>
    <definedName name="DT">#REF!</definedName>
    <definedName name="E">#REF!</definedName>
    <definedName name="F">#REF!</definedName>
    <definedName name="G">#REF!</definedName>
    <definedName name="KOM">#REF!</definedName>
    <definedName name="OCJENE">#REF!</definedName>
    <definedName name="ROT">#REF!</definedName>
    <definedName name="TR">#REF!</definedName>
    <definedName name="TRANS">#REF!</definedName>
    <definedName name="v">#REF!</definedName>
    <definedName name="W">#REF!</definedName>
    <definedName name="X">#REF!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hW0fhN0IiGzuLOh4+hoN+tdgbitg=="/>
    </ext>
  </extLst>
</workbook>
</file>

<file path=xl/calcChain.xml><?xml version="1.0" encoding="utf-8"?>
<calcChain xmlns="http://schemas.openxmlformats.org/spreadsheetml/2006/main">
  <c r="M10" i="3" l="1"/>
  <c r="M11" i="3"/>
  <c r="M12" i="3"/>
  <c r="M13" i="3"/>
  <c r="M14" i="3"/>
  <c r="M15" i="3"/>
  <c r="M16" i="3"/>
  <c r="M17" i="3"/>
  <c r="M18" i="3"/>
  <c r="M19" i="3"/>
  <c r="M20" i="3"/>
  <c r="M21" i="3"/>
  <c r="M22" i="3"/>
  <c r="M23" i="3"/>
  <c r="M24" i="3"/>
  <c r="M9" i="3"/>
  <c r="D81" i="3"/>
  <c r="X60" i="3"/>
  <c r="X58" i="3"/>
  <c r="X59" i="3"/>
  <c r="X56" i="3"/>
  <c r="X57" i="3"/>
  <c r="X55" i="3"/>
  <c r="N57" i="3"/>
  <c r="N56" i="3"/>
  <c r="N55" i="3"/>
  <c r="M57" i="3"/>
  <c r="C44" i="10" l="1"/>
  <c r="W36" i="3"/>
  <c r="N10" i="3"/>
  <c r="N11" i="3"/>
  <c r="N12" i="3"/>
  <c r="N13" i="3"/>
  <c r="N14" i="3"/>
  <c r="N15" i="3"/>
  <c r="N16" i="3"/>
  <c r="N17" i="3"/>
  <c r="N18" i="3"/>
  <c r="N19" i="3"/>
  <c r="N20" i="3"/>
  <c r="N21" i="3"/>
  <c r="N22" i="3"/>
  <c r="N23" i="3"/>
  <c r="N24" i="3"/>
  <c r="N9" i="3"/>
  <c r="C14" i="18"/>
  <c r="C50" i="5"/>
  <c r="C44" i="5"/>
  <c r="C39" i="5"/>
  <c r="C34" i="5"/>
  <c r="C23" i="18" l="1"/>
  <c r="C24" i="18" s="1"/>
  <c r="C11" i="18"/>
  <c r="C12" i="18" s="1"/>
  <c r="C13" i="18" s="1"/>
  <c r="C10" i="18"/>
  <c r="J18" i="18"/>
  <c r="J17" i="18"/>
  <c r="J16" i="18"/>
  <c r="J15" i="18"/>
  <c r="J14" i="18"/>
  <c r="J13" i="18"/>
  <c r="J12" i="18"/>
  <c r="J11" i="18"/>
  <c r="J10" i="18"/>
  <c r="J9" i="18"/>
  <c r="C15" i="18" l="1"/>
  <c r="C17" i="18" s="1"/>
  <c r="C18" i="18" s="1"/>
  <c r="C20" i="18" s="1"/>
  <c r="C21" i="18" l="1"/>
  <c r="C22" i="18" s="1"/>
  <c r="C25" i="18" s="1"/>
  <c r="C16" i="18"/>
  <c r="C59" i="3" l="1"/>
  <c r="B386" i="12"/>
  <c r="D386" i="12"/>
  <c r="M56" i="3"/>
  <c r="M55" i="3"/>
  <c r="B39" i="15" l="1"/>
  <c r="B35" i="15"/>
  <c r="B29" i="15"/>
  <c r="B8" i="15"/>
  <c r="B41" i="14"/>
  <c r="L64" i="12"/>
  <c r="L63" i="12"/>
  <c r="K64" i="12"/>
  <c r="F12" i="10"/>
  <c r="C41" i="10" s="1"/>
  <c r="H21" i="9"/>
  <c r="D21" i="9"/>
  <c r="G14" i="8"/>
  <c r="B13" i="8"/>
  <c r="C18" i="7"/>
  <c r="C16" i="7"/>
  <c r="B37" i="16"/>
  <c r="B25" i="15"/>
  <c r="B15" i="15"/>
  <c r="B14" i="15"/>
  <c r="B13" i="15"/>
  <c r="B12" i="15"/>
  <c r="B11" i="15"/>
  <c r="B10" i="15"/>
  <c r="B9" i="15"/>
  <c r="B13" i="14"/>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2" i="14" s="1"/>
  <c r="B43" i="14" s="1"/>
  <c r="B44" i="14" s="1"/>
  <c r="B45" i="14" s="1"/>
  <c r="B46" i="14" s="1"/>
  <c r="B47" i="14" s="1"/>
  <c r="B48" i="14" s="1"/>
  <c r="B49" i="14" s="1"/>
  <c r="B50" i="14" s="1"/>
  <c r="B51" i="14" s="1"/>
  <c r="B52" i="14" s="1"/>
  <c r="L320" i="13"/>
  <c r="L272" i="13"/>
  <c r="L209" i="13"/>
  <c r="L207" i="13"/>
  <c r="L203" i="13"/>
  <c r="L197" i="13"/>
  <c r="L185" i="13"/>
  <c r="L179" i="13"/>
  <c r="L172" i="13"/>
  <c r="L167" i="13"/>
  <c r="L164" i="13"/>
  <c r="L159" i="13"/>
  <c r="L156" i="13"/>
  <c r="L155" i="13"/>
  <c r="L149" i="13"/>
  <c r="L147" i="13"/>
  <c r="L141" i="13"/>
  <c r="L140" i="13"/>
  <c r="L137" i="13"/>
  <c r="L132" i="13"/>
  <c r="L129" i="13"/>
  <c r="L128" i="13"/>
  <c r="L122" i="13"/>
  <c r="L120" i="13"/>
  <c r="L114" i="13"/>
  <c r="L113" i="13"/>
  <c r="L110" i="13"/>
  <c r="L107" i="13"/>
  <c r="L106" i="13"/>
  <c r="L104" i="13"/>
  <c r="L103" i="13"/>
  <c r="B102" i="13"/>
  <c r="G102" i="13" s="1"/>
  <c r="L98" i="13"/>
  <c r="L97" i="13"/>
  <c r="L96" i="13"/>
  <c r="L94" i="13"/>
  <c r="L93" i="13"/>
  <c r="L91" i="13"/>
  <c r="L90" i="13"/>
  <c r="B90" i="13"/>
  <c r="L88" i="13"/>
  <c r="L87" i="13"/>
  <c r="L85" i="13"/>
  <c r="L84" i="13"/>
  <c r="L82" i="13"/>
  <c r="L81" i="13"/>
  <c r="L79" i="13"/>
  <c r="L78" i="13"/>
  <c r="L76" i="13"/>
  <c r="L75" i="13"/>
  <c r="B75" i="13"/>
  <c r="L73" i="13"/>
  <c r="L72" i="13"/>
  <c r="B72" i="13"/>
  <c r="L70" i="13"/>
  <c r="L69" i="13"/>
  <c r="L67" i="13"/>
  <c r="B67" i="13"/>
  <c r="L66" i="13"/>
  <c r="L64" i="13"/>
  <c r="L63" i="13"/>
  <c r="B63" i="13"/>
  <c r="L61" i="13"/>
  <c r="B61" i="13"/>
  <c r="L60" i="13"/>
  <c r="L58" i="13"/>
  <c r="L57" i="13"/>
  <c r="B57" i="13"/>
  <c r="L55" i="13"/>
  <c r="L54" i="13"/>
  <c r="L52" i="13"/>
  <c r="L51" i="13"/>
  <c r="B51" i="13"/>
  <c r="L49" i="13"/>
  <c r="L48" i="13"/>
  <c r="L46" i="13"/>
  <c r="L45" i="13"/>
  <c r="L43" i="13"/>
  <c r="L42" i="13"/>
  <c r="L40" i="13"/>
  <c r="B40" i="13"/>
  <c r="L39" i="13"/>
  <c r="L37" i="13"/>
  <c r="M36" i="13"/>
  <c r="E36" i="13"/>
  <c r="B27" i="13"/>
  <c r="B24" i="13"/>
  <c r="B21" i="13"/>
  <c r="B18" i="13"/>
  <c r="B16" i="13"/>
  <c r="B13" i="13"/>
  <c r="B380" i="12"/>
  <c r="B354" i="12"/>
  <c r="B326" i="12"/>
  <c r="B284" i="12"/>
  <c r="B196" i="12"/>
  <c r="B193" i="12"/>
  <c r="B190" i="12"/>
  <c r="B187" i="12"/>
  <c r="B184" i="12"/>
  <c r="B181" i="12"/>
  <c r="B178" i="12"/>
  <c r="B175" i="12"/>
  <c r="B172" i="12"/>
  <c r="B169" i="12"/>
  <c r="B166" i="12"/>
  <c r="B163" i="12"/>
  <c r="B160" i="12"/>
  <c r="B157" i="12"/>
  <c r="B154" i="12"/>
  <c r="B151" i="12"/>
  <c r="B148" i="12"/>
  <c r="B145" i="12"/>
  <c r="B142" i="12"/>
  <c r="B139" i="12"/>
  <c r="B136" i="12"/>
  <c r="B133" i="12"/>
  <c r="B130" i="12"/>
  <c r="B127" i="12"/>
  <c r="B124" i="12"/>
  <c r="B121" i="12"/>
  <c r="Q118" i="12"/>
  <c r="Q116" i="12"/>
  <c r="B114" i="12"/>
  <c r="Q112" i="12"/>
  <c r="Q113" i="12" s="1"/>
  <c r="Q111" i="12"/>
  <c r="Q65" i="12"/>
  <c r="Q64" i="12"/>
  <c r="Q68" i="12" s="1"/>
  <c r="Q69" i="12" s="1"/>
  <c r="Q63" i="12"/>
  <c r="Q70" i="12" s="1"/>
  <c r="C27" i="12"/>
  <c r="N26" i="12"/>
  <c r="L27" i="12" s="1"/>
  <c r="E26" i="12"/>
  <c r="B21" i="12"/>
  <c r="B372" i="12" s="1"/>
  <c r="B19" i="12"/>
  <c r="B18" i="12"/>
  <c r="B17" i="12"/>
  <c r="B14" i="12"/>
  <c r="C16" i="11"/>
  <c r="C15" i="11"/>
  <c r="H10" i="11"/>
  <c r="J9" i="11"/>
  <c r="F16" i="10"/>
  <c r="D17" i="10" s="1"/>
  <c r="F10" i="10"/>
  <c r="W33" i="3" s="1"/>
  <c r="X33" i="3" s="1"/>
  <c r="Z33" i="3" s="1"/>
  <c r="C10" i="10"/>
  <c r="F9" i="10"/>
  <c r="F8" i="10"/>
  <c r="H19" i="9"/>
  <c r="D19" i="9"/>
  <c r="D17" i="9"/>
  <c r="M31" i="3" s="1"/>
  <c r="N31" i="3" s="1"/>
  <c r="H15" i="9"/>
  <c r="H17" i="9" s="1"/>
  <c r="H18" i="9" s="1"/>
  <c r="D15" i="9"/>
  <c r="B16" i="8"/>
  <c r="B14" i="8"/>
  <c r="H13" i="8"/>
  <c r="H12" i="8"/>
  <c r="G13" i="8" s="1"/>
  <c r="C12" i="8"/>
  <c r="B19" i="8" s="1"/>
  <c r="B9" i="8"/>
  <c r="C14" i="7"/>
  <c r="P11" i="3"/>
  <c r="P9" i="3"/>
  <c r="C18" i="3"/>
  <c r="D18" i="3" s="1"/>
  <c r="F18" i="3" s="1"/>
  <c r="Q3" i="3" s="1"/>
  <c r="C17" i="3"/>
  <c r="D17" i="3" s="1"/>
  <c r="F17" i="3" s="1"/>
  <c r="P3" i="3" s="1"/>
  <c r="C16" i="3"/>
  <c r="D16" i="3" s="1"/>
  <c r="C28" i="5"/>
  <c r="C14" i="3" s="1"/>
  <c r="C23" i="5"/>
  <c r="C13" i="3" s="1"/>
  <c r="C18" i="5"/>
  <c r="C12" i="3" s="1"/>
  <c r="D12" i="3" s="1"/>
  <c r="C13" i="5"/>
  <c r="C8" i="5"/>
  <c r="C3" i="5"/>
  <c r="P86" i="3"/>
  <c r="P85" i="3"/>
  <c r="X83" i="3"/>
  <c r="Z83" i="3" s="1"/>
  <c r="W83" i="3"/>
  <c r="Z82" i="3"/>
  <c r="M82" i="3"/>
  <c r="N82" i="3" s="1"/>
  <c r="P82" i="3" s="1"/>
  <c r="Z81" i="3"/>
  <c r="M81" i="3"/>
  <c r="N81" i="3" s="1"/>
  <c r="P81" i="3" s="1"/>
  <c r="C81" i="3"/>
  <c r="F81" i="3" s="1"/>
  <c r="X80" i="3"/>
  <c r="Z80" i="3" s="1"/>
  <c r="W80" i="3"/>
  <c r="M80" i="3"/>
  <c r="N80" i="3" s="1"/>
  <c r="P80" i="3" s="1"/>
  <c r="C80" i="3"/>
  <c r="D80" i="3" s="1"/>
  <c r="F80" i="3" s="1"/>
  <c r="Z79" i="3"/>
  <c r="W79" i="3"/>
  <c r="X79" i="3" s="1"/>
  <c r="N79" i="3"/>
  <c r="P79" i="3" s="1"/>
  <c r="M79" i="3"/>
  <c r="F79" i="3"/>
  <c r="W78" i="3"/>
  <c r="X78" i="3" s="1"/>
  <c r="Z78" i="3" s="1"/>
  <c r="P78" i="3"/>
  <c r="C78" i="3"/>
  <c r="D78" i="3" s="1"/>
  <c r="F78" i="3" s="1"/>
  <c r="Z77" i="3"/>
  <c r="M77" i="3"/>
  <c r="N77" i="3" s="1"/>
  <c r="P77" i="3" s="1"/>
  <c r="C77" i="3"/>
  <c r="D77" i="3" s="1"/>
  <c r="F77" i="3" s="1"/>
  <c r="C55" i="3"/>
  <c r="D55" i="3" s="1"/>
  <c r="F55" i="3" s="1"/>
  <c r="M33" i="3"/>
  <c r="N33" i="3" s="1"/>
  <c r="P33" i="3" s="1"/>
  <c r="W32" i="3"/>
  <c r="X32" i="3" s="1"/>
  <c r="Z32" i="3" s="1"/>
  <c r="W31" i="3"/>
  <c r="X31" i="3" s="1"/>
  <c r="Z31" i="3" s="1"/>
  <c r="P31" i="3"/>
  <c r="P23" i="3"/>
  <c r="P22" i="3"/>
  <c r="P18" i="3"/>
  <c r="P13" i="3"/>
  <c r="D13" i="3"/>
  <c r="F13" i="3" s="1"/>
  <c r="L3" i="3" s="1"/>
  <c r="F12" i="3"/>
  <c r="K3" i="3" s="1"/>
  <c r="C11" i="3"/>
  <c r="D11" i="3" s="1"/>
  <c r="F11" i="3" s="1"/>
  <c r="J3" i="3" s="1"/>
  <c r="P10" i="3"/>
  <c r="C10" i="3"/>
  <c r="W9" i="3"/>
  <c r="X9" i="3" s="1"/>
  <c r="Z9" i="3" s="1"/>
  <c r="C9" i="3"/>
  <c r="D9" i="3" s="1"/>
  <c r="F9" i="3" s="1"/>
  <c r="H3" i="3" s="1"/>
  <c r="F4" i="3"/>
  <c r="B17" i="4" s="1" a="1"/>
  <c r="B17" i="4" s="1"/>
  <c r="E4" i="3"/>
  <c r="B13" i="4" s="1" a="1"/>
  <c r="B13" i="4" s="1"/>
  <c r="D4" i="3"/>
  <c r="B10" i="4" s="1" a="1"/>
  <c r="B10" i="4" s="1"/>
  <c r="C4" i="3"/>
  <c r="B6" i="4" s="1" a="1"/>
  <c r="B6" i="4" s="1"/>
  <c r="B2" i="3"/>
  <c r="D2" i="4" s="1"/>
  <c r="A2" i="3"/>
  <c r="B5" i="4" l="1" a="1"/>
  <c r="B5" i="4" s="1"/>
  <c r="B8" i="4" a="1"/>
  <c r="B8" i="4" s="1"/>
  <c r="B9" i="4" a="1"/>
  <c r="B9" i="4" s="1"/>
  <c r="F14" i="3"/>
  <c r="M3" i="3" s="1"/>
  <c r="D14" i="3"/>
  <c r="B12" i="4" a="1"/>
  <c r="B12" i="4" s="1"/>
  <c r="Z84" i="3"/>
  <c r="AB3" i="3" s="1"/>
  <c r="F10" i="3"/>
  <c r="I3" i="3" s="1"/>
  <c r="D10" i="3"/>
  <c r="F16" i="3"/>
  <c r="O3" i="3" s="1"/>
  <c r="C21" i="10"/>
  <c r="C23" i="10"/>
  <c r="C30" i="10"/>
  <c r="C32" i="10"/>
  <c r="C39" i="10"/>
  <c r="H14" i="8"/>
  <c r="C43" i="10"/>
  <c r="C40" i="10"/>
  <c r="C37" i="10"/>
  <c r="C34" i="10"/>
  <c r="C31" i="10"/>
  <c r="C28" i="10"/>
  <c r="C25" i="10"/>
  <c r="C22" i="10"/>
  <c r="C19" i="10"/>
  <c r="C38" i="10"/>
  <c r="C36" i="10"/>
  <c r="C29" i="10"/>
  <c r="C27" i="10"/>
  <c r="C20" i="10"/>
  <c r="C18" i="10"/>
  <c r="C42" i="10"/>
  <c r="C33" i="10"/>
  <c r="C24" i="10"/>
  <c r="C35" i="10"/>
  <c r="C26" i="10"/>
  <c r="C17" i="10"/>
  <c r="W34" i="3"/>
  <c r="X34" i="3" s="1"/>
  <c r="Z34" i="3" s="1"/>
  <c r="C56" i="3"/>
  <c r="D56" i="3" s="1"/>
  <c r="F56" i="3" s="1"/>
  <c r="C19" i="11"/>
  <c r="G57" i="13"/>
  <c r="B15" i="4" a="1"/>
  <c r="B15" i="4" s="1"/>
  <c r="B16" i="4" a="1"/>
  <c r="B16" i="4" s="1"/>
  <c r="Q117" i="12"/>
  <c r="W11" i="3"/>
  <c r="X11" i="3" s="1"/>
  <c r="Z11" i="3" s="1"/>
  <c r="W10" i="3"/>
  <c r="X10" i="3" s="1"/>
  <c r="Z10" i="3" s="1"/>
  <c r="Z12" i="3" s="1"/>
  <c r="S3" i="3" s="1"/>
  <c r="B65" i="12"/>
  <c r="B72" i="12"/>
  <c r="B112" i="12"/>
  <c r="B113" i="12"/>
  <c r="B120" i="12"/>
  <c r="B205" i="12"/>
  <c r="B214" i="12"/>
  <c r="B223" i="12"/>
  <c r="B232" i="12"/>
  <c r="B241" i="12"/>
  <c r="B250" i="12"/>
  <c r="B259" i="12"/>
  <c r="B263" i="12"/>
  <c r="B278" i="12"/>
  <c r="B291" i="12"/>
  <c r="B305" i="12"/>
  <c r="B332" i="12"/>
  <c r="B371" i="12"/>
  <c r="B420" i="13"/>
  <c r="B417" i="13"/>
  <c r="B414" i="13"/>
  <c r="B411" i="13"/>
  <c r="B408" i="13"/>
  <c r="B405" i="13"/>
  <c r="B402" i="13"/>
  <c r="B399" i="13"/>
  <c r="B396" i="13"/>
  <c r="B393" i="13"/>
  <c r="B390" i="13"/>
  <c r="B387" i="13"/>
  <c r="B384" i="13"/>
  <c r="B381" i="13"/>
  <c r="B378" i="13"/>
  <c r="B415" i="13"/>
  <c r="B409" i="13"/>
  <c r="B403" i="13"/>
  <c r="B397" i="13"/>
  <c r="B391" i="13"/>
  <c r="B385" i="13"/>
  <c r="B379" i="13"/>
  <c r="B376" i="13"/>
  <c r="B373" i="13"/>
  <c r="B370" i="13"/>
  <c r="B367" i="13"/>
  <c r="B364" i="13"/>
  <c r="B361" i="13"/>
  <c r="B358" i="13"/>
  <c r="B355" i="13"/>
  <c r="B352" i="13"/>
  <c r="B418" i="13"/>
  <c r="B413" i="13"/>
  <c r="B400" i="13"/>
  <c r="B395" i="13"/>
  <c r="B382" i="13"/>
  <c r="B377" i="13"/>
  <c r="B375" i="13"/>
  <c r="B374" i="13"/>
  <c r="B366" i="13"/>
  <c r="B365" i="13"/>
  <c r="B357" i="13"/>
  <c r="B356" i="13"/>
  <c r="B350" i="13"/>
  <c r="B347" i="13"/>
  <c r="B344" i="13"/>
  <c r="B341" i="13"/>
  <c r="B338" i="13"/>
  <c r="B335" i="13"/>
  <c r="B416" i="13"/>
  <c r="B398" i="13"/>
  <c r="B406" i="13"/>
  <c r="B401" i="13"/>
  <c r="B380" i="13"/>
  <c r="B372" i="13"/>
  <c r="B359" i="13"/>
  <c r="B349" i="13"/>
  <c r="B336" i="13"/>
  <c r="B332" i="13"/>
  <c r="B329" i="13"/>
  <c r="B326" i="13"/>
  <c r="B323" i="13"/>
  <c r="B320" i="13"/>
  <c r="B317" i="13"/>
  <c r="B314" i="13"/>
  <c r="B311" i="13"/>
  <c r="B308" i="13"/>
  <c r="B305" i="13"/>
  <c r="B302" i="13"/>
  <c r="B299" i="13"/>
  <c r="B296" i="13"/>
  <c r="B293" i="13"/>
  <c r="B290" i="13"/>
  <c r="B287" i="13"/>
  <c r="B284" i="13"/>
  <c r="B281" i="13"/>
  <c r="B392" i="13"/>
  <c r="B362" i="13"/>
  <c r="B360" i="13"/>
  <c r="B346" i="13"/>
  <c r="B371" i="13"/>
  <c r="B353" i="13"/>
  <c r="B334" i="13"/>
  <c r="B412" i="13"/>
  <c r="B388" i="13"/>
  <c r="B337" i="13"/>
  <c r="B331" i="13"/>
  <c r="B330" i="13"/>
  <c r="B322" i="13"/>
  <c r="B321" i="13"/>
  <c r="B313" i="13"/>
  <c r="B312" i="13"/>
  <c r="B304" i="13"/>
  <c r="B303" i="13"/>
  <c r="B295" i="13"/>
  <c r="B294" i="13"/>
  <c r="B286" i="13"/>
  <c r="B285" i="13"/>
  <c r="B279" i="13"/>
  <c r="B274" i="13"/>
  <c r="B404" i="13"/>
  <c r="B369" i="13"/>
  <c r="B351" i="13"/>
  <c r="B340" i="13"/>
  <c r="B339" i="13"/>
  <c r="B276" i="13"/>
  <c r="B271" i="13"/>
  <c r="B268" i="13"/>
  <c r="B265" i="13"/>
  <c r="B262" i="13"/>
  <c r="B259" i="13"/>
  <c r="B256" i="13"/>
  <c r="B253" i="13"/>
  <c r="B250" i="13"/>
  <c r="B407" i="13"/>
  <c r="B354" i="13"/>
  <c r="B342" i="13"/>
  <c r="B328" i="13"/>
  <c r="B264" i="13"/>
  <c r="B263" i="13"/>
  <c r="B255" i="13"/>
  <c r="B254" i="13"/>
  <c r="B245" i="13"/>
  <c r="B240" i="13"/>
  <c r="B238" i="13"/>
  <c r="B235" i="13"/>
  <c r="B232" i="13"/>
  <c r="B229" i="13"/>
  <c r="B226" i="13"/>
  <c r="B223" i="13"/>
  <c r="B220" i="13"/>
  <c r="B217" i="13"/>
  <c r="B214" i="13"/>
  <c r="B211" i="13"/>
  <c r="B208" i="13"/>
  <c r="B383" i="13"/>
  <c r="B316" i="13"/>
  <c r="B309" i="13"/>
  <c r="B301" i="13"/>
  <c r="B297" i="13"/>
  <c r="B289" i="13"/>
  <c r="B282" i="13"/>
  <c r="B273" i="13"/>
  <c r="B389" i="13"/>
  <c r="B363" i="13"/>
  <c r="B348" i="13"/>
  <c r="B333" i="13"/>
  <c r="B324" i="13"/>
  <c r="B419" i="13"/>
  <c r="B394" i="13"/>
  <c r="B343" i="13"/>
  <c r="B327" i="13"/>
  <c r="B318" i="13"/>
  <c r="B310" i="13"/>
  <c r="B306" i="13"/>
  <c r="B298" i="13"/>
  <c r="B291" i="13"/>
  <c r="B283" i="13"/>
  <c r="B275" i="13"/>
  <c r="B368" i="13"/>
  <c r="B325" i="13"/>
  <c r="B300" i="13"/>
  <c r="B292" i="13"/>
  <c r="B252" i="13"/>
  <c r="B237" i="13"/>
  <c r="B224" i="13"/>
  <c r="B219" i="13"/>
  <c r="B206" i="13"/>
  <c r="B272" i="13"/>
  <c r="B270" i="13"/>
  <c r="B261" i="13"/>
  <c r="B246" i="13"/>
  <c r="B239" i="13"/>
  <c r="B234" i="13"/>
  <c r="B221" i="13"/>
  <c r="B216" i="13"/>
  <c r="B319" i="13"/>
  <c r="B278" i="13"/>
  <c r="B266" i="13"/>
  <c r="B244" i="13"/>
  <c r="B236" i="13"/>
  <c r="B231" i="13"/>
  <c r="B218" i="13"/>
  <c r="B213" i="13"/>
  <c r="B410" i="13"/>
  <c r="B386" i="13"/>
  <c r="B345" i="13"/>
  <c r="B315" i="13"/>
  <c r="B307" i="13"/>
  <c r="B288" i="13"/>
  <c r="B280" i="13"/>
  <c r="B257" i="13"/>
  <c r="B233" i="13"/>
  <c r="B228" i="13"/>
  <c r="B215" i="13"/>
  <c r="B210" i="13"/>
  <c r="B205" i="13"/>
  <c r="B202" i="13"/>
  <c r="B199" i="13"/>
  <c r="B196" i="13"/>
  <c r="B193" i="13"/>
  <c r="B190" i="13"/>
  <c r="B187" i="13"/>
  <c r="B184" i="13"/>
  <c r="B181" i="13"/>
  <c r="B178" i="13"/>
  <c r="B175" i="13"/>
  <c r="B172" i="13"/>
  <c r="B169" i="13"/>
  <c r="B166" i="13"/>
  <c r="B258" i="13"/>
  <c r="B251" i="13"/>
  <c r="B248" i="13"/>
  <c r="B227" i="13"/>
  <c r="B201" i="13"/>
  <c r="B195" i="13"/>
  <c r="B189" i="13"/>
  <c r="B182" i="13"/>
  <c r="B173" i="13"/>
  <c r="B168" i="13"/>
  <c r="B162" i="13"/>
  <c r="B159" i="13"/>
  <c r="B156" i="13"/>
  <c r="B153" i="13"/>
  <c r="B150" i="13"/>
  <c r="B147" i="13"/>
  <c r="B144" i="13"/>
  <c r="B141" i="13"/>
  <c r="B138" i="13"/>
  <c r="B135" i="13"/>
  <c r="B132" i="13"/>
  <c r="B129" i="13"/>
  <c r="B126" i="13"/>
  <c r="B123" i="13"/>
  <c r="B120" i="13"/>
  <c r="B117" i="13"/>
  <c r="B114" i="13"/>
  <c r="B111" i="13"/>
  <c r="B242" i="13"/>
  <c r="B207" i="13"/>
  <c r="B180" i="13"/>
  <c r="B171" i="13"/>
  <c r="B165" i="13"/>
  <c r="B260" i="13"/>
  <c r="B230" i="13"/>
  <c r="B204" i="13"/>
  <c r="B198" i="13"/>
  <c r="B192" i="13"/>
  <c r="B269" i="13"/>
  <c r="B209" i="13"/>
  <c r="B194" i="13"/>
  <c r="B188" i="13"/>
  <c r="B186" i="13"/>
  <c r="B174" i="13"/>
  <c r="B107" i="13"/>
  <c r="B104" i="13"/>
  <c r="B101" i="13"/>
  <c r="B98" i="13"/>
  <c r="B267" i="13"/>
  <c r="B222" i="13"/>
  <c r="B203" i="13"/>
  <c r="B191" i="13"/>
  <c r="B179" i="13"/>
  <c r="B158" i="13"/>
  <c r="B157" i="13"/>
  <c r="B149" i="13"/>
  <c r="B148" i="13"/>
  <c r="B140" i="13"/>
  <c r="B139" i="13"/>
  <c r="B131" i="13"/>
  <c r="B130" i="13"/>
  <c r="B122" i="13"/>
  <c r="B121" i="13"/>
  <c r="B113" i="13"/>
  <c r="B112" i="13"/>
  <c r="B243" i="13"/>
  <c r="B225" i="13"/>
  <c r="B200" i="13"/>
  <c r="B176" i="13"/>
  <c r="B167" i="13"/>
  <c r="B164" i="13"/>
  <c r="B163" i="13"/>
  <c r="B155" i="13"/>
  <c r="B154" i="13"/>
  <c r="B212" i="13"/>
  <c r="B185" i="13"/>
  <c r="B161" i="13"/>
  <c r="B109" i="13"/>
  <c r="B108" i="13"/>
  <c r="B100" i="13"/>
  <c r="B99" i="13"/>
  <c r="B95" i="13"/>
  <c r="B92" i="13"/>
  <c r="B89" i="13"/>
  <c r="B86" i="13"/>
  <c r="B83" i="13"/>
  <c r="B80" i="13"/>
  <c r="B77" i="13"/>
  <c r="B74" i="13"/>
  <c r="B71" i="13"/>
  <c r="B68" i="13"/>
  <c r="B65" i="13"/>
  <c r="B62" i="13"/>
  <c r="B59" i="13"/>
  <c r="B56" i="13"/>
  <c r="B53" i="13"/>
  <c r="F53" i="13" s="1"/>
  <c r="B50" i="13"/>
  <c r="B47" i="13"/>
  <c r="B44" i="13"/>
  <c r="B41" i="13"/>
  <c r="B38" i="13"/>
  <c r="B277" i="13"/>
  <c r="B152" i="13"/>
  <c r="B145" i="13"/>
  <c r="B137" i="13"/>
  <c r="B133" i="13"/>
  <c r="B125" i="13"/>
  <c r="B118" i="13"/>
  <c r="B110" i="13"/>
  <c r="B241" i="13"/>
  <c r="B247" i="13"/>
  <c r="B197" i="13"/>
  <c r="B177" i="13"/>
  <c r="B160" i="13"/>
  <c r="B146" i="13"/>
  <c r="B142" i="13"/>
  <c r="B136" i="13"/>
  <c r="B134" i="13"/>
  <c r="B128" i="13"/>
  <c r="B124" i="13"/>
  <c r="B116" i="13"/>
  <c r="B127" i="13"/>
  <c r="B119" i="13"/>
  <c r="B115" i="13"/>
  <c r="B151" i="13"/>
  <c r="B143" i="13"/>
  <c r="B93" i="13"/>
  <c r="B91" i="13"/>
  <c r="B81" i="13"/>
  <c r="B76" i="13"/>
  <c r="B66" i="13"/>
  <c r="B64" i="13"/>
  <c r="B54" i="13"/>
  <c r="B49" i="13"/>
  <c r="B39" i="13"/>
  <c r="B37" i="13"/>
  <c r="B249" i="13"/>
  <c r="B183" i="13"/>
  <c r="B170" i="13"/>
  <c r="B105" i="13"/>
  <c r="B96" i="13"/>
  <c r="B79" i="13"/>
  <c r="B69" i="13"/>
  <c r="B52" i="13"/>
  <c r="B42" i="13"/>
  <c r="B103" i="13"/>
  <c r="B97" i="13"/>
  <c r="B87" i="13"/>
  <c r="B70" i="13"/>
  <c r="B60" i="13"/>
  <c r="B43" i="13"/>
  <c r="B46" i="13"/>
  <c r="B55" i="13"/>
  <c r="B58" i="13"/>
  <c r="B78" i="13"/>
  <c r="B84" i="13"/>
  <c r="B302" i="12"/>
  <c r="B329" i="12"/>
  <c r="B377" i="12"/>
  <c r="G63" i="13"/>
  <c r="B111" i="12"/>
  <c r="B200" i="12"/>
  <c r="B209" i="12"/>
  <c r="B218" i="12"/>
  <c r="B227" i="12"/>
  <c r="B245" i="12"/>
  <c r="B285" i="12"/>
  <c r="B303" i="12"/>
  <c r="B330" i="12"/>
  <c r="G90" i="13"/>
  <c r="B4" i="4" a="1"/>
  <c r="B4" i="4" s="1"/>
  <c r="D18" i="9"/>
  <c r="B27" i="12"/>
  <c r="K28" i="12"/>
  <c r="B30" i="12"/>
  <c r="K31" i="12"/>
  <c r="B33" i="12"/>
  <c r="K34" i="12"/>
  <c r="B36" i="12"/>
  <c r="K37" i="12"/>
  <c r="B39" i="12"/>
  <c r="K40" i="12"/>
  <c r="B42" i="12"/>
  <c r="K43" i="12"/>
  <c r="B45" i="12"/>
  <c r="K46" i="12"/>
  <c r="B48" i="12"/>
  <c r="K49" i="12"/>
  <c r="B51" i="12"/>
  <c r="K52" i="12"/>
  <c r="B54" i="12"/>
  <c r="K55" i="12"/>
  <c r="B57" i="12"/>
  <c r="K58" i="12"/>
  <c r="B60" i="12"/>
  <c r="K61" i="12"/>
  <c r="B67" i="12"/>
  <c r="B74" i="12"/>
  <c r="B77" i="12"/>
  <c r="B80" i="12"/>
  <c r="B83" i="12"/>
  <c r="B86" i="12"/>
  <c r="B89" i="12"/>
  <c r="B92" i="12"/>
  <c r="B95" i="12"/>
  <c r="B98" i="12"/>
  <c r="B101" i="12"/>
  <c r="B104" i="12"/>
  <c r="B107" i="12"/>
  <c r="B110" i="12"/>
  <c r="B119" i="12"/>
  <c r="B202" i="12"/>
  <c r="B211" i="12"/>
  <c r="B220" i="12"/>
  <c r="B229" i="12"/>
  <c r="B238" i="12"/>
  <c r="B247" i="12"/>
  <c r="B256" i="12"/>
  <c r="B281" i="12"/>
  <c r="B296" i="12"/>
  <c r="B314" i="12"/>
  <c r="B341" i="12"/>
  <c r="B359" i="12"/>
  <c r="B73" i="13"/>
  <c r="B82" i="13"/>
  <c r="B85" i="13"/>
  <c r="B106" i="13"/>
  <c r="B385" i="12"/>
  <c r="B382" i="12"/>
  <c r="B379" i="12"/>
  <c r="B376" i="12"/>
  <c r="B373" i="12"/>
  <c r="B370" i="12"/>
  <c r="B367" i="12"/>
  <c r="B364" i="12"/>
  <c r="B361" i="12"/>
  <c r="B358" i="12"/>
  <c r="B355" i="12"/>
  <c r="B352" i="12"/>
  <c r="B349" i="12"/>
  <c r="B378" i="12"/>
  <c r="B369" i="12"/>
  <c r="B360" i="12"/>
  <c r="B351" i="12"/>
  <c r="B346" i="12"/>
  <c r="B343" i="12"/>
  <c r="B340" i="12"/>
  <c r="B337" i="12"/>
  <c r="B334" i="12"/>
  <c r="B331" i="12"/>
  <c r="B328" i="12"/>
  <c r="B325" i="12"/>
  <c r="B322" i="12"/>
  <c r="B319" i="12"/>
  <c r="B316" i="12"/>
  <c r="B313" i="12"/>
  <c r="B310" i="12"/>
  <c r="B307" i="12"/>
  <c r="B304" i="12"/>
  <c r="B301" i="12"/>
  <c r="B298" i="12"/>
  <c r="B295" i="12"/>
  <c r="B292" i="12"/>
  <c r="B289" i="12"/>
  <c r="B286" i="12"/>
  <c r="B283" i="12"/>
  <c r="B280" i="12"/>
  <c r="B277" i="12"/>
  <c r="B274" i="12"/>
  <c r="B271" i="12"/>
  <c r="B268" i="12"/>
  <c r="B265" i="12"/>
  <c r="B262" i="12"/>
  <c r="B366" i="12"/>
  <c r="B365" i="12"/>
  <c r="B345" i="12"/>
  <c r="B336" i="12"/>
  <c r="B327" i="12"/>
  <c r="B318" i="12"/>
  <c r="B309" i="12"/>
  <c r="B300" i="12"/>
  <c r="B384" i="12"/>
  <c r="B383" i="12"/>
  <c r="B357" i="12"/>
  <c r="B356" i="12"/>
  <c r="B342" i="12"/>
  <c r="B333" i="12"/>
  <c r="B324" i="12"/>
  <c r="B315" i="12"/>
  <c r="B306" i="12"/>
  <c r="B297" i="12"/>
  <c r="B288" i="12"/>
  <c r="B279" i="12"/>
  <c r="B270" i="12"/>
  <c r="B261" i="12"/>
  <c r="B258" i="12"/>
  <c r="B255" i="12"/>
  <c r="B252" i="12"/>
  <c r="B249" i="12"/>
  <c r="B246" i="12"/>
  <c r="B243" i="12"/>
  <c r="B240" i="12"/>
  <c r="B237" i="12"/>
  <c r="B234" i="12"/>
  <c r="B231" i="12"/>
  <c r="B228" i="12"/>
  <c r="B225" i="12"/>
  <c r="B222" i="12"/>
  <c r="B219" i="12"/>
  <c r="B216" i="12"/>
  <c r="B213" i="12"/>
  <c r="B210" i="12"/>
  <c r="B207" i="12"/>
  <c r="B204" i="12"/>
  <c r="B201" i="12"/>
  <c r="B362" i="12"/>
  <c r="B338" i="12"/>
  <c r="B323" i="12"/>
  <c r="B311" i="12"/>
  <c r="B299" i="12"/>
  <c r="B287" i="12"/>
  <c r="B273" i="12"/>
  <c r="B272" i="12"/>
  <c r="B253" i="12"/>
  <c r="B244" i="12"/>
  <c r="B235" i="12"/>
  <c r="B226" i="12"/>
  <c r="B217" i="12"/>
  <c r="B208" i="12"/>
  <c r="B199" i="12"/>
  <c r="B71" i="12"/>
  <c r="B69" i="12"/>
  <c r="B381" i="12"/>
  <c r="B368" i="12"/>
  <c r="B339" i="12"/>
  <c r="B335" i="12"/>
  <c r="B312" i="12"/>
  <c r="B308" i="12"/>
  <c r="B276" i="12"/>
  <c r="B275" i="12"/>
  <c r="B260" i="12"/>
  <c r="B251" i="12"/>
  <c r="B242" i="12"/>
  <c r="B233" i="12"/>
  <c r="B224" i="12"/>
  <c r="B215" i="12"/>
  <c r="B206" i="12"/>
  <c r="B198" i="12"/>
  <c r="B195" i="12"/>
  <c r="B192" i="12"/>
  <c r="B189" i="12"/>
  <c r="B186" i="12"/>
  <c r="B183" i="12"/>
  <c r="B180" i="12"/>
  <c r="B177" i="12"/>
  <c r="B174" i="12"/>
  <c r="B171" i="12"/>
  <c r="B168" i="12"/>
  <c r="B165" i="12"/>
  <c r="B162" i="12"/>
  <c r="B159" i="12"/>
  <c r="B156" i="12"/>
  <c r="B153" i="12"/>
  <c r="B150" i="12"/>
  <c r="B147" i="12"/>
  <c r="B144" i="12"/>
  <c r="B141" i="12"/>
  <c r="B138" i="12"/>
  <c r="B135" i="12"/>
  <c r="B132" i="12"/>
  <c r="B129" i="12"/>
  <c r="B126" i="12"/>
  <c r="B123" i="12"/>
  <c r="B118" i="12"/>
  <c r="B116" i="12"/>
  <c r="B109" i="12"/>
  <c r="B106" i="12"/>
  <c r="B103" i="12"/>
  <c r="B100" i="12"/>
  <c r="B97" i="12"/>
  <c r="B94" i="12"/>
  <c r="B91" i="12"/>
  <c r="B88" i="12"/>
  <c r="B85" i="12"/>
  <c r="B82" i="12"/>
  <c r="B79" i="12"/>
  <c r="B76" i="12"/>
  <c r="B73" i="12"/>
  <c r="B66" i="12"/>
  <c r="B64" i="12"/>
  <c r="B62" i="12"/>
  <c r="K60" i="12"/>
  <c r="B59" i="12"/>
  <c r="K57" i="12"/>
  <c r="B56" i="12"/>
  <c r="K54" i="12"/>
  <c r="B53" i="12"/>
  <c r="K51" i="12"/>
  <c r="B50" i="12"/>
  <c r="K48" i="12"/>
  <c r="B47" i="12"/>
  <c r="K45" i="12"/>
  <c r="B44" i="12"/>
  <c r="K42" i="12"/>
  <c r="B41" i="12"/>
  <c r="K39" i="12"/>
  <c r="B38" i="12"/>
  <c r="K36" i="12"/>
  <c r="B35" i="12"/>
  <c r="K33" i="12"/>
  <c r="B32" i="12"/>
  <c r="K30" i="12"/>
  <c r="B29" i="12"/>
  <c r="K27" i="12"/>
  <c r="B374" i="12"/>
  <c r="B353" i="12"/>
  <c r="B348" i="12"/>
  <c r="B344" i="12"/>
  <c r="B321" i="12"/>
  <c r="B317" i="12"/>
  <c r="B294" i="12"/>
  <c r="B293" i="12"/>
  <c r="B267" i="12"/>
  <c r="B266" i="12"/>
  <c r="B257" i="12"/>
  <c r="B248" i="12"/>
  <c r="B239" i="12"/>
  <c r="B230" i="12"/>
  <c r="B221" i="12"/>
  <c r="B212" i="12"/>
  <c r="B203" i="12"/>
  <c r="B197" i="12"/>
  <c r="B194" i="12"/>
  <c r="B191" i="12"/>
  <c r="B188" i="12"/>
  <c r="B185" i="12"/>
  <c r="B182" i="12"/>
  <c r="B179" i="12"/>
  <c r="B176" i="12"/>
  <c r="B173" i="12"/>
  <c r="B170" i="12"/>
  <c r="B167" i="12"/>
  <c r="B164" i="12"/>
  <c r="B161" i="12"/>
  <c r="B158" i="12"/>
  <c r="B155" i="12"/>
  <c r="B152" i="12"/>
  <c r="B149" i="12"/>
  <c r="B146" i="12"/>
  <c r="B143" i="12"/>
  <c r="B140" i="12"/>
  <c r="B137" i="12"/>
  <c r="B134" i="12"/>
  <c r="B131" i="12"/>
  <c r="B128" i="12"/>
  <c r="B125" i="12"/>
  <c r="B122" i="12"/>
  <c r="B115" i="12"/>
  <c r="B108" i="12"/>
  <c r="B105" i="12"/>
  <c r="B102" i="12"/>
  <c r="B99" i="12"/>
  <c r="B96" i="12"/>
  <c r="B93" i="12"/>
  <c r="B90" i="12"/>
  <c r="B87" i="12"/>
  <c r="B84" i="12"/>
  <c r="B81" i="12"/>
  <c r="B78" i="12"/>
  <c r="B75" i="12"/>
  <c r="B70" i="12"/>
  <c r="B68" i="12"/>
  <c r="K62" i="12"/>
  <c r="B61" i="12"/>
  <c r="K59" i="12"/>
  <c r="B58" i="12"/>
  <c r="K56" i="12"/>
  <c r="B55" i="12"/>
  <c r="K53" i="12"/>
  <c r="B52" i="12"/>
  <c r="K50" i="12"/>
  <c r="B49" i="12"/>
  <c r="K47" i="12"/>
  <c r="B46" i="12"/>
  <c r="K44" i="12"/>
  <c r="B43" i="12"/>
  <c r="K41" i="12"/>
  <c r="B40" i="12"/>
  <c r="K38" i="12"/>
  <c r="B37" i="12"/>
  <c r="K35" i="12"/>
  <c r="B34" i="12"/>
  <c r="K32" i="12"/>
  <c r="B31" i="12"/>
  <c r="K29" i="12"/>
  <c r="B28" i="12"/>
  <c r="B117" i="12"/>
  <c r="B269" i="12"/>
  <c r="B282" i="12"/>
  <c r="G75" i="13"/>
  <c r="F82" i="3"/>
  <c r="B21" i="8"/>
  <c r="B18" i="8"/>
  <c r="B15" i="8"/>
  <c r="B17" i="8"/>
  <c r="B236" i="12"/>
  <c r="B254" i="12"/>
  <c r="B375" i="12"/>
  <c r="C13" i="8"/>
  <c r="C14" i="8" s="1"/>
  <c r="C15" i="8" s="1"/>
  <c r="C16" i="8" s="1"/>
  <c r="C17" i="8" s="1"/>
  <c r="C18" i="8" s="1"/>
  <c r="C19" i="8" s="1"/>
  <c r="C20" i="8" s="1"/>
  <c r="C21" i="8" s="1"/>
  <c r="C31" i="3" s="1"/>
  <c r="D31" i="3" s="1"/>
  <c r="F31" i="3" s="1"/>
  <c r="B20" i="8"/>
  <c r="B63" i="12"/>
  <c r="B264" i="12"/>
  <c r="B290" i="12"/>
  <c r="B320" i="12"/>
  <c r="B347" i="12"/>
  <c r="B350" i="12"/>
  <c r="B363" i="12"/>
  <c r="B45" i="13"/>
  <c r="B48" i="13"/>
  <c r="B88" i="13"/>
  <c r="B94" i="13"/>
  <c r="B17" i="13"/>
  <c r="C37" i="13"/>
  <c r="M37" i="13"/>
  <c r="K37" i="13"/>
  <c r="C15" i="3"/>
  <c r="D15" i="3" s="1"/>
  <c r="F15" i="3" s="1"/>
  <c r="N3" i="3" s="1"/>
  <c r="L420" i="13"/>
  <c r="L417" i="13"/>
  <c r="L414" i="13"/>
  <c r="L411" i="13"/>
  <c r="L408" i="13"/>
  <c r="L405" i="13"/>
  <c r="L402" i="13"/>
  <c r="L399" i="13"/>
  <c r="L396" i="13"/>
  <c r="L393" i="13"/>
  <c r="L390" i="13"/>
  <c r="L387" i="13"/>
  <c r="L384" i="13"/>
  <c r="L381" i="13"/>
  <c r="L378" i="13"/>
  <c r="L418" i="13"/>
  <c r="L415" i="13"/>
  <c r="L412" i="13"/>
  <c r="L409" i="13"/>
  <c r="L406" i="13"/>
  <c r="L403" i="13"/>
  <c r="L400" i="13"/>
  <c r="L397" i="13"/>
  <c r="L394" i="13"/>
  <c r="L391" i="13"/>
  <c r="L388" i="13"/>
  <c r="L385" i="13"/>
  <c r="L382" i="13"/>
  <c r="L379" i="13"/>
  <c r="L376" i="13"/>
  <c r="L373" i="13"/>
  <c r="L370" i="13"/>
  <c r="L367" i="13"/>
  <c r="L364" i="13"/>
  <c r="L361" i="13"/>
  <c r="L358" i="13"/>
  <c r="L355" i="13"/>
  <c r="L352" i="13"/>
  <c r="L419" i="13"/>
  <c r="L413" i="13"/>
  <c r="L407" i="13"/>
  <c r="L401" i="13"/>
  <c r="L395" i="13"/>
  <c r="L389" i="13"/>
  <c r="L383" i="13"/>
  <c r="L377" i="13"/>
  <c r="L410" i="13"/>
  <c r="L392" i="13"/>
  <c r="L368" i="13"/>
  <c r="L356" i="13"/>
  <c r="L354" i="13"/>
  <c r="L349" i="13"/>
  <c r="L344" i="13"/>
  <c r="L336" i="13"/>
  <c r="L416" i="13"/>
  <c r="L386" i="13"/>
  <c r="L371" i="13"/>
  <c r="L369" i="13"/>
  <c r="L357" i="13"/>
  <c r="L346" i="13"/>
  <c r="L341" i="13"/>
  <c r="L333" i="13"/>
  <c r="L330" i="13"/>
  <c r="L327" i="13"/>
  <c r="L324" i="13"/>
  <c r="L321" i="13"/>
  <c r="L318" i="13"/>
  <c r="L315" i="13"/>
  <c r="L312" i="13"/>
  <c r="L309" i="13"/>
  <c r="L306" i="13"/>
  <c r="L303" i="13"/>
  <c r="L300" i="13"/>
  <c r="L297" i="13"/>
  <c r="L294" i="13"/>
  <c r="L291" i="13"/>
  <c r="L288" i="13"/>
  <c r="L285" i="13"/>
  <c r="L282" i="13"/>
  <c r="L279" i="13"/>
  <c r="L276" i="13"/>
  <c r="L273" i="13"/>
  <c r="L404" i="13"/>
  <c r="L375" i="13"/>
  <c r="L362" i="13"/>
  <c r="L351" i="13"/>
  <c r="L345" i="13"/>
  <c r="L326" i="13"/>
  <c r="L325" i="13"/>
  <c r="L365" i="13"/>
  <c r="L348" i="13"/>
  <c r="L274" i="13"/>
  <c r="L268" i="13"/>
  <c r="L265" i="13"/>
  <c r="L262" i="13"/>
  <c r="L259" i="13"/>
  <c r="L256" i="13"/>
  <c r="L253" i="13"/>
  <c r="L250" i="13"/>
  <c r="L247" i="13"/>
  <c r="L244" i="13"/>
  <c r="L241" i="13"/>
  <c r="L380" i="13"/>
  <c r="L360" i="13"/>
  <c r="L347" i="13"/>
  <c r="L335" i="13"/>
  <c r="L334" i="13"/>
  <c r="L332" i="13"/>
  <c r="L331" i="13"/>
  <c r="L323" i="13"/>
  <c r="L322" i="13"/>
  <c r="L314" i="13"/>
  <c r="L313" i="13"/>
  <c r="L305" i="13"/>
  <c r="L304" i="13"/>
  <c r="L296" i="13"/>
  <c r="L295" i="13"/>
  <c r="L287" i="13"/>
  <c r="L286" i="13"/>
  <c r="L271" i="13"/>
  <c r="L363" i="13"/>
  <c r="L350" i="13"/>
  <c r="L337" i="13"/>
  <c r="L317" i="13"/>
  <c r="L310" i="13"/>
  <c r="L302" i="13"/>
  <c r="L298" i="13"/>
  <c r="L290" i="13"/>
  <c r="L283" i="13"/>
  <c r="L278" i="13"/>
  <c r="L277" i="13"/>
  <c r="L245" i="13"/>
  <c r="L240" i="13"/>
  <c r="L398" i="13"/>
  <c r="L366" i="13"/>
  <c r="L353" i="13"/>
  <c r="L339" i="13"/>
  <c r="L329" i="13"/>
  <c r="L264" i="13"/>
  <c r="L263" i="13"/>
  <c r="L372" i="13"/>
  <c r="L359" i="13"/>
  <c r="L343" i="13"/>
  <c r="L319" i="13"/>
  <c r="L374" i="13"/>
  <c r="L338" i="13"/>
  <c r="L270" i="13"/>
  <c r="L269" i="13"/>
  <c r="L261" i="13"/>
  <c r="L260" i="13"/>
  <c r="L342" i="13"/>
  <c r="L266" i="13"/>
  <c r="L257" i="13"/>
  <c r="L248" i="13"/>
  <c r="L237" i="13"/>
  <c r="L232" i="13"/>
  <c r="L224" i="13"/>
  <c r="L219" i="13"/>
  <c r="L214" i="13"/>
  <c r="L206" i="13"/>
  <c r="L204" i="13"/>
  <c r="L201" i="13"/>
  <c r="L198" i="13"/>
  <c r="L195" i="13"/>
  <c r="L192" i="13"/>
  <c r="L189" i="13"/>
  <c r="L186" i="13"/>
  <c r="L183" i="13"/>
  <c r="L180" i="13"/>
  <c r="L177" i="13"/>
  <c r="L174" i="13"/>
  <c r="L171" i="13"/>
  <c r="L340" i="13"/>
  <c r="L328" i="13"/>
  <c r="L307" i="13"/>
  <c r="L299" i="13"/>
  <c r="L280" i="13"/>
  <c r="L251" i="13"/>
  <c r="L249" i="13"/>
  <c r="L234" i="13"/>
  <c r="L229" i="13"/>
  <c r="L221" i="13"/>
  <c r="L216" i="13"/>
  <c r="L301" i="13"/>
  <c r="L293" i="13"/>
  <c r="L254" i="13"/>
  <c r="L252" i="13"/>
  <c r="L246" i="13"/>
  <c r="L239" i="13"/>
  <c r="L236" i="13"/>
  <c r="L231" i="13"/>
  <c r="L226" i="13"/>
  <c r="L218" i="13"/>
  <c r="L213" i="13"/>
  <c r="L208" i="13"/>
  <c r="L202" i="13"/>
  <c r="L199" i="13"/>
  <c r="L196" i="13"/>
  <c r="L193" i="13"/>
  <c r="L190" i="13"/>
  <c r="L187" i="13"/>
  <c r="L275" i="13"/>
  <c r="L267" i="13"/>
  <c r="L258" i="13"/>
  <c r="L255" i="13"/>
  <c r="L233" i="13"/>
  <c r="L228" i="13"/>
  <c r="L223" i="13"/>
  <c r="L215" i="13"/>
  <c r="L210" i="13"/>
  <c r="L205" i="13"/>
  <c r="L289" i="13"/>
  <c r="L281" i="13"/>
  <c r="L242" i="13"/>
  <c r="L235" i="13"/>
  <c r="L222" i="13"/>
  <c r="L211" i="13"/>
  <c r="L184" i="13"/>
  <c r="L175" i="13"/>
  <c r="L168" i="13"/>
  <c r="L311" i="13"/>
  <c r="L230" i="13"/>
  <c r="L212" i="13"/>
  <c r="L200" i="13"/>
  <c r="L194" i="13"/>
  <c r="L188" i="13"/>
  <c r="L182" i="13"/>
  <c r="L173" i="13"/>
  <c r="L165" i="13"/>
  <c r="L163" i="13"/>
  <c r="L160" i="13"/>
  <c r="L157" i="13"/>
  <c r="L154" i="13"/>
  <c r="L151" i="13"/>
  <c r="L148" i="13"/>
  <c r="L145" i="13"/>
  <c r="L142" i="13"/>
  <c r="L139" i="13"/>
  <c r="L136" i="13"/>
  <c r="L133" i="13"/>
  <c r="L130" i="13"/>
  <c r="L127" i="13"/>
  <c r="L124" i="13"/>
  <c r="L121" i="13"/>
  <c r="L118" i="13"/>
  <c r="L115" i="13"/>
  <c r="L112" i="13"/>
  <c r="L109" i="13"/>
  <c r="L292" i="13"/>
  <c r="L284" i="13"/>
  <c r="L238" i="13"/>
  <c r="L225" i="13"/>
  <c r="L176" i="13"/>
  <c r="L166" i="13"/>
  <c r="L162" i="13"/>
  <c r="L161" i="13"/>
  <c r="L153" i="13"/>
  <c r="L152" i="13"/>
  <c r="L144" i="13"/>
  <c r="L143" i="13"/>
  <c r="L135" i="13"/>
  <c r="L134" i="13"/>
  <c r="L126" i="13"/>
  <c r="L125" i="13"/>
  <c r="L117" i="13"/>
  <c r="L116" i="13"/>
  <c r="L217" i="13"/>
  <c r="L181" i="13"/>
  <c r="L169" i="13"/>
  <c r="L108" i="13"/>
  <c r="L105" i="13"/>
  <c r="L102" i="13"/>
  <c r="L99" i="13"/>
  <c r="L220" i="13"/>
  <c r="L178" i="13"/>
  <c r="L100" i="13"/>
  <c r="L101" i="13"/>
  <c r="L158" i="13"/>
  <c r="L170" i="13"/>
  <c r="L243" i="13"/>
  <c r="L308" i="13"/>
  <c r="F96" i="13"/>
  <c r="F95" i="13"/>
  <c r="F94" i="13"/>
  <c r="F92" i="13"/>
  <c r="F91" i="13"/>
  <c r="F90" i="13"/>
  <c r="F88" i="13"/>
  <c r="F87" i="13"/>
  <c r="F85" i="13"/>
  <c r="F84" i="13"/>
  <c r="F83" i="13"/>
  <c r="F82" i="13"/>
  <c r="F81" i="13"/>
  <c r="F80" i="13"/>
  <c r="F79" i="13"/>
  <c r="F78" i="13"/>
  <c r="F77" i="13"/>
  <c r="F76" i="13"/>
  <c r="F75" i="13"/>
  <c r="F74" i="13"/>
  <c r="F73" i="13"/>
  <c r="F72" i="13"/>
  <c r="G72" i="13" s="1"/>
  <c r="F70" i="13"/>
  <c r="F69" i="13"/>
  <c r="F67" i="13"/>
  <c r="G67" i="13" s="1"/>
  <c r="F66" i="13"/>
  <c r="F65" i="13"/>
  <c r="F64" i="13"/>
  <c r="F63" i="13"/>
  <c r="F62" i="13"/>
  <c r="F61" i="13"/>
  <c r="G61" i="13" s="1"/>
  <c r="F59" i="13"/>
  <c r="F58" i="13"/>
  <c r="F57" i="13"/>
  <c r="F56" i="13"/>
  <c r="F55" i="13"/>
  <c r="F52" i="13"/>
  <c r="F51" i="13"/>
  <c r="G51" i="13" s="1"/>
  <c r="F49" i="13"/>
  <c r="F47" i="13"/>
  <c r="F46" i="13"/>
  <c r="F45" i="13"/>
  <c r="F44" i="13"/>
  <c r="F43" i="13"/>
  <c r="F41" i="13"/>
  <c r="F40" i="13"/>
  <c r="G40" i="13" s="1"/>
  <c r="F39" i="13"/>
  <c r="F38" i="13"/>
  <c r="F37" i="13"/>
  <c r="L38" i="13"/>
  <c r="L41" i="13"/>
  <c r="L44" i="13"/>
  <c r="L47" i="13"/>
  <c r="L50" i="13"/>
  <c r="L53" i="13"/>
  <c r="L56" i="13"/>
  <c r="L59" i="13"/>
  <c r="L62" i="13"/>
  <c r="L65" i="13"/>
  <c r="L68" i="13"/>
  <c r="L71" i="13"/>
  <c r="L74" i="13"/>
  <c r="L77" i="13"/>
  <c r="L80" i="13"/>
  <c r="L83" i="13"/>
  <c r="L86" i="13"/>
  <c r="L89" i="13"/>
  <c r="L92" i="13"/>
  <c r="L95" i="13"/>
  <c r="L111" i="13"/>
  <c r="L119" i="13"/>
  <c r="L123" i="13"/>
  <c r="L131" i="13"/>
  <c r="L138" i="13"/>
  <c r="L146" i="13"/>
  <c r="L150" i="13"/>
  <c r="L191" i="13"/>
  <c r="L227" i="13"/>
  <c r="L316" i="13"/>
  <c r="B40" i="15"/>
  <c r="M84" i="3" s="1"/>
  <c r="N84" i="3" s="1"/>
  <c r="P84" i="3" s="1"/>
  <c r="M83" i="3"/>
  <c r="N83" i="3" s="1"/>
  <c r="P83" i="3" s="1"/>
  <c r="P87" i="3" s="1"/>
  <c r="AA3" i="3" s="1"/>
  <c r="F19" i="3" l="1"/>
  <c r="C2" i="3" s="1"/>
  <c r="G43" i="13"/>
  <c r="G170" i="13"/>
  <c r="G93" i="13"/>
  <c r="F93" i="13"/>
  <c r="G146" i="13"/>
  <c r="G110" i="13"/>
  <c r="G68" i="13"/>
  <c r="F68" i="13"/>
  <c r="G155" i="13"/>
  <c r="G157" i="13"/>
  <c r="G198" i="13"/>
  <c r="G180" i="13"/>
  <c r="G156" i="13"/>
  <c r="G189" i="13"/>
  <c r="G181" i="13"/>
  <c r="G233" i="13"/>
  <c r="G236" i="13"/>
  <c r="G221" i="13"/>
  <c r="G292" i="13"/>
  <c r="G343" i="13"/>
  <c r="G363" i="13"/>
  <c r="G301" i="13"/>
  <c r="G214" i="13"/>
  <c r="G255" i="13"/>
  <c r="G407" i="13"/>
  <c r="G265" i="13"/>
  <c r="G351" i="13"/>
  <c r="G286" i="13"/>
  <c r="G313" i="13"/>
  <c r="G388" i="13"/>
  <c r="G360" i="13"/>
  <c r="G290" i="13"/>
  <c r="G308" i="13"/>
  <c r="G326" i="13"/>
  <c r="G372" i="13"/>
  <c r="G335" i="13"/>
  <c r="G356" i="13"/>
  <c r="G377" i="13"/>
  <c r="G352" i="13"/>
  <c r="G397" i="13"/>
  <c r="G384" i="13"/>
  <c r="G402" i="13"/>
  <c r="I18" i="11"/>
  <c r="I14" i="11"/>
  <c r="I11" i="11"/>
  <c r="I151" i="11"/>
  <c r="I148" i="11"/>
  <c r="I145" i="11"/>
  <c r="I142" i="11"/>
  <c r="I139" i="11"/>
  <c r="I136" i="11"/>
  <c r="I133" i="11"/>
  <c r="I130" i="11"/>
  <c r="I127" i="11"/>
  <c r="I124" i="11"/>
  <c r="I121" i="11"/>
  <c r="I118" i="11"/>
  <c r="I115" i="11"/>
  <c r="I112" i="11"/>
  <c r="I109" i="11"/>
  <c r="I106" i="11"/>
  <c r="I103" i="11"/>
  <c r="I100" i="11"/>
  <c r="I97" i="11"/>
  <c r="I94" i="11"/>
  <c r="I91" i="11"/>
  <c r="I88" i="11"/>
  <c r="I85" i="11"/>
  <c r="I82" i="11"/>
  <c r="I79" i="11"/>
  <c r="I76" i="11"/>
  <c r="I73" i="11"/>
  <c r="I70" i="11"/>
  <c r="I67" i="11"/>
  <c r="I64" i="11"/>
  <c r="I61" i="11"/>
  <c r="I58" i="11"/>
  <c r="I55" i="11"/>
  <c r="I52" i="11"/>
  <c r="I49" i="11"/>
  <c r="I46" i="11"/>
  <c r="I43" i="11"/>
  <c r="I40" i="11"/>
  <c r="I37" i="11"/>
  <c r="I34" i="11"/>
  <c r="I31" i="11"/>
  <c r="I28" i="11"/>
  <c r="I25" i="11"/>
  <c r="I22" i="11"/>
  <c r="I19" i="11"/>
  <c r="I15" i="11"/>
  <c r="I152" i="11"/>
  <c r="I149" i="11"/>
  <c r="I146" i="11"/>
  <c r="I143" i="11"/>
  <c r="I140" i="11"/>
  <c r="I137" i="11"/>
  <c r="I134" i="11"/>
  <c r="I131" i="11"/>
  <c r="I128" i="11"/>
  <c r="I125" i="11"/>
  <c r="I122" i="11"/>
  <c r="I119" i="11"/>
  <c r="I116" i="11"/>
  <c r="I113" i="11"/>
  <c r="I110" i="11"/>
  <c r="I107" i="11"/>
  <c r="I104" i="11"/>
  <c r="I101" i="11"/>
  <c r="I98" i="11"/>
  <c r="I95" i="11"/>
  <c r="I92" i="11"/>
  <c r="I89" i="11"/>
  <c r="I86" i="11"/>
  <c r="I83" i="11"/>
  <c r="I80" i="11"/>
  <c r="I77" i="11"/>
  <c r="I74" i="11"/>
  <c r="I71" i="11"/>
  <c r="I68" i="11"/>
  <c r="I65" i="11"/>
  <c r="I62" i="11"/>
  <c r="I59" i="11"/>
  <c r="I57" i="11"/>
  <c r="I50" i="11"/>
  <c r="I48" i="11"/>
  <c r="I41" i="11"/>
  <c r="I39" i="11"/>
  <c r="I32" i="11"/>
  <c r="I30" i="11"/>
  <c r="I23" i="11"/>
  <c r="I21" i="11"/>
  <c r="I56" i="11"/>
  <c r="I47" i="11"/>
  <c r="I38" i="11"/>
  <c r="I29" i="11"/>
  <c r="I20" i="11"/>
  <c r="I53" i="11"/>
  <c r="I16" i="11"/>
  <c r="I12" i="11"/>
  <c r="I10" i="11"/>
  <c r="I54" i="11"/>
  <c r="I45" i="11"/>
  <c r="I36" i="11"/>
  <c r="I27" i="11"/>
  <c r="I51" i="11"/>
  <c r="I144" i="11"/>
  <c r="I126" i="11"/>
  <c r="I108" i="11"/>
  <c r="I90" i="11"/>
  <c r="I72" i="11"/>
  <c r="I44" i="11"/>
  <c r="I24" i="11"/>
  <c r="I13" i="11"/>
  <c r="I141" i="11"/>
  <c r="I123" i="11"/>
  <c r="I105" i="11"/>
  <c r="I87" i="11"/>
  <c r="I69" i="11"/>
  <c r="I17" i="11"/>
  <c r="C57" i="3"/>
  <c r="D57" i="3" s="1"/>
  <c r="F57" i="3" s="1"/>
  <c r="I135" i="11"/>
  <c r="I117" i="11"/>
  <c r="I81" i="11"/>
  <c r="I147" i="11"/>
  <c r="I111" i="11"/>
  <c r="I75" i="11"/>
  <c r="I138" i="11"/>
  <c r="I120" i="11"/>
  <c r="I102" i="11"/>
  <c r="I84" i="11"/>
  <c r="I66" i="11"/>
  <c r="I42" i="11"/>
  <c r="I35" i="11"/>
  <c r="I153" i="11"/>
  <c r="I99" i="11"/>
  <c r="I63" i="11"/>
  <c r="I150" i="11"/>
  <c r="I132" i="11"/>
  <c r="I114" i="11"/>
  <c r="I96" i="11"/>
  <c r="I78" i="11"/>
  <c r="I60" i="11"/>
  <c r="I33" i="11"/>
  <c r="I26" i="11"/>
  <c r="I129" i="11"/>
  <c r="I93" i="11"/>
  <c r="G15" i="8"/>
  <c r="H15" i="8" s="1"/>
  <c r="G42" i="13"/>
  <c r="F42" i="13"/>
  <c r="G116" i="13"/>
  <c r="G50" i="13"/>
  <c r="F50" i="13"/>
  <c r="F86" i="13"/>
  <c r="G86" i="13" s="1"/>
  <c r="G225" i="13"/>
  <c r="G267" i="13"/>
  <c r="G138" i="13"/>
  <c r="G199" i="13"/>
  <c r="G272" i="13"/>
  <c r="G370" i="13"/>
  <c r="M38" i="13"/>
  <c r="K38" i="13"/>
  <c r="G58" i="13"/>
  <c r="F54" i="13"/>
  <c r="G54" i="13" s="1"/>
  <c r="G152" i="13"/>
  <c r="G108" i="13"/>
  <c r="G130" i="13"/>
  <c r="G186" i="13"/>
  <c r="G120" i="13"/>
  <c r="G258" i="13"/>
  <c r="G345" i="13"/>
  <c r="G291" i="13"/>
  <c r="G232" i="13"/>
  <c r="G420" i="13"/>
  <c r="G88" i="13"/>
  <c r="G82" i="13"/>
  <c r="G84" i="13"/>
  <c r="G70" i="13"/>
  <c r="G69" i="13"/>
  <c r="G249" i="13"/>
  <c r="G66" i="13"/>
  <c r="G151" i="13"/>
  <c r="G128" i="13"/>
  <c r="G177" i="13"/>
  <c r="G125" i="13"/>
  <c r="G38" i="13"/>
  <c r="G56" i="13"/>
  <c r="G74" i="13"/>
  <c r="G92" i="13"/>
  <c r="G161" i="13"/>
  <c r="G164" i="13"/>
  <c r="G112" i="13"/>
  <c r="G139" i="13"/>
  <c r="G179" i="13"/>
  <c r="G101" i="13"/>
  <c r="G194" i="13"/>
  <c r="G230" i="13"/>
  <c r="G242" i="13"/>
  <c r="G126" i="13"/>
  <c r="G144" i="13"/>
  <c r="G162" i="13"/>
  <c r="G201" i="13"/>
  <c r="G169" i="13"/>
  <c r="G187" i="13"/>
  <c r="G205" i="13"/>
  <c r="G280" i="13"/>
  <c r="G410" i="13"/>
  <c r="G266" i="13"/>
  <c r="G239" i="13"/>
  <c r="G219" i="13"/>
  <c r="G325" i="13"/>
  <c r="G306" i="13"/>
  <c r="G419" i="13"/>
  <c r="G273" i="13"/>
  <c r="G316" i="13"/>
  <c r="G220" i="13"/>
  <c r="G238" i="13"/>
  <c r="G264" i="13"/>
  <c r="G253" i="13"/>
  <c r="G271" i="13"/>
  <c r="G404" i="13"/>
  <c r="G295" i="13"/>
  <c r="G322" i="13"/>
  <c r="G334" i="13"/>
  <c r="G392" i="13"/>
  <c r="G296" i="13"/>
  <c r="G314" i="13"/>
  <c r="G332" i="13"/>
  <c r="G401" i="13"/>
  <c r="G341" i="13"/>
  <c r="G365" i="13"/>
  <c r="G395" i="13"/>
  <c r="G358" i="13"/>
  <c r="G376" i="13"/>
  <c r="G409" i="13"/>
  <c r="G390" i="13"/>
  <c r="G408" i="13"/>
  <c r="G85" i="13"/>
  <c r="G183" i="13"/>
  <c r="G143" i="13"/>
  <c r="G160" i="13"/>
  <c r="G277" i="13"/>
  <c r="G109" i="13"/>
  <c r="G243" i="13"/>
  <c r="G131" i="13"/>
  <c r="G98" i="13"/>
  <c r="G204" i="13"/>
  <c r="G123" i="13"/>
  <c r="G141" i="13"/>
  <c r="G159" i="13"/>
  <c r="G166" i="13"/>
  <c r="G184" i="13"/>
  <c r="G202" i="13"/>
  <c r="G257" i="13"/>
  <c r="G244" i="13"/>
  <c r="G234" i="13"/>
  <c r="G206" i="13"/>
  <c r="G300" i="13"/>
  <c r="G394" i="13"/>
  <c r="G389" i="13"/>
  <c r="G309" i="13"/>
  <c r="G217" i="13"/>
  <c r="G235" i="13"/>
  <c r="G263" i="13"/>
  <c r="G250" i="13"/>
  <c r="G268" i="13"/>
  <c r="G369" i="13"/>
  <c r="G294" i="13"/>
  <c r="G321" i="13"/>
  <c r="G412" i="13"/>
  <c r="G362" i="13"/>
  <c r="G293" i="13"/>
  <c r="G311" i="13"/>
  <c r="G329" i="13"/>
  <c r="G380" i="13"/>
  <c r="G338" i="13"/>
  <c r="G357" i="13"/>
  <c r="G382" i="13"/>
  <c r="G355" i="13"/>
  <c r="G373" i="13"/>
  <c r="G403" i="13"/>
  <c r="G387" i="13"/>
  <c r="G405" i="13"/>
  <c r="G45" i="13"/>
  <c r="P12" i="3"/>
  <c r="B387" i="12"/>
  <c r="D27" i="12"/>
  <c r="G78" i="13"/>
  <c r="G46" i="13"/>
  <c r="G87" i="13"/>
  <c r="G79" i="13"/>
  <c r="B421" i="13"/>
  <c r="D37" i="13"/>
  <c r="G37" i="13"/>
  <c r="G76" i="13"/>
  <c r="G115" i="13"/>
  <c r="G134" i="13"/>
  <c r="G197" i="13"/>
  <c r="G133" i="13"/>
  <c r="G41" i="13"/>
  <c r="G59" i="13"/>
  <c r="G77" i="13"/>
  <c r="G95" i="13"/>
  <c r="G185" i="13"/>
  <c r="G167" i="13"/>
  <c r="G113" i="13"/>
  <c r="G140" i="13"/>
  <c r="G191" i="13"/>
  <c r="G104" i="13"/>
  <c r="G209" i="13"/>
  <c r="G260" i="13"/>
  <c r="G111" i="13"/>
  <c r="G129" i="13"/>
  <c r="G147" i="13"/>
  <c r="G168" i="13"/>
  <c r="G227" i="13"/>
  <c r="G172" i="13"/>
  <c r="G190" i="13"/>
  <c r="G210" i="13"/>
  <c r="G288" i="13"/>
  <c r="G213" i="13"/>
  <c r="G278" i="13"/>
  <c r="G246" i="13"/>
  <c r="G224" i="13"/>
  <c r="G368" i="13"/>
  <c r="G310" i="13"/>
  <c r="G324" i="13"/>
  <c r="G282" i="13"/>
  <c r="G383" i="13"/>
  <c r="G223" i="13"/>
  <c r="G240" i="13"/>
  <c r="G328" i="13"/>
  <c r="G256" i="13"/>
  <c r="G276" i="13"/>
  <c r="G274" i="13"/>
  <c r="G303" i="13"/>
  <c r="G330" i="13"/>
  <c r="G353" i="13"/>
  <c r="G281" i="13"/>
  <c r="G299" i="13"/>
  <c r="G317" i="13"/>
  <c r="G336" i="13"/>
  <c r="G406" i="13"/>
  <c r="G344" i="13"/>
  <c r="G366" i="13"/>
  <c r="G400" i="13"/>
  <c r="G361" i="13"/>
  <c r="G379" i="13"/>
  <c r="G415" i="13"/>
  <c r="G393" i="13"/>
  <c r="G411" i="13"/>
  <c r="E17" i="10"/>
  <c r="F2" i="3"/>
  <c r="Z3" i="3"/>
  <c r="G55" i="13"/>
  <c r="G52" i="13"/>
  <c r="G64" i="13"/>
  <c r="G124" i="13"/>
  <c r="G118" i="13"/>
  <c r="G53" i="13"/>
  <c r="G163" i="13"/>
  <c r="G158" i="13"/>
  <c r="G188" i="13"/>
  <c r="G207" i="13"/>
  <c r="G195" i="13"/>
  <c r="G298" i="13"/>
  <c r="F71" i="13"/>
  <c r="G71" i="13" s="1"/>
  <c r="F89" i="13"/>
  <c r="G89" i="13" s="1"/>
  <c r="F48" i="13"/>
  <c r="G48" i="13" s="1"/>
  <c r="F60" i="13"/>
  <c r="G60" i="13" s="1"/>
  <c r="G106" i="13"/>
  <c r="G73" i="13"/>
  <c r="G97" i="13"/>
  <c r="W58" i="3" s="1"/>
  <c r="Z58" i="3" s="1"/>
  <c r="G96" i="13"/>
  <c r="G39" i="13"/>
  <c r="G81" i="13"/>
  <c r="G119" i="13"/>
  <c r="G136" i="13"/>
  <c r="G247" i="13"/>
  <c r="G137" i="13"/>
  <c r="G44" i="13"/>
  <c r="G62" i="13"/>
  <c r="G80" i="13"/>
  <c r="G99" i="13"/>
  <c r="G212" i="13"/>
  <c r="G176" i="13"/>
  <c r="G121" i="13"/>
  <c r="G148" i="13"/>
  <c r="G203" i="13"/>
  <c r="G107" i="13"/>
  <c r="G269" i="13"/>
  <c r="G165" i="13"/>
  <c r="G114" i="13"/>
  <c r="G132" i="13"/>
  <c r="G150" i="13"/>
  <c r="G173" i="13"/>
  <c r="G248" i="13"/>
  <c r="G175" i="13"/>
  <c r="G193" i="13"/>
  <c r="G215" i="13"/>
  <c r="G307" i="13"/>
  <c r="G218" i="13"/>
  <c r="G319" i="13"/>
  <c r="G261" i="13"/>
  <c r="G237" i="13"/>
  <c r="G275" i="13"/>
  <c r="G318" i="13"/>
  <c r="G333" i="13"/>
  <c r="G289" i="13"/>
  <c r="G208" i="13"/>
  <c r="G226" i="13"/>
  <c r="G245" i="13"/>
  <c r="G342" i="13"/>
  <c r="G259" i="13"/>
  <c r="G339" i="13"/>
  <c r="G279" i="13"/>
  <c r="G304" i="13"/>
  <c r="G331" i="13"/>
  <c r="G371" i="13"/>
  <c r="G284" i="13"/>
  <c r="G302" i="13"/>
  <c r="G320" i="13"/>
  <c r="G349" i="13"/>
  <c r="G398" i="13"/>
  <c r="G347" i="13"/>
  <c r="G374" i="13"/>
  <c r="G413" i="13"/>
  <c r="G364" i="13"/>
  <c r="G385" i="13"/>
  <c r="G378" i="13"/>
  <c r="G396" i="13"/>
  <c r="G414" i="13"/>
  <c r="G386" i="13"/>
  <c r="J37" i="13"/>
  <c r="G94" i="13"/>
  <c r="M27" i="12"/>
  <c r="M32" i="3"/>
  <c r="N32" i="3" s="1"/>
  <c r="P32" i="3" s="1"/>
  <c r="L421" i="13"/>
  <c r="G103" i="13"/>
  <c r="G105" i="13"/>
  <c r="G49" i="13"/>
  <c r="G91" i="13"/>
  <c r="G127" i="13"/>
  <c r="G142" i="13"/>
  <c r="G241" i="13"/>
  <c r="G145" i="13"/>
  <c r="G47" i="13"/>
  <c r="G65" i="13"/>
  <c r="G83" i="13"/>
  <c r="G100" i="13"/>
  <c r="G154" i="13"/>
  <c r="G200" i="13"/>
  <c r="G122" i="13"/>
  <c r="G149" i="13"/>
  <c r="G222" i="13"/>
  <c r="G174" i="13"/>
  <c r="G192" i="13"/>
  <c r="G171" i="13"/>
  <c r="G117" i="13"/>
  <c r="G135" i="13"/>
  <c r="G153" i="13"/>
  <c r="G182" i="13"/>
  <c r="G251" i="13"/>
  <c r="G178" i="13"/>
  <c r="G196" i="13"/>
  <c r="G228" i="13"/>
  <c r="G315" i="13"/>
  <c r="G231" i="13"/>
  <c r="G216" i="13"/>
  <c r="G270" i="13"/>
  <c r="G252" i="13"/>
  <c r="G283" i="13"/>
  <c r="G327" i="13"/>
  <c r="G348" i="13"/>
  <c r="G297" i="13"/>
  <c r="G211" i="13"/>
  <c r="G229" i="13"/>
  <c r="G254" i="13"/>
  <c r="G354" i="13"/>
  <c r="G262" i="13"/>
  <c r="G340" i="13"/>
  <c r="G285" i="13"/>
  <c r="G312" i="13"/>
  <c r="G337" i="13"/>
  <c r="G346" i="13"/>
  <c r="G287" i="13"/>
  <c r="G305" i="13"/>
  <c r="G323" i="13"/>
  <c r="G359" i="13"/>
  <c r="G416" i="13"/>
  <c r="G350" i="13"/>
  <c r="G375" i="13"/>
  <c r="G418" i="13"/>
  <c r="G367" i="13"/>
  <c r="G391" i="13"/>
  <c r="G381" i="13"/>
  <c r="G399" i="13"/>
  <c r="G417" i="13"/>
  <c r="G16" i="8" l="1"/>
  <c r="H16" i="8" s="1"/>
  <c r="F421" i="13"/>
  <c r="C30" i="13" s="1"/>
  <c r="W55" i="3" s="1"/>
  <c r="Z55" i="3" s="1"/>
  <c r="E37" i="13"/>
  <c r="F17" i="10"/>
  <c r="P14" i="3"/>
  <c r="P15" i="3"/>
  <c r="M39" i="13"/>
  <c r="K39" i="13"/>
  <c r="J39" i="13" s="1"/>
  <c r="M34" i="3"/>
  <c r="N34" i="3" s="1"/>
  <c r="P34" i="3" s="1"/>
  <c r="H10" i="9"/>
  <c r="I154" i="11"/>
  <c r="J10" i="11"/>
  <c r="G10" i="11"/>
  <c r="N37" i="13"/>
  <c r="O37" i="13" s="1"/>
  <c r="J38" i="13"/>
  <c r="E27" i="12"/>
  <c r="N27" i="12"/>
  <c r="G421" i="13"/>
  <c r="W57" i="3"/>
  <c r="Z57" i="3" s="1"/>
  <c r="W59" i="3" l="1"/>
  <c r="Z59" i="3" s="1"/>
  <c r="P16" i="3"/>
  <c r="L28" i="12"/>
  <c r="C28" i="12"/>
  <c r="M35" i="3"/>
  <c r="N35" i="3" s="1"/>
  <c r="P35" i="3" s="1"/>
  <c r="M36" i="3"/>
  <c r="N36" i="3" s="1"/>
  <c r="P36" i="3" s="1"/>
  <c r="D18" i="10"/>
  <c r="G17" i="8"/>
  <c r="H17" i="8" s="1"/>
  <c r="M40" i="13"/>
  <c r="K40" i="13"/>
  <c r="J40" i="13" s="1"/>
  <c r="H11" i="11"/>
  <c r="J11" i="11"/>
  <c r="O38" i="13"/>
  <c r="N38" i="13"/>
  <c r="N39" i="13"/>
  <c r="O39" i="13" s="1"/>
  <c r="C38" i="13"/>
  <c r="G18" i="8" l="1"/>
  <c r="H18" i="8" s="1"/>
  <c r="D38" i="13"/>
  <c r="G11" i="11"/>
  <c r="E18" i="10"/>
  <c r="J12" i="11"/>
  <c r="H12" i="11"/>
  <c r="G12" i="11" s="1"/>
  <c r="M28" i="12"/>
  <c r="D28" i="12"/>
  <c r="N40" i="13"/>
  <c r="M41" i="13"/>
  <c r="K41" i="13"/>
  <c r="P37" i="3"/>
  <c r="U3" i="3" s="1"/>
  <c r="P17" i="3"/>
  <c r="G19" i="8" l="1"/>
  <c r="H19" i="8" s="1"/>
  <c r="O40" i="13"/>
  <c r="H13" i="11"/>
  <c r="G13" i="11" s="1"/>
  <c r="J13" i="11"/>
  <c r="E38" i="13"/>
  <c r="P20" i="3"/>
  <c r="P19" i="3"/>
  <c r="E28" i="12"/>
  <c r="F18" i="10"/>
  <c r="J41" i="13"/>
  <c r="N28" i="12"/>
  <c r="M42" i="13"/>
  <c r="K42" i="13"/>
  <c r="J42" i="13" s="1"/>
  <c r="G20" i="8" l="1"/>
  <c r="H20" i="8" s="1"/>
  <c r="H14" i="11"/>
  <c r="G14" i="11" s="1"/>
  <c r="J14" i="11"/>
  <c r="N41" i="13"/>
  <c r="O41" i="13" s="1"/>
  <c r="L29" i="12"/>
  <c r="P24" i="3"/>
  <c r="P21" i="3"/>
  <c r="N42" i="13"/>
  <c r="O42" i="13" s="1"/>
  <c r="M43" i="13"/>
  <c r="K43" i="13"/>
  <c r="J43" i="13" s="1"/>
  <c r="D19" i="10"/>
  <c r="C39" i="13"/>
  <c r="C29" i="12"/>
  <c r="G21" i="8" l="1"/>
  <c r="H21" i="8" s="1"/>
  <c r="D29" i="12"/>
  <c r="N43" i="13"/>
  <c r="O43" i="13" s="1"/>
  <c r="M29" i="12"/>
  <c r="J15" i="11"/>
  <c r="H15" i="11"/>
  <c r="G15" i="11" s="1"/>
  <c r="P25" i="3"/>
  <c r="M44" i="13"/>
  <c r="K44" i="13"/>
  <c r="J44" i="13" s="1"/>
  <c r="E19" i="10"/>
  <c r="D39" i="13"/>
  <c r="C32" i="3" l="1"/>
  <c r="D32" i="3" s="1"/>
  <c r="F32" i="3" s="1"/>
  <c r="C23" i="8"/>
  <c r="C33" i="3" s="1"/>
  <c r="D33" i="3" s="1"/>
  <c r="F33" i="3" s="1"/>
  <c r="M45" i="13"/>
  <c r="K45" i="13"/>
  <c r="J45" i="13" s="1"/>
  <c r="R3" i="3"/>
  <c r="F19" i="10"/>
  <c r="J16" i="11"/>
  <c r="H16" i="11"/>
  <c r="G16" i="11" s="1"/>
  <c r="E29" i="12"/>
  <c r="E39" i="13"/>
  <c r="N44" i="13"/>
  <c r="O44" i="13" s="1"/>
  <c r="N29" i="12"/>
  <c r="D20" i="10" l="1"/>
  <c r="C30" i="12"/>
  <c r="C40" i="13"/>
  <c r="L30" i="12"/>
  <c r="O45" i="13"/>
  <c r="N45" i="13"/>
  <c r="H17" i="11"/>
  <c r="G17" i="11" s="1"/>
  <c r="J17" i="11"/>
  <c r="M46" i="13"/>
  <c r="K46" i="13"/>
  <c r="J46" i="13" s="1"/>
  <c r="F34" i="3"/>
  <c r="D40" i="13" l="1"/>
  <c r="D30" i="12"/>
  <c r="N46" i="13"/>
  <c r="O46" i="13" s="1"/>
  <c r="H18" i="11"/>
  <c r="G18" i="11" s="1"/>
  <c r="J18" i="11"/>
  <c r="T3" i="3"/>
  <c r="D2" i="3" s="1"/>
  <c r="M47" i="13"/>
  <c r="K47" i="13"/>
  <c r="J47" i="13" s="1"/>
  <c r="M30" i="12"/>
  <c r="E20" i="10"/>
  <c r="F20" i="10" l="1"/>
  <c r="E30" i="12"/>
  <c r="N47" i="13"/>
  <c r="O47" i="13" s="1"/>
  <c r="J19" i="11"/>
  <c r="H19" i="11"/>
  <c r="G19" i="11" s="1"/>
  <c r="M48" i="13"/>
  <c r="K48" i="13"/>
  <c r="J48" i="13" s="1"/>
  <c r="N30" i="12"/>
  <c r="E40" i="13"/>
  <c r="N48" i="13" l="1"/>
  <c r="O48" i="13" s="1"/>
  <c r="C31" i="12"/>
  <c r="D31" i="12" s="1"/>
  <c r="L31" i="12"/>
  <c r="M31" i="12" s="1"/>
  <c r="M49" i="13"/>
  <c r="K49" i="13"/>
  <c r="J49" i="13" s="1"/>
  <c r="C41" i="13"/>
  <c r="D41" i="13" s="1"/>
  <c r="E41" i="13" s="1"/>
  <c r="D21" i="10"/>
  <c r="J20" i="11"/>
  <c r="H20" i="11"/>
  <c r="G20" i="11" s="1"/>
  <c r="C42" i="13" l="1"/>
  <c r="D42" i="13" s="1"/>
  <c r="E42" i="13" s="1"/>
  <c r="E21" i="10"/>
  <c r="E31" i="12"/>
  <c r="N31" i="12"/>
  <c r="N49" i="13"/>
  <c r="O49" i="13" s="1"/>
  <c r="H21" i="11"/>
  <c r="G21" i="11" s="1"/>
  <c r="J21" i="11"/>
  <c r="M50" i="13"/>
  <c r="K50" i="13"/>
  <c r="J50" i="13" s="1"/>
  <c r="C43" i="13" l="1"/>
  <c r="D43" i="13" s="1"/>
  <c r="E43" i="13" s="1"/>
  <c r="N50" i="13"/>
  <c r="O50" i="13" s="1"/>
  <c r="F21" i="10"/>
  <c r="M51" i="13"/>
  <c r="K51" i="13"/>
  <c r="J51" i="13" s="1"/>
  <c r="N32" i="12"/>
  <c r="L32" i="12"/>
  <c r="M32" i="12" s="1"/>
  <c r="J22" i="11"/>
  <c r="H22" i="11"/>
  <c r="G22" i="11" s="1"/>
  <c r="C32" i="12"/>
  <c r="D32" i="12" s="1"/>
  <c r="E32" i="12"/>
  <c r="C44" i="13" l="1"/>
  <c r="D44" i="13" s="1"/>
  <c r="E44" i="13" s="1"/>
  <c r="H23" i="11"/>
  <c r="G23" i="11" s="1"/>
  <c r="J23" i="11"/>
  <c r="L33" i="12"/>
  <c r="M33" i="12" s="1"/>
  <c r="N33" i="12" s="1"/>
  <c r="D22" i="10"/>
  <c r="C33" i="12"/>
  <c r="D33" i="12" s="1"/>
  <c r="E33" i="12"/>
  <c r="N51" i="13"/>
  <c r="O51" i="13" s="1"/>
  <c r="M52" i="13"/>
  <c r="K52" i="13"/>
  <c r="J52" i="13" s="1"/>
  <c r="L34" i="12" l="1"/>
  <c r="M34" i="12" s="1"/>
  <c r="N34" i="12" s="1"/>
  <c r="C45" i="13"/>
  <c r="D45" i="13" s="1"/>
  <c r="E45" i="13" s="1"/>
  <c r="C34" i="12"/>
  <c r="D34" i="12" s="1"/>
  <c r="E34" i="12" s="1"/>
  <c r="H24" i="11"/>
  <c r="G24" i="11" s="1"/>
  <c r="J24" i="11"/>
  <c r="N52" i="13"/>
  <c r="O52" i="13" s="1"/>
  <c r="M53" i="13"/>
  <c r="K53" i="13"/>
  <c r="J53" i="13" s="1"/>
  <c r="E22" i="10"/>
  <c r="F22" i="10" s="1"/>
  <c r="C35" i="12" l="1"/>
  <c r="D35" i="12" s="1"/>
  <c r="E35" i="12" s="1"/>
  <c r="C46" i="13"/>
  <c r="D46" i="13" s="1"/>
  <c r="E46" i="13" s="1"/>
  <c r="L35" i="12"/>
  <c r="M35" i="12" s="1"/>
  <c r="N35" i="12" s="1"/>
  <c r="O53" i="13"/>
  <c r="N53" i="13"/>
  <c r="J25" i="11"/>
  <c r="H25" i="11"/>
  <c r="G25" i="11" s="1"/>
  <c r="M54" i="13"/>
  <c r="K54" i="13"/>
  <c r="J54" i="13" s="1"/>
  <c r="D23" i="10"/>
  <c r="E23" i="10" s="1"/>
  <c r="F23" i="10" s="1"/>
  <c r="D24" i="10" l="1"/>
  <c r="E24" i="10" s="1"/>
  <c r="F24" i="10" s="1"/>
  <c r="L36" i="12"/>
  <c r="M36" i="12" s="1"/>
  <c r="N36" i="12" s="1"/>
  <c r="C47" i="13"/>
  <c r="D47" i="13" s="1"/>
  <c r="E47" i="13" s="1"/>
  <c r="C36" i="12"/>
  <c r="D36" i="12" s="1"/>
  <c r="E36" i="12"/>
  <c r="J26" i="11"/>
  <c r="H26" i="11"/>
  <c r="G26" i="11" s="1"/>
  <c r="N54" i="13"/>
  <c r="O54" i="13" s="1"/>
  <c r="M55" i="13"/>
  <c r="K55" i="13"/>
  <c r="J55" i="13" s="1"/>
  <c r="L37" i="12" l="1"/>
  <c r="M37" i="12" s="1"/>
  <c r="N37" i="12" s="1"/>
  <c r="C48" i="13"/>
  <c r="D48" i="13" s="1"/>
  <c r="E48" i="13" s="1"/>
  <c r="D25" i="10"/>
  <c r="E25" i="10" s="1"/>
  <c r="F25" i="10" s="1"/>
  <c r="H27" i="11"/>
  <c r="G27" i="11" s="1"/>
  <c r="J27" i="11"/>
  <c r="N55" i="13"/>
  <c r="O55" i="13" s="1"/>
  <c r="C37" i="12"/>
  <c r="D37" i="12" s="1"/>
  <c r="E37" i="12" s="1"/>
  <c r="M56" i="13"/>
  <c r="K56" i="13"/>
  <c r="J56" i="13" s="1"/>
  <c r="D26" i="10" l="1"/>
  <c r="E26" i="10" s="1"/>
  <c r="F26" i="10" s="1"/>
  <c r="E49" i="13"/>
  <c r="C49" i="13"/>
  <c r="D49" i="13" s="1"/>
  <c r="C38" i="12"/>
  <c r="D38" i="12" s="1"/>
  <c r="E38" i="12"/>
  <c r="L38" i="12"/>
  <c r="M38" i="12" s="1"/>
  <c r="N38" i="12" s="1"/>
  <c r="N56" i="13"/>
  <c r="O56" i="13" s="1"/>
  <c r="J28" i="11"/>
  <c r="H28" i="11"/>
  <c r="G28" i="11" s="1"/>
  <c r="M57" i="13"/>
  <c r="K57" i="13"/>
  <c r="J57" i="13" s="1"/>
  <c r="L39" i="12" l="1"/>
  <c r="M39" i="12" s="1"/>
  <c r="N39" i="12" s="1"/>
  <c r="D27" i="10"/>
  <c r="E27" i="10" s="1"/>
  <c r="F27" i="10" s="1"/>
  <c r="C39" i="12"/>
  <c r="D39" i="12" s="1"/>
  <c r="E39" i="12"/>
  <c r="J29" i="11"/>
  <c r="H29" i="11"/>
  <c r="G29" i="11" s="1"/>
  <c r="E50" i="13"/>
  <c r="C50" i="13"/>
  <c r="D50" i="13" s="1"/>
  <c r="N57" i="13"/>
  <c r="O57" i="13" s="1"/>
  <c r="M58" i="13"/>
  <c r="K58" i="13"/>
  <c r="J58" i="13" s="1"/>
  <c r="L40" i="12" l="1"/>
  <c r="M40" i="12" s="1"/>
  <c r="N40" i="12" s="1"/>
  <c r="C51" i="13"/>
  <c r="D51" i="13" s="1"/>
  <c r="E51" i="13" s="1"/>
  <c r="D28" i="10"/>
  <c r="E28" i="10" s="1"/>
  <c r="F28" i="10" s="1"/>
  <c r="O58" i="13"/>
  <c r="N58" i="13"/>
  <c r="M59" i="13"/>
  <c r="K59" i="13"/>
  <c r="J59" i="13" s="1"/>
  <c r="H30" i="11"/>
  <c r="G30" i="11" s="1"/>
  <c r="J30" i="11"/>
  <c r="E40" i="12"/>
  <c r="C40" i="12"/>
  <c r="D40" i="12" s="1"/>
  <c r="E52" i="13" l="1"/>
  <c r="C52" i="13"/>
  <c r="D52" i="13" s="1"/>
  <c r="D29" i="10"/>
  <c r="E29" i="10" s="1"/>
  <c r="F29" i="10" s="1"/>
  <c r="L41" i="12"/>
  <c r="M41" i="12" s="1"/>
  <c r="N41" i="12" s="1"/>
  <c r="C41" i="12"/>
  <c r="D41" i="12" s="1"/>
  <c r="E41" i="12" s="1"/>
  <c r="J31" i="11"/>
  <c r="H31" i="11"/>
  <c r="G31" i="11" s="1"/>
  <c r="N59" i="13"/>
  <c r="O59" i="13" s="1"/>
  <c r="M60" i="13"/>
  <c r="K60" i="13"/>
  <c r="J60" i="13" s="1"/>
  <c r="L42" i="12" l="1"/>
  <c r="M42" i="12" s="1"/>
  <c r="N42" i="12"/>
  <c r="D30" i="10"/>
  <c r="E30" i="10" s="1"/>
  <c r="F30" i="10" s="1"/>
  <c r="C42" i="12"/>
  <c r="D42" i="12" s="1"/>
  <c r="E42" i="12"/>
  <c r="H32" i="11"/>
  <c r="G32" i="11" s="1"/>
  <c r="J32" i="11"/>
  <c r="N60" i="13"/>
  <c r="O60" i="13" s="1"/>
  <c r="M61" i="13"/>
  <c r="K61" i="13"/>
  <c r="J61" i="13" s="1"/>
  <c r="C53" i="13"/>
  <c r="D53" i="13" s="1"/>
  <c r="E53" i="13" s="1"/>
  <c r="C54" i="13" l="1"/>
  <c r="D54" i="13" s="1"/>
  <c r="E54" i="13" s="1"/>
  <c r="C43" i="12"/>
  <c r="D43" i="12" s="1"/>
  <c r="E43" i="12" s="1"/>
  <c r="M62" i="13"/>
  <c r="K62" i="13"/>
  <c r="J62" i="13" s="1"/>
  <c r="N61" i="13"/>
  <c r="O61" i="13" s="1"/>
  <c r="D31" i="10"/>
  <c r="E31" i="10" s="1"/>
  <c r="F31" i="10" s="1"/>
  <c r="H33" i="11"/>
  <c r="G33" i="11" s="1"/>
  <c r="J33" i="11"/>
  <c r="L43" i="12"/>
  <c r="M43" i="12" s="1"/>
  <c r="N43" i="12"/>
  <c r="C44" i="12" l="1"/>
  <c r="D44" i="12" s="1"/>
  <c r="E44" i="12"/>
  <c r="C55" i="13"/>
  <c r="D55" i="13" s="1"/>
  <c r="E55" i="13" s="1"/>
  <c r="J34" i="11"/>
  <c r="H34" i="11"/>
  <c r="G34" i="11" s="1"/>
  <c r="M63" i="13"/>
  <c r="K63" i="13"/>
  <c r="J63" i="13" s="1"/>
  <c r="N62" i="13"/>
  <c r="O62" i="13" s="1"/>
  <c r="D32" i="10"/>
  <c r="E32" i="10" s="1"/>
  <c r="F32" i="10" s="1"/>
  <c r="L44" i="12"/>
  <c r="M44" i="12" s="1"/>
  <c r="N44" i="12" s="1"/>
  <c r="L45" i="12" l="1"/>
  <c r="M45" i="12" s="1"/>
  <c r="N45" i="12" s="1"/>
  <c r="C56" i="13"/>
  <c r="D56" i="13" s="1"/>
  <c r="E56" i="13" s="1"/>
  <c r="J35" i="11"/>
  <c r="H35" i="11"/>
  <c r="G35" i="11" s="1"/>
  <c r="C45" i="12"/>
  <c r="D45" i="12" s="1"/>
  <c r="E45" i="12" s="1"/>
  <c r="D33" i="10"/>
  <c r="E33" i="10" s="1"/>
  <c r="F33" i="10" s="1"/>
  <c r="N63" i="13"/>
  <c r="O63" i="13" s="1"/>
  <c r="M64" i="13"/>
  <c r="K64" i="13"/>
  <c r="J64" i="13" s="1"/>
  <c r="C46" i="12" l="1"/>
  <c r="D46" i="12" s="1"/>
  <c r="E46" i="12" s="1"/>
  <c r="C57" i="13"/>
  <c r="D57" i="13" s="1"/>
  <c r="E57" i="13" s="1"/>
  <c r="L46" i="12"/>
  <c r="M46" i="12" s="1"/>
  <c r="N46" i="12"/>
  <c r="D34" i="10"/>
  <c r="E34" i="10" s="1"/>
  <c r="F34" i="10" s="1"/>
  <c r="N64" i="13"/>
  <c r="O64" i="13" s="1"/>
  <c r="H36" i="11"/>
  <c r="G36" i="11" s="1"/>
  <c r="J36" i="11"/>
  <c r="M65" i="13"/>
  <c r="K65" i="13"/>
  <c r="J65" i="13" s="1"/>
  <c r="C58" i="13" l="1"/>
  <c r="D58" i="13" s="1"/>
  <c r="E58" i="13" s="1"/>
  <c r="D35" i="10"/>
  <c r="E35" i="10" s="1"/>
  <c r="F35" i="10" s="1"/>
  <c r="C47" i="12"/>
  <c r="D47" i="12" s="1"/>
  <c r="E47" i="12"/>
  <c r="L47" i="12"/>
  <c r="M47" i="12" s="1"/>
  <c r="N47" i="12" s="1"/>
  <c r="J37" i="11"/>
  <c r="H37" i="11"/>
  <c r="G37" i="11" s="1"/>
  <c r="N65" i="13"/>
  <c r="O65" i="13" s="1"/>
  <c r="M66" i="13"/>
  <c r="K66" i="13"/>
  <c r="J66" i="13" s="1"/>
  <c r="L48" i="12" l="1"/>
  <c r="M48" i="12" s="1"/>
  <c r="N48" i="12"/>
  <c r="D36" i="10"/>
  <c r="E36" i="10" s="1"/>
  <c r="F36" i="10" s="1"/>
  <c r="C59" i="13"/>
  <c r="D59" i="13" s="1"/>
  <c r="E59" i="13" s="1"/>
  <c r="N66" i="13"/>
  <c r="O66" i="13" s="1"/>
  <c r="C48" i="12"/>
  <c r="D48" i="12" s="1"/>
  <c r="E48" i="12"/>
  <c r="J38" i="11"/>
  <c r="H38" i="11"/>
  <c r="G38" i="11" s="1"/>
  <c r="M67" i="13"/>
  <c r="K67" i="13"/>
  <c r="J67" i="13" s="1"/>
  <c r="C60" i="13" l="1"/>
  <c r="D60" i="13" s="1"/>
  <c r="E60" i="13" s="1"/>
  <c r="D37" i="10"/>
  <c r="E37" i="10" s="1"/>
  <c r="F37" i="10" s="1"/>
  <c r="C49" i="12"/>
  <c r="D49" i="12" s="1"/>
  <c r="E49" i="12" s="1"/>
  <c r="L49" i="12"/>
  <c r="M49" i="12" s="1"/>
  <c r="N49" i="12"/>
  <c r="H39" i="11"/>
  <c r="G39" i="11" s="1"/>
  <c r="J39" i="11"/>
  <c r="N67" i="13"/>
  <c r="O67" i="13" s="1"/>
  <c r="M68" i="13"/>
  <c r="K68" i="13"/>
  <c r="J68" i="13" s="1"/>
  <c r="D38" i="10" l="1"/>
  <c r="E38" i="10" s="1"/>
  <c r="F38" i="10" s="1"/>
  <c r="C50" i="12"/>
  <c r="D50" i="12" s="1"/>
  <c r="E50" i="12" s="1"/>
  <c r="C61" i="13"/>
  <c r="D61" i="13" s="1"/>
  <c r="E61" i="13" s="1"/>
  <c r="J40" i="11"/>
  <c r="H40" i="11"/>
  <c r="G40" i="11" s="1"/>
  <c r="N50" i="12"/>
  <c r="L50" i="12"/>
  <c r="M50" i="12" s="1"/>
  <c r="N68" i="13"/>
  <c r="O68" i="13" s="1"/>
  <c r="M69" i="13"/>
  <c r="K69" i="13"/>
  <c r="J69" i="13" s="1"/>
  <c r="C62" i="13" l="1"/>
  <c r="D62" i="13" s="1"/>
  <c r="E62" i="13" s="1"/>
  <c r="C51" i="12"/>
  <c r="D51" i="12" s="1"/>
  <c r="E51" i="12" s="1"/>
  <c r="D39" i="10"/>
  <c r="E39" i="10" s="1"/>
  <c r="F39" i="10" s="1"/>
  <c r="L51" i="12"/>
  <c r="M51" i="12" s="1"/>
  <c r="N51" i="12"/>
  <c r="N69" i="13"/>
  <c r="O69" i="13" s="1"/>
  <c r="M70" i="13"/>
  <c r="K70" i="13"/>
  <c r="J70" i="13" s="1"/>
  <c r="H41" i="11"/>
  <c r="G41" i="11" s="1"/>
  <c r="J41" i="11"/>
  <c r="D40" i="10" l="1"/>
  <c r="E40" i="10" s="1"/>
  <c r="F40" i="10" s="1"/>
  <c r="C52" i="12"/>
  <c r="D52" i="12" s="1"/>
  <c r="E52" i="12" s="1"/>
  <c r="C63" i="13"/>
  <c r="D63" i="13" s="1"/>
  <c r="E63" i="13" s="1"/>
  <c r="N70" i="13"/>
  <c r="O70" i="13" s="1"/>
  <c r="M71" i="13"/>
  <c r="K71" i="13"/>
  <c r="J71" i="13" s="1"/>
  <c r="H42" i="11"/>
  <c r="G42" i="11" s="1"/>
  <c r="J42" i="11"/>
  <c r="L52" i="12"/>
  <c r="M52" i="12" s="1"/>
  <c r="N52" i="12"/>
  <c r="C64" i="13" l="1"/>
  <c r="D64" i="13" s="1"/>
  <c r="E64" i="13" s="1"/>
  <c r="C53" i="12"/>
  <c r="D53" i="12" s="1"/>
  <c r="E53" i="12" s="1"/>
  <c r="J43" i="11"/>
  <c r="H43" i="11"/>
  <c r="G43" i="11" s="1"/>
  <c r="D41" i="10"/>
  <c r="E41" i="10" s="1"/>
  <c r="F41" i="10" s="1"/>
  <c r="O71" i="13"/>
  <c r="N71" i="13"/>
  <c r="M72" i="13"/>
  <c r="K72" i="13"/>
  <c r="J72" i="13" s="1"/>
  <c r="L53" i="12"/>
  <c r="M53" i="12" s="1"/>
  <c r="N53" i="12" s="1"/>
  <c r="L54" i="12" l="1"/>
  <c r="M54" i="12" s="1"/>
  <c r="N54" i="12" s="1"/>
  <c r="C54" i="12"/>
  <c r="D54" i="12" s="1"/>
  <c r="E54" i="12" s="1"/>
  <c r="C65" i="13"/>
  <c r="D65" i="13" s="1"/>
  <c r="E65" i="13" s="1"/>
  <c r="N72" i="13"/>
  <c r="O72" i="13" s="1"/>
  <c r="M73" i="13"/>
  <c r="K73" i="13"/>
  <c r="J73" i="13" s="1"/>
  <c r="J44" i="11"/>
  <c r="H44" i="11"/>
  <c r="G44" i="11" s="1"/>
  <c r="D42" i="10"/>
  <c r="E42" i="10" s="1"/>
  <c r="F42" i="10" s="1"/>
  <c r="D43" i="10" l="1"/>
  <c r="E43" i="10" s="1"/>
  <c r="F43" i="10" s="1"/>
  <c r="E66" i="13"/>
  <c r="C66" i="13"/>
  <c r="D66" i="13" s="1"/>
  <c r="C55" i="12"/>
  <c r="D55" i="12" s="1"/>
  <c r="E55" i="12" s="1"/>
  <c r="L55" i="12"/>
  <c r="M55" i="12" s="1"/>
  <c r="N55" i="12"/>
  <c r="H45" i="11"/>
  <c r="G45" i="11" s="1"/>
  <c r="J45" i="11"/>
  <c r="N73" i="13"/>
  <c r="O73" i="13" s="1"/>
  <c r="M74" i="13"/>
  <c r="K74" i="13"/>
  <c r="J74" i="13" s="1"/>
  <c r="C56" i="12" l="1"/>
  <c r="D56" i="12" s="1"/>
  <c r="E56" i="12"/>
  <c r="E44" i="10"/>
  <c r="D44" i="10"/>
  <c r="D45" i="10" s="1"/>
  <c r="F44" i="10"/>
  <c r="X36" i="3" s="1"/>
  <c r="Z36" i="3" s="1"/>
  <c r="J46" i="11"/>
  <c r="H46" i="11"/>
  <c r="G46" i="11" s="1"/>
  <c r="C67" i="13"/>
  <c r="D67" i="13" s="1"/>
  <c r="E67" i="13" s="1"/>
  <c r="N74" i="13"/>
  <c r="O74" i="13" s="1"/>
  <c r="N56" i="12"/>
  <c r="L56" i="12"/>
  <c r="M56" i="12" s="1"/>
  <c r="M75" i="13"/>
  <c r="K75" i="13"/>
  <c r="J75" i="13" s="1"/>
  <c r="C68" i="13" l="1"/>
  <c r="D68" i="13" s="1"/>
  <c r="E68" i="13" s="1"/>
  <c r="J47" i="11"/>
  <c r="H47" i="11"/>
  <c r="G47" i="11" s="1"/>
  <c r="E45" i="10"/>
  <c r="M76" i="13"/>
  <c r="K76" i="13"/>
  <c r="J76" i="13" s="1"/>
  <c r="C57" i="12"/>
  <c r="D57" i="12" s="1"/>
  <c r="E57" i="12"/>
  <c r="L57" i="12"/>
  <c r="M57" i="12" s="1"/>
  <c r="N57" i="12" s="1"/>
  <c r="N75" i="13"/>
  <c r="O75" i="13" s="1"/>
  <c r="C69" i="13" l="1"/>
  <c r="D69" i="13" s="1"/>
  <c r="E69" i="13" s="1"/>
  <c r="L58" i="12"/>
  <c r="M58" i="12" s="1"/>
  <c r="N58" i="12" s="1"/>
  <c r="H48" i="11"/>
  <c r="G48" i="11" s="1"/>
  <c r="J48" i="11"/>
  <c r="C58" i="12"/>
  <c r="D58" i="12" s="1"/>
  <c r="E58" i="12" s="1"/>
  <c r="W35" i="3"/>
  <c r="X35" i="3" s="1"/>
  <c r="C45" i="10"/>
  <c r="N76" i="13"/>
  <c r="O76" i="13" s="1"/>
  <c r="M77" i="13"/>
  <c r="K77" i="13"/>
  <c r="J77" i="13" s="1"/>
  <c r="Z35" i="3" l="1"/>
  <c r="Z37" i="3" s="1"/>
  <c r="V3" i="3" s="1"/>
  <c r="C59" i="12"/>
  <c r="D59" i="12" s="1"/>
  <c r="E59" i="12"/>
  <c r="L59" i="12"/>
  <c r="M59" i="12" s="1"/>
  <c r="N59" i="12" s="1"/>
  <c r="C70" i="13"/>
  <c r="D70" i="13" s="1"/>
  <c r="E70" i="13" s="1"/>
  <c r="J49" i="11"/>
  <c r="H49" i="11"/>
  <c r="G49" i="11" s="1"/>
  <c r="N77" i="13"/>
  <c r="O77" i="13" s="1"/>
  <c r="M78" i="13"/>
  <c r="K78" i="13"/>
  <c r="J78" i="13" s="1"/>
  <c r="C71" i="13" l="1"/>
  <c r="D71" i="13" s="1"/>
  <c r="E71" i="13" s="1"/>
  <c r="L60" i="12"/>
  <c r="M60" i="12" s="1"/>
  <c r="N60" i="12" s="1"/>
  <c r="C60" i="12"/>
  <c r="D60" i="12" s="1"/>
  <c r="E60" i="12"/>
  <c r="N78" i="13"/>
  <c r="O78" i="13" s="1"/>
  <c r="M79" i="13"/>
  <c r="K79" i="13"/>
  <c r="J79" i="13" s="1"/>
  <c r="H50" i="11"/>
  <c r="G50" i="11" s="1"/>
  <c r="J50" i="11"/>
  <c r="L61" i="12" l="1"/>
  <c r="M61" i="12" s="1"/>
  <c r="N61" i="12" s="1"/>
  <c r="C72" i="13"/>
  <c r="D72" i="13" s="1"/>
  <c r="E72" i="13" s="1"/>
  <c r="H51" i="11"/>
  <c r="G51" i="11" s="1"/>
  <c r="J51" i="11"/>
  <c r="C61" i="12"/>
  <c r="D61" i="12" s="1"/>
  <c r="E61" i="12" s="1"/>
  <c r="N79" i="13"/>
  <c r="O79" i="13" s="1"/>
  <c r="M80" i="13"/>
  <c r="K80" i="13"/>
  <c r="J80" i="13" s="1"/>
  <c r="C62" i="12" l="1"/>
  <c r="D62" i="12" s="1"/>
  <c r="E62" i="12" s="1"/>
  <c r="E73" i="13"/>
  <c r="C73" i="13"/>
  <c r="D73" i="13" s="1"/>
  <c r="L62" i="12"/>
  <c r="M62" i="12" s="1"/>
  <c r="N62" i="12" s="1"/>
  <c r="O80" i="13"/>
  <c r="N80" i="13"/>
  <c r="M81" i="13"/>
  <c r="K81" i="13"/>
  <c r="J81" i="13" s="1"/>
  <c r="J52" i="11"/>
  <c r="H52" i="11"/>
  <c r="G52" i="11" s="1"/>
  <c r="Q62" i="12" l="1"/>
  <c r="Q72" i="12" s="1"/>
  <c r="C63" i="12"/>
  <c r="D63" i="12" s="1"/>
  <c r="E63" i="12" s="1"/>
  <c r="O81" i="13"/>
  <c r="N81" i="13"/>
  <c r="J53" i="11"/>
  <c r="H53" i="11"/>
  <c r="G53" i="11" s="1"/>
  <c r="M82" i="13"/>
  <c r="K82" i="13"/>
  <c r="J82" i="13" s="1"/>
  <c r="E74" i="13"/>
  <c r="C74" i="13"/>
  <c r="D74" i="13" s="1"/>
  <c r="C64" i="12" l="1"/>
  <c r="D64" i="12" s="1"/>
  <c r="E64" i="12" s="1"/>
  <c r="K72" i="12"/>
  <c r="K65" i="12"/>
  <c r="K63" i="12"/>
  <c r="K110" i="12"/>
  <c r="K107" i="12"/>
  <c r="K104" i="12"/>
  <c r="K101" i="12"/>
  <c r="K98" i="12"/>
  <c r="K95" i="12"/>
  <c r="K92" i="12"/>
  <c r="K89" i="12"/>
  <c r="K86" i="12"/>
  <c r="K83" i="12"/>
  <c r="K80" i="12"/>
  <c r="K77" i="12"/>
  <c r="K74" i="12"/>
  <c r="K67" i="12"/>
  <c r="P55" i="3"/>
  <c r="K109" i="12"/>
  <c r="K106" i="12"/>
  <c r="K103" i="12"/>
  <c r="K100" i="12"/>
  <c r="K97" i="12"/>
  <c r="K94" i="12"/>
  <c r="K91" i="12"/>
  <c r="K88" i="12"/>
  <c r="K85" i="12"/>
  <c r="K82" i="12"/>
  <c r="K79" i="12"/>
  <c r="K76" i="12"/>
  <c r="K73" i="12"/>
  <c r="K66" i="12"/>
  <c r="K70" i="12"/>
  <c r="K108" i="12"/>
  <c r="K105" i="12"/>
  <c r="K102" i="12"/>
  <c r="K99" i="12"/>
  <c r="K96" i="12"/>
  <c r="K93" i="12"/>
  <c r="K90" i="12"/>
  <c r="K87" i="12"/>
  <c r="K84" i="12"/>
  <c r="K81" i="12"/>
  <c r="K78" i="12"/>
  <c r="K75" i="12"/>
  <c r="K68" i="12"/>
  <c r="K69" i="12"/>
  <c r="K71" i="12"/>
  <c r="C75" i="13"/>
  <c r="D75" i="13" s="1"/>
  <c r="E75" i="13" s="1"/>
  <c r="O82" i="13"/>
  <c r="N82" i="13"/>
  <c r="M83" i="13"/>
  <c r="K83" i="13"/>
  <c r="J83" i="13" s="1"/>
  <c r="H54" i="11"/>
  <c r="G54" i="11" s="1"/>
  <c r="J54" i="11"/>
  <c r="C76" i="13" l="1"/>
  <c r="D76" i="13" s="1"/>
  <c r="E76" i="13" s="1"/>
  <c r="C65" i="12"/>
  <c r="D65" i="12" s="1"/>
  <c r="E65" i="12" s="1"/>
  <c r="M63" i="12"/>
  <c r="N63" i="12" s="1"/>
  <c r="N83" i="13"/>
  <c r="O83" i="13" s="1"/>
  <c r="J55" i="11"/>
  <c r="H55" i="11"/>
  <c r="G55" i="11" s="1"/>
  <c r="M84" i="13"/>
  <c r="K84" i="13"/>
  <c r="J84" i="13" s="1"/>
  <c r="C66" i="12" l="1"/>
  <c r="D66" i="12" s="1"/>
  <c r="E66" i="12" s="1"/>
  <c r="C77" i="13"/>
  <c r="D77" i="13" s="1"/>
  <c r="E77" i="13" s="1"/>
  <c r="J56" i="11"/>
  <c r="H56" i="11"/>
  <c r="G56" i="11" s="1"/>
  <c r="M64" i="12"/>
  <c r="N64" i="12" s="1"/>
  <c r="N84" i="13"/>
  <c r="O84" i="13" s="1"/>
  <c r="M85" i="13"/>
  <c r="K85" i="13"/>
  <c r="J85" i="13" s="1"/>
  <c r="C78" i="13" l="1"/>
  <c r="D78" i="13" s="1"/>
  <c r="E78" i="13" s="1"/>
  <c r="L65" i="12"/>
  <c r="M65" i="12" s="1"/>
  <c r="N65" i="12" s="1"/>
  <c r="C67" i="12"/>
  <c r="D67" i="12" s="1"/>
  <c r="E67" i="12" s="1"/>
  <c r="N85" i="13"/>
  <c r="O85" i="13" s="1"/>
  <c r="M86" i="13"/>
  <c r="K86" i="13"/>
  <c r="J86" i="13" s="1"/>
  <c r="H57" i="11"/>
  <c r="G57" i="11" s="1"/>
  <c r="J57" i="11"/>
  <c r="C68" i="12" l="1"/>
  <c r="D68" i="12" s="1"/>
  <c r="E68" i="12" s="1"/>
  <c r="L66" i="12"/>
  <c r="M66" i="12" s="1"/>
  <c r="N66" i="12" s="1"/>
  <c r="C79" i="13"/>
  <c r="D79" i="13" s="1"/>
  <c r="E79" i="13" s="1"/>
  <c r="J58" i="11"/>
  <c r="H58" i="11"/>
  <c r="G58" i="11" s="1"/>
  <c r="N86" i="13"/>
  <c r="O86" i="13" s="1"/>
  <c r="M87" i="13"/>
  <c r="K87" i="13"/>
  <c r="J87" i="13" s="1"/>
  <c r="C80" i="13" l="1"/>
  <c r="D80" i="13" s="1"/>
  <c r="E80" i="13" s="1"/>
  <c r="L67" i="12"/>
  <c r="M67" i="12" s="1"/>
  <c r="N67" i="12" s="1"/>
  <c r="C69" i="12"/>
  <c r="D69" i="12" s="1"/>
  <c r="E69" i="12" s="1"/>
  <c r="M88" i="13"/>
  <c r="K88" i="13"/>
  <c r="J88" i="13" s="1"/>
  <c r="N87" i="13"/>
  <c r="O87" i="13" s="1"/>
  <c r="J59" i="11"/>
  <c r="H59" i="11"/>
  <c r="G59" i="11" s="1"/>
  <c r="C70" i="12" l="1"/>
  <c r="D70" i="12" s="1"/>
  <c r="E70" i="12" s="1"/>
  <c r="L68" i="12"/>
  <c r="M68" i="12" s="1"/>
  <c r="N68" i="12" s="1"/>
  <c r="C81" i="13"/>
  <c r="D81" i="13" s="1"/>
  <c r="E81" i="13" s="1"/>
  <c r="H60" i="11"/>
  <c r="G60" i="11" s="1"/>
  <c r="J60" i="11"/>
  <c r="O88" i="13"/>
  <c r="N88" i="13"/>
  <c r="M89" i="13"/>
  <c r="K89" i="13"/>
  <c r="J89" i="13" s="1"/>
  <c r="E82" i="13" l="1"/>
  <c r="C82" i="13"/>
  <c r="D82" i="13" s="1"/>
  <c r="L69" i="12"/>
  <c r="M69" i="12" s="1"/>
  <c r="N69" i="12" s="1"/>
  <c r="C71" i="12"/>
  <c r="D71" i="12" s="1"/>
  <c r="E71" i="12" s="1"/>
  <c r="O89" i="13"/>
  <c r="N89" i="13"/>
  <c r="M90" i="13"/>
  <c r="K90" i="13"/>
  <c r="J90" i="13" s="1"/>
  <c r="J61" i="11"/>
  <c r="H61" i="11"/>
  <c r="G61" i="11" s="1"/>
  <c r="C72" i="12" l="1"/>
  <c r="D72" i="12" s="1"/>
  <c r="E72" i="12" s="1"/>
  <c r="L70" i="12"/>
  <c r="M70" i="12" s="1"/>
  <c r="N70" i="12" s="1"/>
  <c r="C83" i="13"/>
  <c r="D83" i="13" s="1"/>
  <c r="E83" i="13" s="1"/>
  <c r="J62" i="11"/>
  <c r="H62" i="11"/>
  <c r="G62" i="11" s="1"/>
  <c r="N90" i="13"/>
  <c r="O90" i="13" s="1"/>
  <c r="M91" i="13"/>
  <c r="K91" i="13"/>
  <c r="J91" i="13" s="1"/>
  <c r="L71" i="12" l="1"/>
  <c r="M71" i="12" s="1"/>
  <c r="N71" i="12" s="1"/>
  <c r="C84" i="13"/>
  <c r="D84" i="13" s="1"/>
  <c r="E84" i="13" s="1"/>
  <c r="C73" i="12"/>
  <c r="D73" i="12" s="1"/>
  <c r="E73" i="12"/>
  <c r="O91" i="13"/>
  <c r="N91" i="13"/>
  <c r="M92" i="13"/>
  <c r="K92" i="13"/>
  <c r="J92" i="13" s="1"/>
  <c r="H63" i="11"/>
  <c r="G63" i="11" s="1"/>
  <c r="J63" i="11"/>
  <c r="C85" i="13" l="1"/>
  <c r="D85" i="13" s="1"/>
  <c r="E85" i="13" s="1"/>
  <c r="L72" i="12"/>
  <c r="M72" i="12" s="1"/>
  <c r="N72" i="12" s="1"/>
  <c r="N92" i="13"/>
  <c r="O92" i="13" s="1"/>
  <c r="M93" i="13"/>
  <c r="K93" i="13"/>
  <c r="J93" i="13" s="1"/>
  <c r="J64" i="11"/>
  <c r="H64" i="11"/>
  <c r="G64" i="11" s="1"/>
  <c r="C74" i="12"/>
  <c r="D74" i="12" s="1"/>
  <c r="E74" i="12"/>
  <c r="L73" i="12" l="1"/>
  <c r="M73" i="12" s="1"/>
  <c r="N73" i="12" s="1"/>
  <c r="C86" i="13"/>
  <c r="D86" i="13" s="1"/>
  <c r="E86" i="13" s="1"/>
  <c r="C75" i="12"/>
  <c r="D75" i="12" s="1"/>
  <c r="E75" i="12" s="1"/>
  <c r="J65" i="11"/>
  <c r="H65" i="11"/>
  <c r="G65" i="11" s="1"/>
  <c r="N93" i="13"/>
  <c r="O93" i="13" s="1"/>
  <c r="M94" i="13"/>
  <c r="K94" i="13"/>
  <c r="J94" i="13" s="1"/>
  <c r="C87" i="13" l="1"/>
  <c r="D87" i="13" s="1"/>
  <c r="E87" i="13" s="1"/>
  <c r="C76" i="12"/>
  <c r="D76" i="12" s="1"/>
  <c r="E76" i="12" s="1"/>
  <c r="L74" i="12"/>
  <c r="M74" i="12" s="1"/>
  <c r="N74" i="12" s="1"/>
  <c r="M95" i="13"/>
  <c r="K95" i="13"/>
  <c r="J95" i="13" s="1"/>
  <c r="N94" i="13"/>
  <c r="O94" i="13" s="1"/>
  <c r="H66" i="11"/>
  <c r="G66" i="11" s="1"/>
  <c r="J66" i="11"/>
  <c r="C77" i="12" l="1"/>
  <c r="D77" i="12" s="1"/>
  <c r="E77" i="12" s="1"/>
  <c r="L75" i="12"/>
  <c r="M75" i="12" s="1"/>
  <c r="N75" i="12" s="1"/>
  <c r="C88" i="13"/>
  <c r="D88" i="13" s="1"/>
  <c r="E88" i="13" s="1"/>
  <c r="J67" i="11"/>
  <c r="H67" i="11"/>
  <c r="G67" i="11" s="1"/>
  <c r="N95" i="13"/>
  <c r="O95" i="13" s="1"/>
  <c r="M96" i="13"/>
  <c r="K96" i="13"/>
  <c r="J96" i="13" s="1"/>
  <c r="C89" i="13" l="1"/>
  <c r="D89" i="13" s="1"/>
  <c r="E89" i="13" s="1"/>
  <c r="L76" i="12"/>
  <c r="M76" i="12" s="1"/>
  <c r="N76" i="12" s="1"/>
  <c r="C78" i="12"/>
  <c r="D78" i="12" s="1"/>
  <c r="E78" i="12" s="1"/>
  <c r="M97" i="13"/>
  <c r="K97" i="13"/>
  <c r="J97" i="13" s="1"/>
  <c r="O97" i="13" s="1"/>
  <c r="W60" i="3" s="1"/>
  <c r="Z60" i="3" s="1"/>
  <c r="N96" i="13"/>
  <c r="N421" i="13" s="1"/>
  <c r="C31" i="13" s="1"/>
  <c r="W56" i="3" s="1"/>
  <c r="Z56" i="3" s="1"/>
  <c r="J68" i="11"/>
  <c r="H68" i="11"/>
  <c r="G68" i="11" s="1"/>
  <c r="Z61" i="3" l="1"/>
  <c r="Y3" i="3" s="1"/>
  <c r="C90" i="13"/>
  <c r="D90" i="13" s="1"/>
  <c r="E90" i="13" s="1"/>
  <c r="C79" i="12"/>
  <c r="D79" i="12" s="1"/>
  <c r="E79" i="12" s="1"/>
  <c r="L77" i="12"/>
  <c r="M77" i="12" s="1"/>
  <c r="N77" i="12" s="1"/>
  <c r="H69" i="11"/>
  <c r="G69" i="11" s="1"/>
  <c r="J69" i="11"/>
  <c r="O96" i="13"/>
  <c r="K98" i="13"/>
  <c r="J98" i="13" s="1"/>
  <c r="O98" i="13" s="1"/>
  <c r="M98" i="13"/>
  <c r="C80" i="12" l="1"/>
  <c r="D80" i="12" s="1"/>
  <c r="E80" i="12" s="1"/>
  <c r="C91" i="13"/>
  <c r="D91" i="13" s="1"/>
  <c r="E91" i="13" s="1"/>
  <c r="L78" i="12"/>
  <c r="M78" i="12" s="1"/>
  <c r="N78" i="12" s="1"/>
  <c r="M99" i="13"/>
  <c r="K99" i="13"/>
  <c r="J99" i="13" s="1"/>
  <c r="O99" i="13" s="1"/>
  <c r="J70" i="11"/>
  <c r="H70" i="11"/>
  <c r="G70" i="11" s="1"/>
  <c r="C92" i="13" l="1"/>
  <c r="D92" i="13" s="1"/>
  <c r="E92" i="13" s="1"/>
  <c r="C81" i="12"/>
  <c r="D81" i="12" s="1"/>
  <c r="E81" i="12" s="1"/>
  <c r="L79" i="12"/>
  <c r="M79" i="12" s="1"/>
  <c r="N79" i="12" s="1"/>
  <c r="J71" i="11"/>
  <c r="H71" i="11"/>
  <c r="G71" i="11" s="1"/>
  <c r="M100" i="13"/>
  <c r="K100" i="13"/>
  <c r="J100" i="13" s="1"/>
  <c r="O100" i="13" s="1"/>
  <c r="L80" i="12" l="1"/>
  <c r="M80" i="12" s="1"/>
  <c r="N80" i="12" s="1"/>
  <c r="C82" i="12"/>
  <c r="D82" i="12" s="1"/>
  <c r="E82" i="12" s="1"/>
  <c r="C93" i="13"/>
  <c r="D93" i="13" s="1"/>
  <c r="E93" i="13" s="1"/>
  <c r="K101" i="13"/>
  <c r="J101" i="13" s="1"/>
  <c r="O101" i="13" s="1"/>
  <c r="M101" i="13"/>
  <c r="H72" i="11"/>
  <c r="G72" i="11" s="1"/>
  <c r="J72" i="11"/>
  <c r="C83" i="12" l="1"/>
  <c r="D83" i="12" s="1"/>
  <c r="E83" i="12"/>
  <c r="C94" i="13"/>
  <c r="D94" i="13" s="1"/>
  <c r="E94" i="13" s="1"/>
  <c r="L81" i="12"/>
  <c r="M81" i="12" s="1"/>
  <c r="N81" i="12" s="1"/>
  <c r="J73" i="11"/>
  <c r="H73" i="11"/>
  <c r="G73" i="11" s="1"/>
  <c r="M102" i="13"/>
  <c r="K102" i="13"/>
  <c r="J102" i="13" s="1"/>
  <c r="O102" i="13" s="1"/>
  <c r="L82" i="12" l="1"/>
  <c r="M82" i="12" s="1"/>
  <c r="N82" i="12" s="1"/>
  <c r="C95" i="13"/>
  <c r="D95" i="13" s="1"/>
  <c r="E95" i="13" s="1"/>
  <c r="K103" i="13"/>
  <c r="J103" i="13" s="1"/>
  <c r="O103" i="13" s="1"/>
  <c r="M103" i="13"/>
  <c r="C84" i="12"/>
  <c r="D84" i="12" s="1"/>
  <c r="E84" i="12" s="1"/>
  <c r="J74" i="11"/>
  <c r="H74" i="11"/>
  <c r="G74" i="11" s="1"/>
  <c r="C85" i="12" l="1"/>
  <c r="D85" i="12" s="1"/>
  <c r="E85" i="12"/>
  <c r="C96" i="13"/>
  <c r="D96" i="13" s="1"/>
  <c r="E96" i="13" s="1"/>
  <c r="L83" i="12"/>
  <c r="M83" i="12" s="1"/>
  <c r="N83" i="12" s="1"/>
  <c r="K104" i="13"/>
  <c r="J104" i="13" s="1"/>
  <c r="O104" i="13" s="1"/>
  <c r="M104" i="13"/>
  <c r="H75" i="11"/>
  <c r="G75" i="11" s="1"/>
  <c r="J75" i="11"/>
  <c r="C97" i="13" l="1"/>
  <c r="D97" i="13" s="1"/>
  <c r="E97" i="13" s="1"/>
  <c r="J76" i="11"/>
  <c r="H76" i="11"/>
  <c r="G76" i="11" s="1"/>
  <c r="L84" i="12"/>
  <c r="M84" i="12" s="1"/>
  <c r="N84" i="12" s="1"/>
  <c r="C86" i="12"/>
  <c r="D86" i="12" s="1"/>
  <c r="E86" i="12"/>
  <c r="M105" i="13"/>
  <c r="K105" i="13"/>
  <c r="J105" i="13" s="1"/>
  <c r="O105" i="13" s="1"/>
  <c r="L85" i="12" l="1"/>
  <c r="M85" i="12" s="1"/>
  <c r="N85" i="12" s="1"/>
  <c r="C98" i="13"/>
  <c r="D98" i="13" s="1"/>
  <c r="E98" i="13" s="1"/>
  <c r="M106" i="13"/>
  <c r="K106" i="13"/>
  <c r="J106" i="13" s="1"/>
  <c r="O106" i="13" s="1"/>
  <c r="J77" i="11"/>
  <c r="H77" i="11"/>
  <c r="G77" i="11" s="1"/>
  <c r="C87" i="12"/>
  <c r="D87" i="12" s="1"/>
  <c r="E87" i="12" s="1"/>
  <c r="C99" i="13" l="1"/>
  <c r="D99" i="13" s="1"/>
  <c r="E99" i="13"/>
  <c r="C88" i="12"/>
  <c r="D88" i="12" s="1"/>
  <c r="E88" i="12"/>
  <c r="L86" i="12"/>
  <c r="M86" i="12" s="1"/>
  <c r="N86" i="12" s="1"/>
  <c r="K107" i="13"/>
  <c r="J107" i="13" s="1"/>
  <c r="O107" i="13" s="1"/>
  <c r="M107" i="13"/>
  <c r="H78" i="11"/>
  <c r="G78" i="11" s="1"/>
  <c r="J78" i="11"/>
  <c r="L87" i="12" l="1"/>
  <c r="M87" i="12" s="1"/>
  <c r="N87" i="12" s="1"/>
  <c r="C89" i="12"/>
  <c r="D89" i="12" s="1"/>
  <c r="E89" i="12" s="1"/>
  <c r="C100" i="13"/>
  <c r="D100" i="13" s="1"/>
  <c r="E100" i="13" s="1"/>
  <c r="J79" i="11"/>
  <c r="H79" i="11"/>
  <c r="G79" i="11" s="1"/>
  <c r="M108" i="13"/>
  <c r="K108" i="13"/>
  <c r="J108" i="13" s="1"/>
  <c r="O108" i="13" s="1"/>
  <c r="C101" i="13" l="1"/>
  <c r="D101" i="13" s="1"/>
  <c r="E101" i="13" s="1"/>
  <c r="C90" i="12"/>
  <c r="D90" i="12" s="1"/>
  <c r="E90" i="12" s="1"/>
  <c r="M109" i="13"/>
  <c r="K109" i="13"/>
  <c r="J109" i="13" s="1"/>
  <c r="O109" i="13" s="1"/>
  <c r="L88" i="12"/>
  <c r="M88" i="12" s="1"/>
  <c r="N88" i="12" s="1"/>
  <c r="J80" i="11"/>
  <c r="H80" i="11"/>
  <c r="G80" i="11" s="1"/>
  <c r="L89" i="12" l="1"/>
  <c r="M89" i="12" s="1"/>
  <c r="N89" i="12" s="1"/>
  <c r="C91" i="12"/>
  <c r="D91" i="12" s="1"/>
  <c r="E91" i="12"/>
  <c r="C102" i="13"/>
  <c r="D102" i="13" s="1"/>
  <c r="E102" i="13" s="1"/>
  <c r="M110" i="13"/>
  <c r="K110" i="13"/>
  <c r="J110" i="13" s="1"/>
  <c r="O110" i="13" s="1"/>
  <c r="H81" i="11"/>
  <c r="G81" i="11" s="1"/>
  <c r="J81" i="11"/>
  <c r="C103" i="13" l="1"/>
  <c r="D103" i="13" s="1"/>
  <c r="E103" i="13" s="1"/>
  <c r="C92" i="12"/>
  <c r="D92" i="12" s="1"/>
  <c r="E92" i="12"/>
  <c r="J82" i="11"/>
  <c r="H82" i="11"/>
  <c r="G82" i="11" s="1"/>
  <c r="L90" i="12"/>
  <c r="M90" i="12" s="1"/>
  <c r="N90" i="12" s="1"/>
  <c r="K111" i="13"/>
  <c r="J111" i="13" s="1"/>
  <c r="O111" i="13" s="1"/>
  <c r="M111" i="13"/>
  <c r="C104" i="13" l="1"/>
  <c r="D104" i="13" s="1"/>
  <c r="E104" i="13" s="1"/>
  <c r="J83" i="11"/>
  <c r="H83" i="11"/>
  <c r="G83" i="11" s="1"/>
  <c r="M112" i="13"/>
  <c r="K112" i="13"/>
  <c r="J112" i="13" s="1"/>
  <c r="O112" i="13" s="1"/>
  <c r="C93" i="12"/>
  <c r="D93" i="12" s="1"/>
  <c r="E93" i="12" s="1"/>
  <c r="L91" i="12"/>
  <c r="M91" i="12" s="1"/>
  <c r="N91" i="12" s="1"/>
  <c r="C94" i="12" l="1"/>
  <c r="D94" i="12" s="1"/>
  <c r="E94" i="12"/>
  <c r="L92" i="12"/>
  <c r="M92" i="12" s="1"/>
  <c r="N92" i="12" s="1"/>
  <c r="C105" i="13"/>
  <c r="D105" i="13" s="1"/>
  <c r="E105" i="13" s="1"/>
  <c r="M113" i="13"/>
  <c r="K113" i="13"/>
  <c r="J113" i="13" s="1"/>
  <c r="O113" i="13" s="1"/>
  <c r="H84" i="11"/>
  <c r="G84" i="11" s="1"/>
  <c r="J84" i="11"/>
  <c r="C106" i="13" l="1"/>
  <c r="D106" i="13" s="1"/>
  <c r="E106" i="13" s="1"/>
  <c r="L93" i="12"/>
  <c r="M93" i="12" s="1"/>
  <c r="N93" i="12" s="1"/>
  <c r="C95" i="12"/>
  <c r="D95" i="12" s="1"/>
  <c r="E95" i="12" s="1"/>
  <c r="J85" i="11"/>
  <c r="H85" i="11"/>
  <c r="G85" i="11" s="1"/>
  <c r="K114" i="13"/>
  <c r="J114" i="13" s="1"/>
  <c r="O114" i="13" s="1"/>
  <c r="M114" i="13"/>
  <c r="C96" i="12" l="1"/>
  <c r="D96" i="12" s="1"/>
  <c r="E96" i="12" s="1"/>
  <c r="C107" i="13"/>
  <c r="D107" i="13" s="1"/>
  <c r="E107" i="13" s="1"/>
  <c r="M115" i="13"/>
  <c r="K115" i="13"/>
  <c r="J115" i="13" s="1"/>
  <c r="O115" i="13" s="1"/>
  <c r="L94" i="12"/>
  <c r="M94" i="12" s="1"/>
  <c r="N94" i="12" s="1"/>
  <c r="J86" i="11"/>
  <c r="H86" i="11"/>
  <c r="G86" i="11" s="1"/>
  <c r="C108" i="13" l="1"/>
  <c r="D108" i="13" s="1"/>
  <c r="E108" i="13" s="1"/>
  <c r="L95" i="12"/>
  <c r="M95" i="12" s="1"/>
  <c r="N95" i="12" s="1"/>
  <c r="C97" i="12"/>
  <c r="D97" i="12" s="1"/>
  <c r="E97" i="12" s="1"/>
  <c r="K116" i="13"/>
  <c r="J116" i="13" s="1"/>
  <c r="O116" i="13" s="1"/>
  <c r="M116" i="13"/>
  <c r="H87" i="11"/>
  <c r="G87" i="11" s="1"/>
  <c r="J87" i="11"/>
  <c r="C98" i="12" l="1"/>
  <c r="D98" i="12" s="1"/>
  <c r="E98" i="12"/>
  <c r="L96" i="12"/>
  <c r="M96" i="12" s="1"/>
  <c r="N96" i="12" s="1"/>
  <c r="C109" i="13"/>
  <c r="D109" i="13" s="1"/>
  <c r="E109" i="13"/>
  <c r="J88" i="11"/>
  <c r="H88" i="11"/>
  <c r="G88" i="11" s="1"/>
  <c r="K117" i="13"/>
  <c r="J117" i="13" s="1"/>
  <c r="O117" i="13" s="1"/>
  <c r="M117" i="13"/>
  <c r="L97" i="12" l="1"/>
  <c r="M97" i="12" s="1"/>
  <c r="N97" i="12" s="1"/>
  <c r="C110" i="13"/>
  <c r="D110" i="13" s="1"/>
  <c r="E110" i="13" s="1"/>
  <c r="M118" i="13"/>
  <c r="K118" i="13"/>
  <c r="J118" i="13" s="1"/>
  <c r="O118" i="13" s="1"/>
  <c r="C99" i="12"/>
  <c r="D99" i="12" s="1"/>
  <c r="E99" i="12" s="1"/>
  <c r="J89" i="11"/>
  <c r="H89" i="11"/>
  <c r="G89" i="11" s="1"/>
  <c r="C100" i="12" l="1"/>
  <c r="D100" i="12" s="1"/>
  <c r="E100" i="12" s="1"/>
  <c r="C111" i="13"/>
  <c r="D111" i="13" s="1"/>
  <c r="E111" i="13" s="1"/>
  <c r="L98" i="12"/>
  <c r="M98" i="12" s="1"/>
  <c r="N98" i="12" s="1"/>
  <c r="K119" i="13"/>
  <c r="J119" i="13" s="1"/>
  <c r="O119" i="13" s="1"/>
  <c r="M119" i="13"/>
  <c r="H90" i="11"/>
  <c r="G90" i="11" s="1"/>
  <c r="J90" i="11"/>
  <c r="C112" i="13" l="1"/>
  <c r="D112" i="13" s="1"/>
  <c r="E112" i="13"/>
  <c r="L99" i="12"/>
  <c r="M99" i="12" s="1"/>
  <c r="N99" i="12" s="1"/>
  <c r="C101" i="12"/>
  <c r="D101" i="12" s="1"/>
  <c r="E101" i="12" s="1"/>
  <c r="J91" i="11"/>
  <c r="H91" i="11"/>
  <c r="G91" i="11" s="1"/>
  <c r="K120" i="13"/>
  <c r="J120" i="13" s="1"/>
  <c r="O120" i="13" s="1"/>
  <c r="M120" i="13"/>
  <c r="C102" i="12" l="1"/>
  <c r="D102" i="12" s="1"/>
  <c r="E102" i="12" s="1"/>
  <c r="L100" i="12"/>
  <c r="M100" i="12" s="1"/>
  <c r="N100" i="12" s="1"/>
  <c r="C113" i="13"/>
  <c r="D113" i="13" s="1"/>
  <c r="E113" i="13" s="1"/>
  <c r="M121" i="13"/>
  <c r="K121" i="13"/>
  <c r="J121" i="13" s="1"/>
  <c r="O121" i="13" s="1"/>
  <c r="J92" i="11"/>
  <c r="H92" i="11"/>
  <c r="G92" i="11" s="1"/>
  <c r="C114" i="13" l="1"/>
  <c r="D114" i="13" s="1"/>
  <c r="E114" i="13"/>
  <c r="L101" i="12"/>
  <c r="M101" i="12" s="1"/>
  <c r="N101" i="12" s="1"/>
  <c r="C103" i="12"/>
  <c r="D103" i="12" s="1"/>
  <c r="E103" i="12" s="1"/>
  <c r="H93" i="11"/>
  <c r="G93" i="11" s="1"/>
  <c r="J93" i="11"/>
  <c r="M122" i="13"/>
  <c r="K122" i="13"/>
  <c r="J122" i="13" s="1"/>
  <c r="O122" i="13" s="1"/>
  <c r="C104" i="12" l="1"/>
  <c r="D104" i="12" s="1"/>
  <c r="E104" i="12"/>
  <c r="L102" i="12"/>
  <c r="M102" i="12" s="1"/>
  <c r="N102" i="12" s="1"/>
  <c r="C115" i="13"/>
  <c r="D115" i="13" s="1"/>
  <c r="E115" i="13" s="1"/>
  <c r="K123" i="13"/>
  <c r="J123" i="13" s="1"/>
  <c r="O123" i="13" s="1"/>
  <c r="M123" i="13"/>
  <c r="J94" i="11"/>
  <c r="H94" i="11"/>
  <c r="G94" i="11" s="1"/>
  <c r="C116" i="13" l="1"/>
  <c r="D116" i="13" s="1"/>
  <c r="E116" i="13" s="1"/>
  <c r="L103" i="12"/>
  <c r="M103" i="12" s="1"/>
  <c r="N103" i="12" s="1"/>
  <c r="J95" i="11"/>
  <c r="H95" i="11"/>
  <c r="G95" i="11" s="1"/>
  <c r="M124" i="13"/>
  <c r="K124" i="13"/>
  <c r="J124" i="13" s="1"/>
  <c r="O124" i="13" s="1"/>
  <c r="C105" i="12"/>
  <c r="D105" i="12" s="1"/>
  <c r="E105" i="12" s="1"/>
  <c r="L104" i="12" l="1"/>
  <c r="M104" i="12" s="1"/>
  <c r="N104" i="12" s="1"/>
  <c r="C106" i="12"/>
  <c r="D106" i="12" s="1"/>
  <c r="E106" i="12" s="1"/>
  <c r="C117" i="13"/>
  <c r="D117" i="13" s="1"/>
  <c r="E117" i="13" s="1"/>
  <c r="H96" i="11"/>
  <c r="G96" i="11" s="1"/>
  <c r="J96" i="11"/>
  <c r="K125" i="13"/>
  <c r="J125" i="13" s="1"/>
  <c r="O125" i="13" s="1"/>
  <c r="M125" i="13"/>
  <c r="C118" i="13" l="1"/>
  <c r="D118" i="13" s="1"/>
  <c r="E118" i="13"/>
  <c r="C107" i="12"/>
  <c r="D107" i="12" s="1"/>
  <c r="E107" i="12" s="1"/>
  <c r="K126" i="13"/>
  <c r="J126" i="13" s="1"/>
  <c r="O126" i="13" s="1"/>
  <c r="M126" i="13"/>
  <c r="L105" i="12"/>
  <c r="M105" i="12" s="1"/>
  <c r="N105" i="12" s="1"/>
  <c r="J97" i="11"/>
  <c r="H97" i="11"/>
  <c r="G97" i="11" s="1"/>
  <c r="C108" i="12" l="1"/>
  <c r="D108" i="12" s="1"/>
  <c r="E108" i="12" s="1"/>
  <c r="M127" i="13"/>
  <c r="K127" i="13"/>
  <c r="J127" i="13" s="1"/>
  <c r="O127" i="13" s="1"/>
  <c r="C119" i="13"/>
  <c r="D119" i="13" s="1"/>
  <c r="E119" i="13" s="1"/>
  <c r="J98" i="11"/>
  <c r="H98" i="11"/>
  <c r="G98" i="11" s="1"/>
  <c r="L106" i="12"/>
  <c r="M106" i="12" s="1"/>
  <c r="N106" i="12" s="1"/>
  <c r="C120" i="13" l="1"/>
  <c r="D120" i="13" s="1"/>
  <c r="E120" i="13" s="1"/>
  <c r="L107" i="12"/>
  <c r="M107" i="12" s="1"/>
  <c r="N107" i="12" s="1"/>
  <c r="C109" i="12"/>
  <c r="D109" i="12" s="1"/>
  <c r="E109" i="12" s="1"/>
  <c r="M128" i="13"/>
  <c r="K128" i="13"/>
  <c r="J128" i="13" s="1"/>
  <c r="O128" i="13" s="1"/>
  <c r="H99" i="11"/>
  <c r="G99" i="11" s="1"/>
  <c r="J99" i="11"/>
  <c r="C110" i="12" l="1"/>
  <c r="D110" i="12" s="1"/>
  <c r="E110" i="12"/>
  <c r="L108" i="12"/>
  <c r="M108" i="12" s="1"/>
  <c r="N108" i="12" s="1"/>
  <c r="C121" i="13"/>
  <c r="D121" i="13" s="1"/>
  <c r="E121" i="13" s="1"/>
  <c r="J100" i="11"/>
  <c r="H100" i="11"/>
  <c r="G100" i="11" s="1"/>
  <c r="K129" i="13"/>
  <c r="J129" i="13" s="1"/>
  <c r="O129" i="13" s="1"/>
  <c r="M129" i="13"/>
  <c r="C122" i="13" l="1"/>
  <c r="D122" i="13" s="1"/>
  <c r="E122" i="13" s="1"/>
  <c r="L109" i="12"/>
  <c r="M109" i="12" s="1"/>
  <c r="N109" i="12" s="1"/>
  <c r="C111" i="12"/>
  <c r="D111" i="12" s="1"/>
  <c r="E111" i="12" s="1"/>
  <c r="M130" i="13"/>
  <c r="K130" i="13"/>
  <c r="J130" i="13" s="1"/>
  <c r="O130" i="13" s="1"/>
  <c r="J101" i="11"/>
  <c r="H101" i="11"/>
  <c r="G101" i="11" s="1"/>
  <c r="L110" i="12" l="1"/>
  <c r="M110" i="12" s="1"/>
  <c r="N110" i="12" s="1"/>
  <c r="C112" i="12"/>
  <c r="D112" i="12" s="1"/>
  <c r="E112" i="12" s="1"/>
  <c r="C123" i="13"/>
  <c r="D123" i="13" s="1"/>
  <c r="E123" i="13"/>
  <c r="H102" i="11"/>
  <c r="G102" i="11" s="1"/>
  <c r="J102" i="11"/>
  <c r="M131" i="13"/>
  <c r="K131" i="13"/>
  <c r="J131" i="13" s="1"/>
  <c r="O131" i="13" s="1"/>
  <c r="C113" i="12" l="1"/>
  <c r="D113" i="12" s="1"/>
  <c r="E113" i="12"/>
  <c r="L111" i="12"/>
  <c r="Q110" i="12"/>
  <c r="Q120" i="12" s="1"/>
  <c r="C124" i="13"/>
  <c r="D124" i="13" s="1"/>
  <c r="E124" i="13" s="1"/>
  <c r="J103" i="11"/>
  <c r="H103" i="11"/>
  <c r="G103" i="11" s="1"/>
  <c r="K132" i="13"/>
  <c r="J132" i="13" s="1"/>
  <c r="O132" i="13" s="1"/>
  <c r="M132" i="13"/>
  <c r="C125" i="13" l="1"/>
  <c r="D125" i="13" s="1"/>
  <c r="E125" i="13" s="1"/>
  <c r="K444" i="12"/>
  <c r="K441" i="12"/>
  <c r="K438" i="12"/>
  <c r="K435" i="12"/>
  <c r="K432" i="12"/>
  <c r="K429" i="12"/>
  <c r="K426" i="12"/>
  <c r="K423" i="12"/>
  <c r="K420" i="12"/>
  <c r="K417" i="12"/>
  <c r="K414" i="12"/>
  <c r="K411" i="12"/>
  <c r="K408" i="12"/>
  <c r="K405" i="12"/>
  <c r="K402" i="12"/>
  <c r="K399" i="12"/>
  <c r="K396" i="12"/>
  <c r="K393" i="12"/>
  <c r="K390" i="12"/>
  <c r="K387" i="12"/>
  <c r="K386" i="12"/>
  <c r="K383" i="12"/>
  <c r="K380" i="12"/>
  <c r="K377" i="12"/>
  <c r="K374" i="12"/>
  <c r="K371" i="12"/>
  <c r="K368" i="12"/>
  <c r="K365" i="12"/>
  <c r="K362" i="12"/>
  <c r="K359" i="12"/>
  <c r="K356" i="12"/>
  <c r="K353" i="12"/>
  <c r="K350" i="12"/>
  <c r="K445" i="12"/>
  <c r="K443" i="12"/>
  <c r="K436" i="12"/>
  <c r="K434" i="12"/>
  <c r="K427" i="12"/>
  <c r="K425" i="12"/>
  <c r="K418" i="12"/>
  <c r="K416" i="12"/>
  <c r="K409" i="12"/>
  <c r="K407" i="12"/>
  <c r="K400" i="12"/>
  <c r="K398" i="12"/>
  <c r="K391" i="12"/>
  <c r="K389" i="12"/>
  <c r="K382" i="12"/>
  <c r="K373" i="12"/>
  <c r="K364" i="12"/>
  <c r="K355" i="12"/>
  <c r="K347" i="12"/>
  <c r="K344" i="12"/>
  <c r="K341" i="12"/>
  <c r="K338" i="12"/>
  <c r="K335" i="12"/>
  <c r="K332" i="12"/>
  <c r="K329" i="12"/>
  <c r="K326" i="12"/>
  <c r="K323" i="12"/>
  <c r="K320" i="12"/>
  <c r="K317" i="12"/>
  <c r="K314" i="12"/>
  <c r="K311" i="12"/>
  <c r="K308" i="12"/>
  <c r="K305" i="12"/>
  <c r="K302" i="12"/>
  <c r="K299" i="12"/>
  <c r="K296" i="12"/>
  <c r="K293" i="12"/>
  <c r="K290" i="12"/>
  <c r="K287" i="12"/>
  <c r="K284" i="12"/>
  <c r="K281" i="12"/>
  <c r="K278" i="12"/>
  <c r="K275" i="12"/>
  <c r="K272" i="12"/>
  <c r="K269" i="12"/>
  <c r="K266" i="12"/>
  <c r="K263" i="12"/>
  <c r="K442" i="12"/>
  <c r="K437" i="12"/>
  <c r="K415" i="12"/>
  <c r="K410" i="12"/>
  <c r="K388" i="12"/>
  <c r="K385" i="12"/>
  <c r="K384" i="12"/>
  <c r="K372" i="12"/>
  <c r="K358" i="12"/>
  <c r="K357" i="12"/>
  <c r="K340" i="12"/>
  <c r="K331" i="12"/>
  <c r="K322" i="12"/>
  <c r="K313" i="12"/>
  <c r="K304" i="12"/>
  <c r="K433" i="12"/>
  <c r="K428" i="12"/>
  <c r="K406" i="12"/>
  <c r="K401" i="12"/>
  <c r="K376" i="12"/>
  <c r="K375" i="12"/>
  <c r="K363" i="12"/>
  <c r="K349" i="12"/>
  <c r="K348" i="12"/>
  <c r="K346" i="12"/>
  <c r="K337" i="12"/>
  <c r="K328" i="12"/>
  <c r="K319" i="12"/>
  <c r="K310" i="12"/>
  <c r="K301" i="12"/>
  <c r="K292" i="12"/>
  <c r="K283" i="12"/>
  <c r="K274" i="12"/>
  <c r="K265" i="12"/>
  <c r="K259" i="12"/>
  <c r="K256" i="12"/>
  <c r="K253" i="12"/>
  <c r="K250" i="12"/>
  <c r="K247" i="12"/>
  <c r="K244" i="12"/>
  <c r="K241" i="12"/>
  <c r="K238" i="12"/>
  <c r="K235" i="12"/>
  <c r="K232" i="12"/>
  <c r="K229" i="12"/>
  <c r="K226" i="12"/>
  <c r="K223" i="12"/>
  <c r="K220" i="12"/>
  <c r="K217" i="12"/>
  <c r="K214" i="12"/>
  <c r="K211" i="12"/>
  <c r="K208" i="12"/>
  <c r="K205" i="12"/>
  <c r="K202" i="12"/>
  <c r="K199" i="12"/>
  <c r="K421" i="12"/>
  <c r="K413" i="12"/>
  <c r="K379" i="12"/>
  <c r="K336" i="12"/>
  <c r="K324" i="12"/>
  <c r="K309" i="12"/>
  <c r="K280" i="12"/>
  <c r="K279" i="12"/>
  <c r="K257" i="12"/>
  <c r="K248" i="12"/>
  <c r="K239" i="12"/>
  <c r="K230" i="12"/>
  <c r="K221" i="12"/>
  <c r="K212" i="12"/>
  <c r="K203" i="12"/>
  <c r="K119" i="12"/>
  <c r="K117" i="12"/>
  <c r="K424" i="12"/>
  <c r="K412" i="12"/>
  <c r="K404" i="12"/>
  <c r="K392" i="12"/>
  <c r="K366" i="12"/>
  <c r="K361" i="12"/>
  <c r="K325" i="12"/>
  <c r="K321" i="12"/>
  <c r="K295" i="12"/>
  <c r="K294" i="12"/>
  <c r="K282" i="12"/>
  <c r="K268" i="12"/>
  <c r="K267" i="12"/>
  <c r="K255" i="12"/>
  <c r="K246" i="12"/>
  <c r="K237" i="12"/>
  <c r="K228" i="12"/>
  <c r="K219" i="12"/>
  <c r="K210" i="12"/>
  <c r="K201" i="12"/>
  <c r="K196" i="12"/>
  <c r="K193" i="12"/>
  <c r="K190" i="12"/>
  <c r="K187" i="12"/>
  <c r="K184" i="12"/>
  <c r="K181" i="12"/>
  <c r="K178" i="12"/>
  <c r="K175" i="12"/>
  <c r="K172" i="12"/>
  <c r="K169" i="12"/>
  <c r="K166" i="12"/>
  <c r="K163" i="12"/>
  <c r="K160" i="12"/>
  <c r="K157" i="12"/>
  <c r="K154" i="12"/>
  <c r="K151" i="12"/>
  <c r="K148" i="12"/>
  <c r="K145" i="12"/>
  <c r="K142" i="12"/>
  <c r="K139" i="12"/>
  <c r="K136" i="12"/>
  <c r="K133" i="12"/>
  <c r="K130" i="12"/>
  <c r="K127" i="12"/>
  <c r="K124" i="12"/>
  <c r="K121" i="12"/>
  <c r="K114" i="12"/>
  <c r="K112" i="12"/>
  <c r="K439" i="12"/>
  <c r="K431" i="12"/>
  <c r="K419" i="12"/>
  <c r="K367" i="12"/>
  <c r="K354" i="12"/>
  <c r="K334" i="12"/>
  <c r="K330" i="12"/>
  <c r="K307" i="12"/>
  <c r="K303" i="12"/>
  <c r="K286" i="12"/>
  <c r="K285" i="12"/>
  <c r="K273" i="12"/>
  <c r="K252" i="12"/>
  <c r="K243" i="12"/>
  <c r="K234" i="12"/>
  <c r="K225" i="12"/>
  <c r="K216" i="12"/>
  <c r="K207" i="12"/>
  <c r="K198" i="12"/>
  <c r="K195" i="12"/>
  <c r="K192" i="12"/>
  <c r="K189" i="12"/>
  <c r="K186" i="12"/>
  <c r="K183" i="12"/>
  <c r="K180" i="12"/>
  <c r="K177" i="12"/>
  <c r="K174" i="12"/>
  <c r="K171" i="12"/>
  <c r="K168" i="12"/>
  <c r="K165" i="12"/>
  <c r="K162" i="12"/>
  <c r="K159" i="12"/>
  <c r="K156" i="12"/>
  <c r="K153" i="12"/>
  <c r="K150" i="12"/>
  <c r="K147" i="12"/>
  <c r="K144" i="12"/>
  <c r="K141" i="12"/>
  <c r="K138" i="12"/>
  <c r="K135" i="12"/>
  <c r="K132" i="12"/>
  <c r="K129" i="12"/>
  <c r="K126" i="12"/>
  <c r="K123" i="12"/>
  <c r="K118" i="12"/>
  <c r="K116" i="12"/>
  <c r="K440" i="12"/>
  <c r="K369" i="12"/>
  <c r="K333" i="12"/>
  <c r="K306" i="12"/>
  <c r="K298" i="12"/>
  <c r="K270" i="12"/>
  <c r="K254" i="12"/>
  <c r="K245" i="12"/>
  <c r="K236" i="12"/>
  <c r="K227" i="12"/>
  <c r="K218" i="12"/>
  <c r="K209" i="12"/>
  <c r="K200" i="12"/>
  <c r="K111" i="12"/>
  <c r="K381" i="12"/>
  <c r="K343" i="12"/>
  <c r="K316" i="12"/>
  <c r="K342" i="12"/>
  <c r="K315" i="12"/>
  <c r="K260" i="12"/>
  <c r="K242" i="12"/>
  <c r="K224" i="12"/>
  <c r="K206" i="12"/>
  <c r="K430" i="12"/>
  <c r="K422" i="12"/>
  <c r="K378" i="12"/>
  <c r="K352" i="12"/>
  <c r="K327" i="12"/>
  <c r="K300" i="12"/>
  <c r="K289" i="12"/>
  <c r="K261" i="12"/>
  <c r="K120" i="12"/>
  <c r="K113" i="12"/>
  <c r="K397" i="12"/>
  <c r="K291" i="12"/>
  <c r="K276" i="12"/>
  <c r="P56" i="3"/>
  <c r="K394" i="12"/>
  <c r="K370" i="12"/>
  <c r="K288" i="12"/>
  <c r="K262" i="12"/>
  <c r="K251" i="12"/>
  <c r="K233" i="12"/>
  <c r="K215" i="12"/>
  <c r="K403" i="12"/>
  <c r="K395" i="12"/>
  <c r="K351" i="12"/>
  <c r="K345" i="12"/>
  <c r="K318" i="12"/>
  <c r="K297" i="12"/>
  <c r="K271" i="12"/>
  <c r="K240" i="12"/>
  <c r="K197" i="12"/>
  <c r="K188" i="12"/>
  <c r="K179" i="12"/>
  <c r="K170" i="12"/>
  <c r="K161" i="12"/>
  <c r="K152" i="12"/>
  <c r="K143" i="12"/>
  <c r="K134" i="12"/>
  <c r="K125" i="12"/>
  <c r="K249" i="12"/>
  <c r="K339" i="12"/>
  <c r="K191" i="12"/>
  <c r="K173" i="12"/>
  <c r="K155" i="12"/>
  <c r="K137" i="12"/>
  <c r="K277" i="12"/>
  <c r="K231" i="12"/>
  <c r="K312" i="12"/>
  <c r="K258" i="12"/>
  <c r="K204" i="12"/>
  <c r="K194" i="12"/>
  <c r="K185" i="12"/>
  <c r="K176" i="12"/>
  <c r="K167" i="12"/>
  <c r="K158" i="12"/>
  <c r="K149" i="12"/>
  <c r="K140" i="12"/>
  <c r="K131" i="12"/>
  <c r="K122" i="12"/>
  <c r="K115" i="12"/>
  <c r="K360" i="12"/>
  <c r="K213" i="12"/>
  <c r="K222" i="12"/>
  <c r="K182" i="12"/>
  <c r="K164" i="12"/>
  <c r="K146" i="12"/>
  <c r="K128" i="12"/>
  <c r="K264" i="12"/>
  <c r="M133" i="13"/>
  <c r="K133" i="13"/>
  <c r="J133" i="13" s="1"/>
  <c r="O133" i="13" s="1"/>
  <c r="C114" i="12"/>
  <c r="D114" i="12" s="1"/>
  <c r="E114" i="12"/>
  <c r="J104" i="11"/>
  <c r="H104" i="11"/>
  <c r="G104" i="11" s="1"/>
  <c r="C115" i="12" l="1"/>
  <c r="D115" i="12" s="1"/>
  <c r="E115" i="12" s="1"/>
  <c r="C126" i="13"/>
  <c r="D126" i="13" s="1"/>
  <c r="E126" i="13" s="1"/>
  <c r="M111" i="12"/>
  <c r="N111" i="12" s="1"/>
  <c r="K134" i="13"/>
  <c r="J134" i="13" s="1"/>
  <c r="O134" i="13" s="1"/>
  <c r="M134" i="13"/>
  <c r="H105" i="11"/>
  <c r="G105" i="11" s="1"/>
  <c r="J105" i="11"/>
  <c r="C127" i="13" l="1"/>
  <c r="D127" i="13" s="1"/>
  <c r="E127" i="13"/>
  <c r="C116" i="12"/>
  <c r="D116" i="12" s="1"/>
  <c r="E116" i="12" s="1"/>
  <c r="K135" i="13"/>
  <c r="J135" i="13" s="1"/>
  <c r="O135" i="13" s="1"/>
  <c r="M135" i="13"/>
  <c r="L112" i="12"/>
  <c r="M112" i="12" s="1"/>
  <c r="N112" i="12" s="1"/>
  <c r="J106" i="11"/>
  <c r="H106" i="11"/>
  <c r="G106" i="11" s="1"/>
  <c r="C117" i="12" l="1"/>
  <c r="D117" i="12" s="1"/>
  <c r="E117" i="12" s="1"/>
  <c r="L113" i="12"/>
  <c r="M113" i="12" s="1"/>
  <c r="N113" i="12" s="1"/>
  <c r="M136" i="13"/>
  <c r="K136" i="13"/>
  <c r="J136" i="13" s="1"/>
  <c r="O136" i="13" s="1"/>
  <c r="J107" i="11"/>
  <c r="H107" i="11"/>
  <c r="G107" i="11" s="1"/>
  <c r="C128" i="13"/>
  <c r="D128" i="13" s="1"/>
  <c r="E128" i="13" s="1"/>
  <c r="L114" i="12" l="1"/>
  <c r="M114" i="12" s="1"/>
  <c r="N114" i="12" s="1"/>
  <c r="E129" i="13"/>
  <c r="C129" i="13"/>
  <c r="D129" i="13" s="1"/>
  <c r="C118" i="12"/>
  <c r="D118" i="12" s="1"/>
  <c r="E118" i="12" s="1"/>
  <c r="M137" i="13"/>
  <c r="K137" i="13"/>
  <c r="J137" i="13" s="1"/>
  <c r="O137" i="13" s="1"/>
  <c r="H108" i="11"/>
  <c r="G108" i="11" s="1"/>
  <c r="J108" i="11"/>
  <c r="C119" i="12" l="1"/>
  <c r="D119" i="12" s="1"/>
  <c r="E119" i="12" s="1"/>
  <c r="J109" i="11"/>
  <c r="H109" i="11"/>
  <c r="G109" i="11" s="1"/>
  <c r="L115" i="12"/>
  <c r="M115" i="12" s="1"/>
  <c r="N115" i="12" s="1"/>
  <c r="C130" i="13"/>
  <c r="D130" i="13" s="1"/>
  <c r="E130" i="13"/>
  <c r="K138" i="13"/>
  <c r="J138" i="13" s="1"/>
  <c r="O138" i="13" s="1"/>
  <c r="M138" i="13"/>
  <c r="L116" i="12" l="1"/>
  <c r="M116" i="12" s="1"/>
  <c r="N116" i="12" s="1"/>
  <c r="C120" i="12"/>
  <c r="D120" i="12" s="1"/>
  <c r="E120" i="12"/>
  <c r="M139" i="13"/>
  <c r="K139" i="13"/>
  <c r="J139" i="13" s="1"/>
  <c r="O139" i="13" s="1"/>
  <c r="J110" i="11"/>
  <c r="H110" i="11"/>
  <c r="G110" i="11" s="1"/>
  <c r="C131" i="13"/>
  <c r="D131" i="13" s="1"/>
  <c r="E131" i="13" s="1"/>
  <c r="C132" i="13" l="1"/>
  <c r="D132" i="13" s="1"/>
  <c r="E132" i="13" s="1"/>
  <c r="L117" i="12"/>
  <c r="M117" i="12" s="1"/>
  <c r="N117" i="12" s="1"/>
  <c r="M140" i="13"/>
  <c r="K140" i="13"/>
  <c r="J140" i="13" s="1"/>
  <c r="O140" i="13" s="1"/>
  <c r="C121" i="12"/>
  <c r="D121" i="12" s="1"/>
  <c r="E121" i="12" s="1"/>
  <c r="H111" i="11"/>
  <c r="G111" i="11" s="1"/>
  <c r="J111" i="11"/>
  <c r="C122" i="12" l="1"/>
  <c r="D122" i="12" s="1"/>
  <c r="E122" i="12" s="1"/>
  <c r="C133" i="13"/>
  <c r="D133" i="13" s="1"/>
  <c r="E133" i="13" s="1"/>
  <c r="K141" i="13"/>
  <c r="J141" i="13" s="1"/>
  <c r="O141" i="13" s="1"/>
  <c r="M141" i="13"/>
  <c r="J112" i="11"/>
  <c r="H112" i="11"/>
  <c r="G112" i="11" s="1"/>
  <c r="L118" i="12"/>
  <c r="M118" i="12" s="1"/>
  <c r="N118" i="12" s="1"/>
  <c r="C134" i="13" l="1"/>
  <c r="D134" i="13" s="1"/>
  <c r="E134" i="13" s="1"/>
  <c r="L119" i="12"/>
  <c r="M119" i="12" s="1"/>
  <c r="N119" i="12" s="1"/>
  <c r="C123" i="12"/>
  <c r="D123" i="12" s="1"/>
  <c r="E123" i="12"/>
  <c r="M142" i="13"/>
  <c r="K142" i="13"/>
  <c r="J142" i="13" s="1"/>
  <c r="O142" i="13" s="1"/>
  <c r="J113" i="11"/>
  <c r="H113" i="11"/>
  <c r="G113" i="11" s="1"/>
  <c r="C135" i="13" l="1"/>
  <c r="D135" i="13" s="1"/>
  <c r="E135" i="13" s="1"/>
  <c r="L120" i="12"/>
  <c r="M120" i="12" s="1"/>
  <c r="N120" i="12" s="1"/>
  <c r="C124" i="12"/>
  <c r="D124" i="12" s="1"/>
  <c r="E124" i="12" s="1"/>
  <c r="H114" i="11"/>
  <c r="G114" i="11" s="1"/>
  <c r="J114" i="11"/>
  <c r="K143" i="13"/>
  <c r="J143" i="13" s="1"/>
  <c r="O143" i="13" s="1"/>
  <c r="M143" i="13"/>
  <c r="C125" i="12" l="1"/>
  <c r="D125" i="12" s="1"/>
  <c r="E125" i="12" s="1"/>
  <c r="L121" i="12"/>
  <c r="M121" i="12" s="1"/>
  <c r="N121" i="12" s="1"/>
  <c r="C136" i="13"/>
  <c r="D136" i="13" s="1"/>
  <c r="E136" i="13" s="1"/>
  <c r="K144" i="13"/>
  <c r="J144" i="13" s="1"/>
  <c r="O144" i="13" s="1"/>
  <c r="M144" i="13"/>
  <c r="J115" i="11"/>
  <c r="H115" i="11"/>
  <c r="G115" i="11" s="1"/>
  <c r="C126" i="12" l="1"/>
  <c r="D126" i="12" s="1"/>
  <c r="E126" i="12" s="1"/>
  <c r="E137" i="13"/>
  <c r="C137" i="13"/>
  <c r="D137" i="13" s="1"/>
  <c r="L122" i="12"/>
  <c r="M122" i="12" s="1"/>
  <c r="N122" i="12" s="1"/>
  <c r="J116" i="11"/>
  <c r="H116" i="11"/>
  <c r="G116" i="11" s="1"/>
  <c r="M145" i="13"/>
  <c r="K145" i="13"/>
  <c r="J145" i="13" s="1"/>
  <c r="O145" i="13" s="1"/>
  <c r="L123" i="12" l="1"/>
  <c r="M123" i="12" s="1"/>
  <c r="N123" i="12" s="1"/>
  <c r="C127" i="12"/>
  <c r="D127" i="12" s="1"/>
  <c r="E127" i="12" s="1"/>
  <c r="C138" i="13"/>
  <c r="D138" i="13" s="1"/>
  <c r="E138" i="13" s="1"/>
  <c r="K146" i="13"/>
  <c r="J146" i="13" s="1"/>
  <c r="O146" i="13" s="1"/>
  <c r="M146" i="13"/>
  <c r="H117" i="11"/>
  <c r="G117" i="11" s="1"/>
  <c r="J117" i="11"/>
  <c r="C139" i="13" l="1"/>
  <c r="D139" i="13" s="1"/>
  <c r="E139" i="13"/>
  <c r="C128" i="12"/>
  <c r="D128" i="12" s="1"/>
  <c r="E128" i="12" s="1"/>
  <c r="L124" i="12"/>
  <c r="M124" i="12" s="1"/>
  <c r="N124" i="12" s="1"/>
  <c r="J118" i="11"/>
  <c r="H118" i="11"/>
  <c r="G118" i="11" s="1"/>
  <c r="K147" i="13"/>
  <c r="J147" i="13" s="1"/>
  <c r="O147" i="13" s="1"/>
  <c r="M147" i="13"/>
  <c r="L125" i="12" l="1"/>
  <c r="M125" i="12" s="1"/>
  <c r="N125" i="12" s="1"/>
  <c r="C129" i="12"/>
  <c r="D129" i="12" s="1"/>
  <c r="E129" i="12" s="1"/>
  <c r="M148" i="13"/>
  <c r="K148" i="13"/>
  <c r="J148" i="13" s="1"/>
  <c r="O148" i="13" s="1"/>
  <c r="C140" i="13"/>
  <c r="D140" i="13" s="1"/>
  <c r="E140" i="13" s="1"/>
  <c r="J119" i="11"/>
  <c r="H119" i="11"/>
  <c r="G119" i="11" s="1"/>
  <c r="C141" i="13" l="1"/>
  <c r="D141" i="13" s="1"/>
  <c r="E141" i="13"/>
  <c r="C130" i="12"/>
  <c r="D130" i="12" s="1"/>
  <c r="E130" i="12"/>
  <c r="M149" i="13"/>
  <c r="K149" i="13"/>
  <c r="J149" i="13" s="1"/>
  <c r="O149" i="13" s="1"/>
  <c r="H120" i="11"/>
  <c r="G120" i="11" s="1"/>
  <c r="J120" i="11"/>
  <c r="L126" i="12"/>
  <c r="M126" i="12" s="1"/>
  <c r="N126" i="12" s="1"/>
  <c r="L127" i="12" l="1"/>
  <c r="M127" i="12" s="1"/>
  <c r="N127" i="12" s="1"/>
  <c r="K150" i="13"/>
  <c r="J150" i="13" s="1"/>
  <c r="O150" i="13" s="1"/>
  <c r="M150" i="13"/>
  <c r="C131" i="12"/>
  <c r="D131" i="12" s="1"/>
  <c r="E131" i="12" s="1"/>
  <c r="J121" i="11"/>
  <c r="H121" i="11"/>
  <c r="G121" i="11" s="1"/>
  <c r="C142" i="13"/>
  <c r="D142" i="13" s="1"/>
  <c r="E142" i="13"/>
  <c r="L128" i="12" l="1"/>
  <c r="M128" i="12" s="1"/>
  <c r="N128" i="12" s="1"/>
  <c r="C132" i="12"/>
  <c r="D132" i="12" s="1"/>
  <c r="E132" i="12" s="1"/>
  <c r="C143" i="13"/>
  <c r="D143" i="13" s="1"/>
  <c r="E143" i="13" s="1"/>
  <c r="M151" i="13"/>
  <c r="K151" i="13"/>
  <c r="J151" i="13" s="1"/>
  <c r="O151" i="13" s="1"/>
  <c r="J122" i="11"/>
  <c r="H122" i="11"/>
  <c r="G122" i="11" s="1"/>
  <c r="C144" i="13" l="1"/>
  <c r="D144" i="13" s="1"/>
  <c r="E144" i="13" s="1"/>
  <c r="C133" i="12"/>
  <c r="D133" i="12" s="1"/>
  <c r="E133" i="12" s="1"/>
  <c r="H123" i="11"/>
  <c r="G123" i="11" s="1"/>
  <c r="J123" i="11"/>
  <c r="L129" i="12"/>
  <c r="M129" i="12" s="1"/>
  <c r="N129" i="12" s="1"/>
  <c r="K152" i="13"/>
  <c r="J152" i="13" s="1"/>
  <c r="O152" i="13" s="1"/>
  <c r="M152" i="13"/>
  <c r="C134" i="12" l="1"/>
  <c r="D134" i="12" s="1"/>
  <c r="E134" i="12" s="1"/>
  <c r="L130" i="12"/>
  <c r="M130" i="12" s="1"/>
  <c r="N130" i="12" s="1"/>
  <c r="C145" i="13"/>
  <c r="D145" i="13" s="1"/>
  <c r="E145" i="13"/>
  <c r="K153" i="13"/>
  <c r="J153" i="13" s="1"/>
  <c r="O153" i="13" s="1"/>
  <c r="M153" i="13"/>
  <c r="J124" i="11"/>
  <c r="H124" i="11"/>
  <c r="G124" i="11" s="1"/>
  <c r="L131" i="12" l="1"/>
  <c r="M131" i="12" s="1"/>
  <c r="N131" i="12" s="1"/>
  <c r="C135" i="12"/>
  <c r="D135" i="12" s="1"/>
  <c r="E135" i="12" s="1"/>
  <c r="C146" i="13"/>
  <c r="D146" i="13" s="1"/>
  <c r="E146" i="13" s="1"/>
  <c r="J125" i="11"/>
  <c r="H125" i="11"/>
  <c r="G125" i="11" s="1"/>
  <c r="M154" i="13"/>
  <c r="K154" i="13"/>
  <c r="J154" i="13" s="1"/>
  <c r="O154" i="13" s="1"/>
  <c r="C147" i="13" l="1"/>
  <c r="D147" i="13" s="1"/>
  <c r="E147" i="13" s="1"/>
  <c r="C136" i="12"/>
  <c r="D136" i="12" s="1"/>
  <c r="E136" i="12"/>
  <c r="L132" i="12"/>
  <c r="M132" i="12" s="1"/>
  <c r="N132" i="12" s="1"/>
  <c r="M155" i="13"/>
  <c r="K155" i="13"/>
  <c r="J155" i="13" s="1"/>
  <c r="O155" i="13" s="1"/>
  <c r="H126" i="11"/>
  <c r="G126" i="11" s="1"/>
  <c r="J126" i="11"/>
  <c r="L133" i="12" l="1"/>
  <c r="M133" i="12" s="1"/>
  <c r="N133" i="12" s="1"/>
  <c r="C148" i="13"/>
  <c r="D148" i="13" s="1"/>
  <c r="E148" i="13" s="1"/>
  <c r="J127" i="11"/>
  <c r="H127" i="11"/>
  <c r="G127" i="11" s="1"/>
  <c r="C137" i="12"/>
  <c r="D137" i="12" s="1"/>
  <c r="E137" i="12" s="1"/>
  <c r="K156" i="13"/>
  <c r="J156" i="13" s="1"/>
  <c r="O156" i="13" s="1"/>
  <c r="M156" i="13"/>
  <c r="C138" i="12" l="1"/>
  <c r="D138" i="12" s="1"/>
  <c r="E138" i="12" s="1"/>
  <c r="C149" i="13"/>
  <c r="D149" i="13" s="1"/>
  <c r="E149" i="13" s="1"/>
  <c r="J128" i="11"/>
  <c r="H128" i="11"/>
  <c r="G128" i="11" s="1"/>
  <c r="M157" i="13"/>
  <c r="K157" i="13"/>
  <c r="J157" i="13" s="1"/>
  <c r="O157" i="13" s="1"/>
  <c r="L134" i="12"/>
  <c r="M134" i="12" s="1"/>
  <c r="N134" i="12" s="1"/>
  <c r="C150" i="13" l="1"/>
  <c r="D150" i="13" s="1"/>
  <c r="E150" i="13" s="1"/>
  <c r="C139" i="12"/>
  <c r="D139" i="12" s="1"/>
  <c r="E139" i="12" s="1"/>
  <c r="H129" i="11"/>
  <c r="G129" i="11" s="1"/>
  <c r="J129" i="11"/>
  <c r="L135" i="12"/>
  <c r="M135" i="12" s="1"/>
  <c r="N135" i="12" s="1"/>
  <c r="M158" i="13"/>
  <c r="K158" i="13"/>
  <c r="J158" i="13" s="1"/>
  <c r="O158" i="13" s="1"/>
  <c r="L136" i="12" l="1"/>
  <c r="M136" i="12" s="1"/>
  <c r="N136" i="12" s="1"/>
  <c r="E140" i="12"/>
  <c r="C140" i="12"/>
  <c r="D140" i="12" s="1"/>
  <c r="C151" i="13"/>
  <c r="D151" i="13" s="1"/>
  <c r="E151" i="13" s="1"/>
  <c r="J130" i="11"/>
  <c r="H130" i="11"/>
  <c r="G130" i="11" s="1"/>
  <c r="K159" i="13"/>
  <c r="J159" i="13" s="1"/>
  <c r="O159" i="13" s="1"/>
  <c r="M159" i="13"/>
  <c r="C152" i="13" l="1"/>
  <c r="D152" i="13" s="1"/>
  <c r="E152" i="13" s="1"/>
  <c r="L137" i="12"/>
  <c r="M137" i="12" s="1"/>
  <c r="N137" i="12" s="1"/>
  <c r="M160" i="13"/>
  <c r="K160" i="13"/>
  <c r="J160" i="13" s="1"/>
  <c r="O160" i="13" s="1"/>
  <c r="C141" i="12"/>
  <c r="D141" i="12" s="1"/>
  <c r="E141" i="12"/>
  <c r="J131" i="11"/>
  <c r="H131" i="11"/>
  <c r="G131" i="11" s="1"/>
  <c r="C153" i="13" l="1"/>
  <c r="D153" i="13" s="1"/>
  <c r="E153" i="13" s="1"/>
  <c r="L138" i="12"/>
  <c r="M138" i="12" s="1"/>
  <c r="N138" i="12" s="1"/>
  <c r="C142" i="12"/>
  <c r="D142" i="12" s="1"/>
  <c r="E142" i="12"/>
  <c r="K161" i="13"/>
  <c r="J161" i="13" s="1"/>
  <c r="O161" i="13" s="1"/>
  <c r="M161" i="13"/>
  <c r="H132" i="11"/>
  <c r="G132" i="11" s="1"/>
  <c r="J132" i="11"/>
  <c r="C154" i="13" l="1"/>
  <c r="D154" i="13" s="1"/>
  <c r="E154" i="13" s="1"/>
  <c r="L139" i="12"/>
  <c r="M139" i="12" s="1"/>
  <c r="N139" i="12" s="1"/>
  <c r="C143" i="12"/>
  <c r="D143" i="12" s="1"/>
  <c r="E143" i="12" s="1"/>
  <c r="J133" i="11"/>
  <c r="H133" i="11"/>
  <c r="G133" i="11" s="1"/>
  <c r="K162" i="13"/>
  <c r="J162" i="13" s="1"/>
  <c r="O162" i="13" s="1"/>
  <c r="M162" i="13"/>
  <c r="E155" i="13" l="1"/>
  <c r="C155" i="13"/>
  <c r="D155" i="13" s="1"/>
  <c r="C144" i="12"/>
  <c r="D144" i="12" s="1"/>
  <c r="E144" i="12"/>
  <c r="L140" i="12"/>
  <c r="M140" i="12" s="1"/>
  <c r="N140" i="12" s="1"/>
  <c r="M163" i="13"/>
  <c r="K163" i="13"/>
  <c r="J163" i="13" s="1"/>
  <c r="O163" i="13" s="1"/>
  <c r="J134" i="11"/>
  <c r="H134" i="11"/>
  <c r="G134" i="11" s="1"/>
  <c r="L141" i="12" l="1"/>
  <c r="M141" i="12" s="1"/>
  <c r="N141" i="12" s="1"/>
  <c r="C145" i="12"/>
  <c r="D145" i="12" s="1"/>
  <c r="E145" i="12" s="1"/>
  <c r="H135" i="11"/>
  <c r="G135" i="11" s="1"/>
  <c r="J135" i="11"/>
  <c r="M164" i="13"/>
  <c r="K164" i="13"/>
  <c r="J164" i="13" s="1"/>
  <c r="O164" i="13" s="1"/>
  <c r="C156" i="13"/>
  <c r="D156" i="13" s="1"/>
  <c r="E156" i="13" s="1"/>
  <c r="C157" i="13" l="1"/>
  <c r="D157" i="13" s="1"/>
  <c r="E157" i="13" s="1"/>
  <c r="C146" i="12"/>
  <c r="D146" i="12" s="1"/>
  <c r="E146" i="12" s="1"/>
  <c r="L142" i="12"/>
  <c r="M142" i="12" s="1"/>
  <c r="N142" i="12" s="1"/>
  <c r="J136" i="11"/>
  <c r="H136" i="11"/>
  <c r="G136" i="11" s="1"/>
  <c r="M165" i="13"/>
  <c r="K165" i="13"/>
  <c r="J165" i="13" s="1"/>
  <c r="O165" i="13" s="1"/>
  <c r="C147" i="12" l="1"/>
  <c r="D147" i="12" s="1"/>
  <c r="E147" i="12" s="1"/>
  <c r="C158" i="13"/>
  <c r="D158" i="13" s="1"/>
  <c r="E158" i="13" s="1"/>
  <c r="L143" i="12"/>
  <c r="M143" i="12" s="1"/>
  <c r="N143" i="12" s="1"/>
  <c r="K166" i="13"/>
  <c r="J166" i="13" s="1"/>
  <c r="O166" i="13" s="1"/>
  <c r="M166" i="13"/>
  <c r="J137" i="11"/>
  <c r="H137" i="11"/>
  <c r="G137" i="11" s="1"/>
  <c r="C148" i="12" l="1"/>
  <c r="D148" i="12" s="1"/>
  <c r="E148" i="12" s="1"/>
  <c r="C159" i="13"/>
  <c r="D159" i="13" s="1"/>
  <c r="E159" i="13"/>
  <c r="L144" i="12"/>
  <c r="M144" i="12" s="1"/>
  <c r="N144" i="12" s="1"/>
  <c r="H138" i="11"/>
  <c r="G138" i="11" s="1"/>
  <c r="J138" i="11"/>
  <c r="M167" i="13"/>
  <c r="K167" i="13"/>
  <c r="J167" i="13" s="1"/>
  <c r="O167" i="13" s="1"/>
  <c r="L145" i="12" l="1"/>
  <c r="M145" i="12" s="1"/>
  <c r="N145" i="12" s="1"/>
  <c r="C149" i="12"/>
  <c r="D149" i="12" s="1"/>
  <c r="E149" i="12" s="1"/>
  <c r="C160" i="13"/>
  <c r="D160" i="13" s="1"/>
  <c r="E160" i="13" s="1"/>
  <c r="K168" i="13"/>
  <c r="J168" i="13" s="1"/>
  <c r="O168" i="13" s="1"/>
  <c r="M168" i="13"/>
  <c r="J139" i="11"/>
  <c r="H139" i="11"/>
  <c r="G139" i="11" s="1"/>
  <c r="C161" i="13" l="1"/>
  <c r="D161" i="13" s="1"/>
  <c r="E161" i="13" s="1"/>
  <c r="C150" i="12"/>
  <c r="D150" i="12" s="1"/>
  <c r="E150" i="12"/>
  <c r="J140" i="11"/>
  <c r="H140" i="11"/>
  <c r="G140" i="11" s="1"/>
  <c r="K169" i="13"/>
  <c r="J169" i="13" s="1"/>
  <c r="O169" i="13" s="1"/>
  <c r="M169" i="13"/>
  <c r="L146" i="12"/>
  <c r="M146" i="12" s="1"/>
  <c r="N146" i="12" s="1"/>
  <c r="C162" i="13" l="1"/>
  <c r="D162" i="13" s="1"/>
  <c r="E162" i="13" s="1"/>
  <c r="C151" i="12"/>
  <c r="D151" i="12" s="1"/>
  <c r="E151" i="12" s="1"/>
  <c r="L147" i="12"/>
  <c r="M147" i="12" s="1"/>
  <c r="N147" i="12" s="1"/>
  <c r="H141" i="11"/>
  <c r="G141" i="11" s="1"/>
  <c r="J141" i="11"/>
  <c r="M170" i="13"/>
  <c r="K170" i="13"/>
  <c r="J170" i="13" s="1"/>
  <c r="O170" i="13" s="1"/>
  <c r="L148" i="12" l="1"/>
  <c r="M148" i="12" s="1"/>
  <c r="N148" i="12"/>
  <c r="C152" i="12"/>
  <c r="D152" i="12" s="1"/>
  <c r="E152" i="12" s="1"/>
  <c r="C163" i="13"/>
  <c r="D163" i="13" s="1"/>
  <c r="E163" i="13" s="1"/>
  <c r="M171" i="13"/>
  <c r="K171" i="13"/>
  <c r="J171" i="13" s="1"/>
  <c r="O171" i="13" s="1"/>
  <c r="J142" i="11"/>
  <c r="H142" i="11"/>
  <c r="G142" i="11" s="1"/>
  <c r="C164" i="13" l="1"/>
  <c r="D164" i="13" s="1"/>
  <c r="E164" i="13" s="1"/>
  <c r="C153" i="12"/>
  <c r="D153" i="12" s="1"/>
  <c r="E153" i="12" s="1"/>
  <c r="L149" i="12"/>
  <c r="M149" i="12" s="1"/>
  <c r="N149" i="12"/>
  <c r="J143" i="11"/>
  <c r="H143" i="11"/>
  <c r="G143" i="11" s="1"/>
  <c r="K172" i="13"/>
  <c r="J172" i="13" s="1"/>
  <c r="O172" i="13" s="1"/>
  <c r="M172" i="13"/>
  <c r="C165" i="13" l="1"/>
  <c r="D165" i="13" s="1"/>
  <c r="E165" i="13"/>
  <c r="C154" i="12"/>
  <c r="D154" i="12" s="1"/>
  <c r="E154" i="12"/>
  <c r="M173" i="13"/>
  <c r="K173" i="13"/>
  <c r="J173" i="13" s="1"/>
  <c r="O173" i="13" s="1"/>
  <c r="L150" i="12"/>
  <c r="M150" i="12" s="1"/>
  <c r="N150" i="12" s="1"/>
  <c r="H144" i="11"/>
  <c r="G144" i="11" s="1"/>
  <c r="J144" i="11"/>
  <c r="L151" i="12" l="1"/>
  <c r="M151" i="12" s="1"/>
  <c r="N151" i="12" s="1"/>
  <c r="M174" i="13"/>
  <c r="K174" i="13"/>
  <c r="J174" i="13" s="1"/>
  <c r="O174" i="13" s="1"/>
  <c r="C155" i="12"/>
  <c r="D155" i="12" s="1"/>
  <c r="E155" i="12" s="1"/>
  <c r="J145" i="11"/>
  <c r="H145" i="11"/>
  <c r="G145" i="11" s="1"/>
  <c r="C166" i="13"/>
  <c r="D166" i="13" s="1"/>
  <c r="E166" i="13" s="1"/>
  <c r="C156" i="12" l="1"/>
  <c r="D156" i="12" s="1"/>
  <c r="E156" i="12"/>
  <c r="C167" i="13"/>
  <c r="D167" i="13" s="1"/>
  <c r="E167" i="13" s="1"/>
  <c r="L152" i="12"/>
  <c r="M152" i="12" s="1"/>
  <c r="N152" i="12" s="1"/>
  <c r="K175" i="13"/>
  <c r="J175" i="13" s="1"/>
  <c r="O175" i="13" s="1"/>
  <c r="M175" i="13"/>
  <c r="J146" i="11"/>
  <c r="H146" i="11"/>
  <c r="G146" i="11" s="1"/>
  <c r="E168" i="13" l="1"/>
  <c r="C168" i="13"/>
  <c r="D168" i="13" s="1"/>
  <c r="L153" i="12"/>
  <c r="M153" i="12" s="1"/>
  <c r="N153" i="12" s="1"/>
  <c r="H147" i="11"/>
  <c r="G147" i="11" s="1"/>
  <c r="J147" i="11"/>
  <c r="M176" i="13"/>
  <c r="K176" i="13"/>
  <c r="J176" i="13" s="1"/>
  <c r="O176" i="13" s="1"/>
  <c r="C157" i="12"/>
  <c r="D157" i="12" s="1"/>
  <c r="E157" i="12" s="1"/>
  <c r="L154" i="12" l="1"/>
  <c r="M154" i="12" s="1"/>
  <c r="N154" i="12" s="1"/>
  <c r="C158" i="12"/>
  <c r="D158" i="12" s="1"/>
  <c r="E158" i="12" s="1"/>
  <c r="J148" i="11"/>
  <c r="H148" i="11"/>
  <c r="G148" i="11" s="1"/>
  <c r="M177" i="13"/>
  <c r="K177" i="13"/>
  <c r="J177" i="13" s="1"/>
  <c r="O177" i="13" s="1"/>
  <c r="C169" i="13"/>
  <c r="D169" i="13" s="1"/>
  <c r="E169" i="13" s="1"/>
  <c r="C159" i="12" l="1"/>
  <c r="D159" i="12" s="1"/>
  <c r="E159" i="12"/>
  <c r="C170" i="13"/>
  <c r="D170" i="13" s="1"/>
  <c r="E170" i="13" s="1"/>
  <c r="J149" i="11"/>
  <c r="H149" i="11"/>
  <c r="G149" i="11" s="1"/>
  <c r="L155" i="12"/>
  <c r="M155" i="12" s="1"/>
  <c r="N155" i="12" s="1"/>
  <c r="K178" i="13"/>
  <c r="J178" i="13" s="1"/>
  <c r="O178" i="13" s="1"/>
  <c r="M178" i="13"/>
  <c r="C171" i="13" l="1"/>
  <c r="D171" i="13" s="1"/>
  <c r="E171" i="13"/>
  <c r="H150" i="11"/>
  <c r="G150" i="11" s="1"/>
  <c r="J150" i="11"/>
  <c r="M179" i="13"/>
  <c r="K179" i="13"/>
  <c r="J179" i="13" s="1"/>
  <c r="O179" i="13" s="1"/>
  <c r="C160" i="12"/>
  <c r="D160" i="12" s="1"/>
  <c r="E160" i="12"/>
  <c r="L156" i="12"/>
  <c r="M156" i="12" s="1"/>
  <c r="N156" i="12" s="1"/>
  <c r="L157" i="12" l="1"/>
  <c r="M157" i="12" s="1"/>
  <c r="N157" i="12" s="1"/>
  <c r="J151" i="11"/>
  <c r="H151" i="11"/>
  <c r="G151" i="11" s="1"/>
  <c r="K180" i="13"/>
  <c r="J180" i="13" s="1"/>
  <c r="O180" i="13" s="1"/>
  <c r="M180" i="13"/>
  <c r="E161" i="12"/>
  <c r="C161" i="12"/>
  <c r="D161" i="12" s="1"/>
  <c r="C172" i="13"/>
  <c r="D172" i="13" s="1"/>
  <c r="E172" i="13" s="1"/>
  <c r="C173" i="13" l="1"/>
  <c r="D173" i="13" s="1"/>
  <c r="E173" i="13" s="1"/>
  <c r="L158" i="12"/>
  <c r="M158" i="12" s="1"/>
  <c r="N158" i="12" s="1"/>
  <c r="J152" i="11"/>
  <c r="H152" i="11"/>
  <c r="G152" i="11" s="1"/>
  <c r="K181" i="13"/>
  <c r="J181" i="13" s="1"/>
  <c r="O181" i="13" s="1"/>
  <c r="M181" i="13"/>
  <c r="C162" i="12"/>
  <c r="D162" i="12" s="1"/>
  <c r="E162" i="12" s="1"/>
  <c r="L159" i="12" l="1"/>
  <c r="M159" i="12" s="1"/>
  <c r="N159" i="12" s="1"/>
  <c r="C163" i="12"/>
  <c r="D163" i="12" s="1"/>
  <c r="E163" i="12" s="1"/>
  <c r="C174" i="13"/>
  <c r="D174" i="13" s="1"/>
  <c r="E174" i="13"/>
  <c r="H153" i="11"/>
  <c r="C58" i="3"/>
  <c r="J153" i="11"/>
  <c r="D59" i="3" s="1"/>
  <c r="F59" i="3" s="1"/>
  <c r="M182" i="13"/>
  <c r="K182" i="13"/>
  <c r="J182" i="13" s="1"/>
  <c r="O182" i="13" s="1"/>
  <c r="D58" i="3" l="1"/>
  <c r="F58" i="3" s="1"/>
  <c r="F60" i="3" s="1"/>
  <c r="W3" i="3" s="1"/>
  <c r="E164" i="12"/>
  <c r="C164" i="12"/>
  <c r="D164" i="12" s="1"/>
  <c r="G153" i="11"/>
  <c r="G154" i="11" s="1"/>
  <c r="H154" i="11"/>
  <c r="E175" i="13"/>
  <c r="C175" i="13"/>
  <c r="D175" i="13" s="1"/>
  <c r="L160" i="12"/>
  <c r="M160" i="12" s="1"/>
  <c r="N160" i="12" s="1"/>
  <c r="M183" i="13"/>
  <c r="K183" i="13"/>
  <c r="J183" i="13" s="1"/>
  <c r="O183" i="13" s="1"/>
  <c r="L161" i="12" l="1"/>
  <c r="M161" i="12" s="1"/>
  <c r="N161" i="12" s="1"/>
  <c r="K184" i="13"/>
  <c r="J184" i="13" s="1"/>
  <c r="O184" i="13" s="1"/>
  <c r="M184" i="13"/>
  <c r="C176" i="13"/>
  <c r="D176" i="13" s="1"/>
  <c r="E176" i="13" s="1"/>
  <c r="C165" i="12"/>
  <c r="D165" i="12" s="1"/>
  <c r="E165" i="12"/>
  <c r="C177" i="13" l="1"/>
  <c r="D177" i="13" s="1"/>
  <c r="E177" i="13" s="1"/>
  <c r="M185" i="13"/>
  <c r="K185" i="13"/>
  <c r="J185" i="13" s="1"/>
  <c r="O185" i="13" s="1"/>
  <c r="C166" i="12"/>
  <c r="D166" i="12" s="1"/>
  <c r="E166" i="12" s="1"/>
  <c r="L162" i="12"/>
  <c r="M162" i="12" s="1"/>
  <c r="N162" i="12" s="1"/>
  <c r="L163" i="12" l="1"/>
  <c r="M163" i="12" s="1"/>
  <c r="N163" i="12" s="1"/>
  <c r="E167" i="12"/>
  <c r="C167" i="12"/>
  <c r="D167" i="12" s="1"/>
  <c r="C178" i="13"/>
  <c r="D178" i="13" s="1"/>
  <c r="E178" i="13" s="1"/>
  <c r="K186" i="13"/>
  <c r="J186" i="13" s="1"/>
  <c r="O186" i="13" s="1"/>
  <c r="M186" i="13"/>
  <c r="C179" i="13" l="1"/>
  <c r="D179" i="13" s="1"/>
  <c r="E179" i="13" s="1"/>
  <c r="C168" i="12"/>
  <c r="D168" i="12" s="1"/>
  <c r="E168" i="12" s="1"/>
  <c r="L164" i="12"/>
  <c r="M164" i="12" s="1"/>
  <c r="N164" i="12" s="1"/>
  <c r="K187" i="13"/>
  <c r="J187" i="13" s="1"/>
  <c r="O187" i="13" s="1"/>
  <c r="M187" i="13"/>
  <c r="L165" i="12" l="1"/>
  <c r="M165" i="12" s="1"/>
  <c r="N165" i="12" s="1"/>
  <c r="C169" i="12"/>
  <c r="D169" i="12" s="1"/>
  <c r="E169" i="12" s="1"/>
  <c r="C180" i="13"/>
  <c r="D180" i="13" s="1"/>
  <c r="E180" i="13" s="1"/>
  <c r="M188" i="13"/>
  <c r="K188" i="13"/>
  <c r="J188" i="13" s="1"/>
  <c r="O188" i="13" s="1"/>
  <c r="C181" i="13" l="1"/>
  <c r="D181" i="13" s="1"/>
  <c r="E181" i="13" s="1"/>
  <c r="C170" i="12"/>
  <c r="D170" i="12" s="1"/>
  <c r="E170" i="12" s="1"/>
  <c r="L166" i="12"/>
  <c r="M166" i="12" s="1"/>
  <c r="N166" i="12" s="1"/>
  <c r="K189" i="13"/>
  <c r="J189" i="13" s="1"/>
  <c r="O189" i="13" s="1"/>
  <c r="M189" i="13"/>
  <c r="C182" i="13" l="1"/>
  <c r="D182" i="13" s="1"/>
  <c r="E182" i="13"/>
  <c r="C171" i="12"/>
  <c r="D171" i="12" s="1"/>
  <c r="E171" i="12"/>
  <c r="L167" i="12"/>
  <c r="M167" i="12" s="1"/>
  <c r="N167" i="12" s="1"/>
  <c r="K190" i="13"/>
  <c r="J190" i="13" s="1"/>
  <c r="O190" i="13" s="1"/>
  <c r="M190" i="13"/>
  <c r="C172" i="12" l="1"/>
  <c r="D172" i="12" s="1"/>
  <c r="E172" i="12"/>
  <c r="M191" i="13"/>
  <c r="K191" i="13"/>
  <c r="J191" i="13" s="1"/>
  <c r="O191" i="13" s="1"/>
  <c r="L168" i="12"/>
  <c r="M168" i="12" s="1"/>
  <c r="N168" i="12" s="1"/>
  <c r="C183" i="13"/>
  <c r="D183" i="13" s="1"/>
  <c r="E183" i="13"/>
  <c r="L169" i="12" l="1"/>
  <c r="M169" i="12" s="1"/>
  <c r="N169" i="12" s="1"/>
  <c r="C184" i="13"/>
  <c r="D184" i="13" s="1"/>
  <c r="E184" i="13" s="1"/>
  <c r="K192" i="13"/>
  <c r="J192" i="13" s="1"/>
  <c r="O192" i="13" s="1"/>
  <c r="M192" i="13"/>
  <c r="C173" i="12"/>
  <c r="D173" i="12" s="1"/>
  <c r="E173" i="12" s="1"/>
  <c r="C174" i="12" l="1"/>
  <c r="D174" i="12" s="1"/>
  <c r="E174" i="12" s="1"/>
  <c r="C185" i="13"/>
  <c r="D185" i="13" s="1"/>
  <c r="E185" i="13" s="1"/>
  <c r="L170" i="12"/>
  <c r="M170" i="12" s="1"/>
  <c r="N170" i="12" s="1"/>
  <c r="K193" i="13"/>
  <c r="J193" i="13" s="1"/>
  <c r="O193" i="13" s="1"/>
  <c r="M193" i="13"/>
  <c r="C186" i="13" l="1"/>
  <c r="D186" i="13" s="1"/>
  <c r="E186" i="13"/>
  <c r="C175" i="12"/>
  <c r="D175" i="12" s="1"/>
  <c r="E175" i="12"/>
  <c r="L171" i="12"/>
  <c r="M171" i="12" s="1"/>
  <c r="N171" i="12" s="1"/>
  <c r="M194" i="13"/>
  <c r="K194" i="13"/>
  <c r="J194" i="13" s="1"/>
  <c r="O194" i="13" s="1"/>
  <c r="L172" i="12" l="1"/>
  <c r="M172" i="12" s="1"/>
  <c r="N172" i="12" s="1"/>
  <c r="C176" i="12"/>
  <c r="D176" i="12" s="1"/>
  <c r="E176" i="12" s="1"/>
  <c r="C187" i="13"/>
  <c r="D187" i="13" s="1"/>
  <c r="E187" i="13" s="1"/>
  <c r="K195" i="13"/>
  <c r="J195" i="13" s="1"/>
  <c r="O195" i="13" s="1"/>
  <c r="M195" i="13"/>
  <c r="C177" i="12" l="1"/>
  <c r="D177" i="12" s="1"/>
  <c r="E177" i="12" s="1"/>
  <c r="C188" i="13"/>
  <c r="D188" i="13" s="1"/>
  <c r="E188" i="13" s="1"/>
  <c r="L173" i="12"/>
  <c r="M173" i="12" s="1"/>
  <c r="N173" i="12" s="1"/>
  <c r="K196" i="13"/>
  <c r="J196" i="13" s="1"/>
  <c r="O196" i="13" s="1"/>
  <c r="M196" i="13"/>
  <c r="C189" i="13" l="1"/>
  <c r="D189" i="13" s="1"/>
  <c r="E189" i="13" s="1"/>
  <c r="C178" i="12"/>
  <c r="D178" i="12" s="1"/>
  <c r="E178" i="12" s="1"/>
  <c r="L174" i="12"/>
  <c r="M174" i="12" s="1"/>
  <c r="N174" i="12" s="1"/>
  <c r="M197" i="13"/>
  <c r="K197" i="13"/>
  <c r="J197" i="13" s="1"/>
  <c r="O197" i="13" s="1"/>
  <c r="L175" i="12" l="1"/>
  <c r="M175" i="12" s="1"/>
  <c r="N175" i="12" s="1"/>
  <c r="C179" i="12"/>
  <c r="D179" i="12" s="1"/>
  <c r="E179" i="12" s="1"/>
  <c r="C190" i="13"/>
  <c r="D190" i="13" s="1"/>
  <c r="E190" i="13" s="1"/>
  <c r="K198" i="13"/>
  <c r="J198" i="13" s="1"/>
  <c r="O198" i="13" s="1"/>
  <c r="M198" i="13"/>
  <c r="C191" i="13" l="1"/>
  <c r="D191" i="13" s="1"/>
  <c r="E191" i="13" s="1"/>
  <c r="C180" i="12"/>
  <c r="D180" i="12" s="1"/>
  <c r="E180" i="12"/>
  <c r="L176" i="12"/>
  <c r="M176" i="12" s="1"/>
  <c r="N176" i="12" s="1"/>
  <c r="K199" i="13"/>
  <c r="J199" i="13" s="1"/>
  <c r="O199" i="13" s="1"/>
  <c r="M199" i="13"/>
  <c r="C192" i="13" l="1"/>
  <c r="D192" i="13" s="1"/>
  <c r="E192" i="13" s="1"/>
  <c r="M200" i="13"/>
  <c r="K200" i="13"/>
  <c r="J200" i="13" s="1"/>
  <c r="O200" i="13" s="1"/>
  <c r="C181" i="12"/>
  <c r="D181" i="12" s="1"/>
  <c r="E181" i="12" s="1"/>
  <c r="L177" i="12"/>
  <c r="M177" i="12" s="1"/>
  <c r="N177" i="12" s="1"/>
  <c r="L178" i="12" l="1"/>
  <c r="M178" i="12" s="1"/>
  <c r="N178" i="12" s="1"/>
  <c r="C182" i="12"/>
  <c r="D182" i="12" s="1"/>
  <c r="E182" i="12" s="1"/>
  <c r="C193" i="13"/>
  <c r="D193" i="13" s="1"/>
  <c r="E193" i="13" s="1"/>
  <c r="K201" i="13"/>
  <c r="J201" i="13" s="1"/>
  <c r="O201" i="13" s="1"/>
  <c r="M201" i="13"/>
  <c r="C194" i="13" l="1"/>
  <c r="D194" i="13" s="1"/>
  <c r="E194" i="13" s="1"/>
  <c r="C183" i="12"/>
  <c r="D183" i="12" s="1"/>
  <c r="E183" i="12"/>
  <c r="L179" i="12"/>
  <c r="M179" i="12" s="1"/>
  <c r="N179" i="12" s="1"/>
  <c r="K202" i="13"/>
  <c r="J202" i="13" s="1"/>
  <c r="O202" i="13" s="1"/>
  <c r="M202" i="13"/>
  <c r="C195" i="13" l="1"/>
  <c r="D195" i="13" s="1"/>
  <c r="E195" i="13" s="1"/>
  <c r="L180" i="12"/>
  <c r="M180" i="12" s="1"/>
  <c r="N180" i="12" s="1"/>
  <c r="C184" i="12"/>
  <c r="D184" i="12" s="1"/>
  <c r="E184" i="12" s="1"/>
  <c r="M203" i="13"/>
  <c r="K203" i="13"/>
  <c r="J203" i="13" s="1"/>
  <c r="O203" i="13" s="1"/>
  <c r="L181" i="12" l="1"/>
  <c r="M181" i="12" s="1"/>
  <c r="N181" i="12" s="1"/>
  <c r="C185" i="12"/>
  <c r="D185" i="12" s="1"/>
  <c r="E185" i="12" s="1"/>
  <c r="C196" i="13"/>
  <c r="D196" i="13" s="1"/>
  <c r="E196" i="13" s="1"/>
  <c r="K204" i="13"/>
  <c r="J204" i="13" s="1"/>
  <c r="O204" i="13" s="1"/>
  <c r="M204" i="13"/>
  <c r="C197" i="13" l="1"/>
  <c r="D197" i="13" s="1"/>
  <c r="E197" i="13" s="1"/>
  <c r="C186" i="12"/>
  <c r="D186" i="12" s="1"/>
  <c r="E186" i="12"/>
  <c r="K205" i="13"/>
  <c r="J205" i="13" s="1"/>
  <c r="O205" i="13" s="1"/>
  <c r="M205" i="13"/>
  <c r="L182" i="12"/>
  <c r="M182" i="12" s="1"/>
  <c r="N182" i="12" s="1"/>
  <c r="C198" i="13" l="1"/>
  <c r="D198" i="13" s="1"/>
  <c r="E198" i="13" s="1"/>
  <c r="M206" i="13"/>
  <c r="K206" i="13"/>
  <c r="J206" i="13" s="1"/>
  <c r="O206" i="13" s="1"/>
  <c r="C187" i="12"/>
  <c r="D187" i="12" s="1"/>
  <c r="E187" i="12"/>
  <c r="L183" i="12"/>
  <c r="M183" i="12" s="1"/>
  <c r="N183" i="12" s="1"/>
  <c r="L184" i="12" l="1"/>
  <c r="M184" i="12" s="1"/>
  <c r="N184" i="12" s="1"/>
  <c r="C199" i="13"/>
  <c r="D199" i="13" s="1"/>
  <c r="E199" i="13" s="1"/>
  <c r="C188" i="12"/>
  <c r="D188" i="12" s="1"/>
  <c r="E188" i="12" s="1"/>
  <c r="M207" i="13"/>
  <c r="K207" i="13"/>
  <c r="J207" i="13" s="1"/>
  <c r="O207" i="13" s="1"/>
  <c r="C200" i="13" l="1"/>
  <c r="D200" i="13" s="1"/>
  <c r="E200" i="13" s="1"/>
  <c r="C189" i="12"/>
  <c r="D189" i="12" s="1"/>
  <c r="E189" i="12" s="1"/>
  <c r="L185" i="12"/>
  <c r="M185" i="12" s="1"/>
  <c r="N185" i="12" s="1"/>
  <c r="K208" i="13"/>
  <c r="J208" i="13" s="1"/>
  <c r="O208" i="13" s="1"/>
  <c r="M208" i="13"/>
  <c r="C190" i="12" l="1"/>
  <c r="D190" i="12" s="1"/>
  <c r="E190" i="12" s="1"/>
  <c r="L186" i="12"/>
  <c r="M186" i="12" s="1"/>
  <c r="N186" i="12" s="1"/>
  <c r="C201" i="13"/>
  <c r="D201" i="13" s="1"/>
  <c r="E201" i="13"/>
  <c r="M209" i="13"/>
  <c r="K209" i="13"/>
  <c r="J209" i="13" s="1"/>
  <c r="O209" i="13" s="1"/>
  <c r="L187" i="12" l="1"/>
  <c r="M187" i="12" s="1"/>
  <c r="N187" i="12" s="1"/>
  <c r="C191" i="12"/>
  <c r="D191" i="12" s="1"/>
  <c r="E191" i="12" s="1"/>
  <c r="M210" i="13"/>
  <c r="K210" i="13"/>
  <c r="J210" i="13" s="1"/>
  <c r="O210" i="13" s="1"/>
  <c r="C202" i="13"/>
  <c r="D202" i="13" s="1"/>
  <c r="E202" i="13" s="1"/>
  <c r="C203" i="13" l="1"/>
  <c r="D203" i="13" s="1"/>
  <c r="E203" i="13" s="1"/>
  <c r="C192" i="12"/>
  <c r="D192" i="12" s="1"/>
  <c r="E192" i="12" s="1"/>
  <c r="K211" i="13"/>
  <c r="J211" i="13" s="1"/>
  <c r="O211" i="13" s="1"/>
  <c r="M211" i="13"/>
  <c r="L188" i="12"/>
  <c r="M188" i="12" s="1"/>
  <c r="N188" i="12" s="1"/>
  <c r="C193" i="12" l="1"/>
  <c r="D193" i="12" s="1"/>
  <c r="E193" i="12" s="1"/>
  <c r="C204" i="13"/>
  <c r="D204" i="13" s="1"/>
  <c r="E204" i="13" s="1"/>
  <c r="M212" i="13"/>
  <c r="K212" i="13"/>
  <c r="J212" i="13" s="1"/>
  <c r="O212" i="13" s="1"/>
  <c r="L189" i="12"/>
  <c r="M189" i="12" s="1"/>
  <c r="N189" i="12" s="1"/>
  <c r="L190" i="12" l="1"/>
  <c r="M190" i="12" s="1"/>
  <c r="N190" i="12" s="1"/>
  <c r="C205" i="13"/>
  <c r="D205" i="13" s="1"/>
  <c r="E205" i="13" s="1"/>
  <c r="C194" i="12"/>
  <c r="D194" i="12" s="1"/>
  <c r="E194" i="12" s="1"/>
  <c r="K213" i="13"/>
  <c r="J213" i="13" s="1"/>
  <c r="O213" i="13" s="1"/>
  <c r="M213" i="13"/>
  <c r="C206" i="13" l="1"/>
  <c r="D206" i="13" s="1"/>
  <c r="E206" i="13"/>
  <c r="L191" i="12"/>
  <c r="M191" i="12" s="1"/>
  <c r="N191" i="12" s="1"/>
  <c r="C195" i="12"/>
  <c r="D195" i="12" s="1"/>
  <c r="E195" i="12"/>
  <c r="K214" i="13"/>
  <c r="J214" i="13" s="1"/>
  <c r="O214" i="13" s="1"/>
  <c r="M214" i="13"/>
  <c r="L192" i="12" l="1"/>
  <c r="M192" i="12" s="1"/>
  <c r="N192" i="12" s="1"/>
  <c r="M215" i="13"/>
  <c r="K215" i="13"/>
  <c r="J215" i="13" s="1"/>
  <c r="O215" i="13" s="1"/>
  <c r="C196" i="12"/>
  <c r="D196" i="12" s="1"/>
  <c r="E196" i="12"/>
  <c r="C207" i="13"/>
  <c r="D207" i="13" s="1"/>
  <c r="E207" i="13"/>
  <c r="L193" i="12" l="1"/>
  <c r="M193" i="12" s="1"/>
  <c r="N193" i="12" s="1"/>
  <c r="C208" i="13"/>
  <c r="D208" i="13" s="1"/>
  <c r="E208" i="13"/>
  <c r="C197" i="12"/>
  <c r="D197" i="12" s="1"/>
  <c r="E197" i="12" s="1"/>
  <c r="M216" i="13"/>
  <c r="K216" i="13"/>
  <c r="J216" i="13" s="1"/>
  <c r="O216" i="13" s="1"/>
  <c r="L194" i="12" l="1"/>
  <c r="M194" i="12" s="1"/>
  <c r="N194" i="12" s="1"/>
  <c r="C198" i="12"/>
  <c r="D198" i="12" s="1"/>
  <c r="E198" i="12" s="1"/>
  <c r="K217" i="13"/>
  <c r="J217" i="13" s="1"/>
  <c r="O217" i="13" s="1"/>
  <c r="M217" i="13"/>
  <c r="C209" i="13"/>
  <c r="D209" i="13" s="1"/>
  <c r="E209" i="13" s="1"/>
  <c r="C199" i="12" l="1"/>
  <c r="D199" i="12" s="1"/>
  <c r="E199" i="12" s="1"/>
  <c r="C210" i="13"/>
  <c r="D210" i="13" s="1"/>
  <c r="E210" i="13" s="1"/>
  <c r="L195" i="12"/>
  <c r="M195" i="12" s="1"/>
  <c r="N195" i="12" s="1"/>
  <c r="M218" i="13"/>
  <c r="K218" i="13"/>
  <c r="J218" i="13" s="1"/>
  <c r="O218" i="13" s="1"/>
  <c r="C211" i="13" l="1"/>
  <c r="D211" i="13" s="1"/>
  <c r="E211" i="13"/>
  <c r="L196" i="12"/>
  <c r="M196" i="12" s="1"/>
  <c r="N196" i="12" s="1"/>
  <c r="C200" i="12"/>
  <c r="D200" i="12" s="1"/>
  <c r="E200" i="12" s="1"/>
  <c r="K219" i="13"/>
  <c r="J219" i="13" s="1"/>
  <c r="O219" i="13" s="1"/>
  <c r="M219" i="13"/>
  <c r="C201" i="12" l="1"/>
  <c r="D201" i="12" s="1"/>
  <c r="E201" i="12"/>
  <c r="L197" i="12"/>
  <c r="M197" i="12" s="1"/>
  <c r="N197" i="12"/>
  <c r="K220" i="13"/>
  <c r="J220" i="13" s="1"/>
  <c r="O220" i="13" s="1"/>
  <c r="M220" i="13"/>
  <c r="C212" i="13"/>
  <c r="D212" i="13" s="1"/>
  <c r="E212" i="13" s="1"/>
  <c r="C213" i="13" l="1"/>
  <c r="D213" i="13" s="1"/>
  <c r="E213" i="13"/>
  <c r="M221" i="13"/>
  <c r="K221" i="13"/>
  <c r="J221" i="13" s="1"/>
  <c r="O221" i="13" s="1"/>
  <c r="L198" i="12"/>
  <c r="M198" i="12" s="1"/>
  <c r="N198" i="12" s="1"/>
  <c r="E202" i="12"/>
  <c r="C202" i="12"/>
  <c r="D202" i="12" s="1"/>
  <c r="L199" i="12" l="1"/>
  <c r="M199" i="12" s="1"/>
  <c r="N199" i="12" s="1"/>
  <c r="K222" i="13"/>
  <c r="J222" i="13" s="1"/>
  <c r="O222" i="13" s="1"/>
  <c r="M222" i="13"/>
  <c r="C214" i="13"/>
  <c r="D214" i="13" s="1"/>
  <c r="E214" i="13" s="1"/>
  <c r="C203" i="12"/>
  <c r="D203" i="12" s="1"/>
  <c r="E203" i="12" s="1"/>
  <c r="C215" i="13" l="1"/>
  <c r="D215" i="13" s="1"/>
  <c r="E215" i="13"/>
  <c r="C204" i="12"/>
  <c r="D204" i="12" s="1"/>
  <c r="E204" i="12" s="1"/>
  <c r="L200" i="12"/>
  <c r="M200" i="12" s="1"/>
  <c r="N200" i="12" s="1"/>
  <c r="K223" i="13"/>
  <c r="J223" i="13" s="1"/>
  <c r="O223" i="13" s="1"/>
  <c r="M223" i="13"/>
  <c r="L201" i="12" l="1"/>
  <c r="M201" i="12" s="1"/>
  <c r="N201" i="12" s="1"/>
  <c r="C205" i="12"/>
  <c r="D205" i="12" s="1"/>
  <c r="E205" i="12"/>
  <c r="M224" i="13"/>
  <c r="K224" i="13"/>
  <c r="J224" i="13" s="1"/>
  <c r="O224" i="13" s="1"/>
  <c r="C216" i="13"/>
  <c r="D216" i="13" s="1"/>
  <c r="E216" i="13" s="1"/>
  <c r="C217" i="13" l="1"/>
  <c r="D217" i="13" s="1"/>
  <c r="E217" i="13" s="1"/>
  <c r="L202" i="12"/>
  <c r="M202" i="12" s="1"/>
  <c r="N202" i="12" s="1"/>
  <c r="C206" i="12"/>
  <c r="D206" i="12" s="1"/>
  <c r="E206" i="12" s="1"/>
  <c r="M225" i="13"/>
  <c r="K225" i="13"/>
  <c r="J225" i="13" s="1"/>
  <c r="O225" i="13" s="1"/>
  <c r="C207" i="12" l="1"/>
  <c r="D207" i="12" s="1"/>
  <c r="E207" i="12"/>
  <c r="L203" i="12"/>
  <c r="M203" i="12" s="1"/>
  <c r="N203" i="12" s="1"/>
  <c r="C218" i="13"/>
  <c r="D218" i="13" s="1"/>
  <c r="E218" i="13" s="1"/>
  <c r="K226" i="13"/>
  <c r="J226" i="13" s="1"/>
  <c r="O226" i="13" s="1"/>
  <c r="M226" i="13"/>
  <c r="C219" i="13" l="1"/>
  <c r="D219" i="13" s="1"/>
  <c r="E219" i="13" s="1"/>
  <c r="L204" i="12"/>
  <c r="M204" i="12" s="1"/>
  <c r="N204" i="12" s="1"/>
  <c r="M227" i="13"/>
  <c r="K227" i="13"/>
  <c r="J227" i="13" s="1"/>
  <c r="O227" i="13" s="1"/>
  <c r="C208" i="12"/>
  <c r="D208" i="12" s="1"/>
  <c r="E208" i="12" s="1"/>
  <c r="C209" i="12" l="1"/>
  <c r="D209" i="12" s="1"/>
  <c r="E209" i="12" s="1"/>
  <c r="L205" i="12"/>
  <c r="M205" i="12" s="1"/>
  <c r="N205" i="12" s="1"/>
  <c r="C220" i="13"/>
  <c r="D220" i="13" s="1"/>
  <c r="E220" i="13" s="1"/>
  <c r="M228" i="13"/>
  <c r="K228" i="13"/>
  <c r="J228" i="13" s="1"/>
  <c r="O228" i="13" s="1"/>
  <c r="C221" i="13" l="1"/>
  <c r="D221" i="13" s="1"/>
  <c r="E221" i="13" s="1"/>
  <c r="L206" i="12"/>
  <c r="M206" i="12" s="1"/>
  <c r="N206" i="12" s="1"/>
  <c r="C210" i="12"/>
  <c r="D210" i="12" s="1"/>
  <c r="E210" i="12"/>
  <c r="K229" i="13"/>
  <c r="J229" i="13" s="1"/>
  <c r="O229" i="13" s="1"/>
  <c r="M229" i="13"/>
  <c r="C222" i="13" l="1"/>
  <c r="D222" i="13" s="1"/>
  <c r="E222" i="13" s="1"/>
  <c r="L207" i="12"/>
  <c r="M207" i="12" s="1"/>
  <c r="N207" i="12" s="1"/>
  <c r="C211" i="12"/>
  <c r="D211" i="12" s="1"/>
  <c r="E211" i="12" s="1"/>
  <c r="M230" i="13"/>
  <c r="K230" i="13"/>
  <c r="J230" i="13" s="1"/>
  <c r="O230" i="13" s="1"/>
  <c r="C212" i="12" l="1"/>
  <c r="D212" i="12" s="1"/>
  <c r="E212" i="12" s="1"/>
  <c r="C223" i="13"/>
  <c r="D223" i="13" s="1"/>
  <c r="E223" i="13" s="1"/>
  <c r="L208" i="12"/>
  <c r="M208" i="12" s="1"/>
  <c r="N208" i="12" s="1"/>
  <c r="M231" i="13"/>
  <c r="K231" i="13"/>
  <c r="J231" i="13" s="1"/>
  <c r="O231" i="13" s="1"/>
  <c r="L209" i="12" l="1"/>
  <c r="M209" i="12" s="1"/>
  <c r="N209" i="12" s="1"/>
  <c r="C224" i="13"/>
  <c r="D224" i="13" s="1"/>
  <c r="E224" i="13" s="1"/>
  <c r="C213" i="12"/>
  <c r="D213" i="12" s="1"/>
  <c r="E213" i="12" s="1"/>
  <c r="K232" i="13"/>
  <c r="J232" i="13" s="1"/>
  <c r="O232" i="13" s="1"/>
  <c r="M232" i="13"/>
  <c r="C214" i="12" l="1"/>
  <c r="D214" i="12" s="1"/>
  <c r="E214" i="12" s="1"/>
  <c r="C225" i="13"/>
  <c r="D225" i="13" s="1"/>
  <c r="E225" i="13" s="1"/>
  <c r="M233" i="13"/>
  <c r="K233" i="13"/>
  <c r="J233" i="13" s="1"/>
  <c r="O233" i="13" s="1"/>
  <c r="L210" i="12"/>
  <c r="M210" i="12" s="1"/>
  <c r="N210" i="12" s="1"/>
  <c r="L211" i="12" l="1"/>
  <c r="M211" i="12" s="1"/>
  <c r="N211" i="12" s="1"/>
  <c r="C226" i="13"/>
  <c r="D226" i="13" s="1"/>
  <c r="E226" i="13" s="1"/>
  <c r="C215" i="12"/>
  <c r="D215" i="12" s="1"/>
  <c r="E215" i="12"/>
  <c r="M234" i="13"/>
  <c r="K234" i="13"/>
  <c r="J234" i="13" s="1"/>
  <c r="O234" i="13" s="1"/>
  <c r="E227" i="13" l="1"/>
  <c r="C227" i="13"/>
  <c r="D227" i="13" s="1"/>
  <c r="L212" i="12"/>
  <c r="M212" i="12" s="1"/>
  <c r="N212" i="12" s="1"/>
  <c r="C216" i="12"/>
  <c r="D216" i="12" s="1"/>
  <c r="E216" i="12"/>
  <c r="K235" i="13"/>
  <c r="J235" i="13" s="1"/>
  <c r="O235" i="13" s="1"/>
  <c r="M235" i="13"/>
  <c r="L213" i="12" l="1"/>
  <c r="M213" i="12" s="1"/>
  <c r="N213" i="12" s="1"/>
  <c r="C217" i="12"/>
  <c r="D217" i="12" s="1"/>
  <c r="E217" i="12" s="1"/>
  <c r="M236" i="13"/>
  <c r="K236" i="13"/>
  <c r="J236" i="13" s="1"/>
  <c r="O236" i="13" s="1"/>
  <c r="C228" i="13"/>
  <c r="D228" i="13" s="1"/>
  <c r="E228" i="13" s="1"/>
  <c r="C229" i="13" l="1"/>
  <c r="D229" i="13" s="1"/>
  <c r="E229" i="13"/>
  <c r="C218" i="12"/>
  <c r="D218" i="12" s="1"/>
  <c r="E218" i="12" s="1"/>
  <c r="L214" i="12"/>
  <c r="M214" i="12" s="1"/>
  <c r="N214" i="12" s="1"/>
  <c r="K237" i="13"/>
  <c r="J237" i="13" s="1"/>
  <c r="O237" i="13" s="1"/>
  <c r="M237" i="13"/>
  <c r="L215" i="12" l="1"/>
  <c r="M215" i="12" s="1"/>
  <c r="N215" i="12" s="1"/>
  <c r="C219" i="12"/>
  <c r="D219" i="12" s="1"/>
  <c r="E219" i="12" s="1"/>
  <c r="K238" i="13"/>
  <c r="J238" i="13" s="1"/>
  <c r="O238" i="13" s="1"/>
  <c r="M238" i="13"/>
  <c r="C230" i="13"/>
  <c r="D230" i="13" s="1"/>
  <c r="E230" i="13" s="1"/>
  <c r="L216" i="12" l="1"/>
  <c r="M216" i="12" s="1"/>
  <c r="N216" i="12" s="1"/>
  <c r="C231" i="13"/>
  <c r="D231" i="13" s="1"/>
  <c r="E231" i="13" s="1"/>
  <c r="C220" i="12"/>
  <c r="D220" i="12" s="1"/>
  <c r="E220" i="12" s="1"/>
  <c r="M239" i="13"/>
  <c r="K239" i="13"/>
  <c r="J239" i="13" s="1"/>
  <c r="O239" i="13" s="1"/>
  <c r="C221" i="12" l="1"/>
  <c r="D221" i="12" s="1"/>
  <c r="E221" i="12" s="1"/>
  <c r="C232" i="13"/>
  <c r="D232" i="13" s="1"/>
  <c r="E232" i="13" s="1"/>
  <c r="L217" i="12"/>
  <c r="M217" i="12" s="1"/>
  <c r="N217" i="12" s="1"/>
  <c r="M240" i="13"/>
  <c r="K240" i="13"/>
  <c r="J240" i="13" s="1"/>
  <c r="O240" i="13" s="1"/>
  <c r="C222" i="12" l="1"/>
  <c r="D222" i="12" s="1"/>
  <c r="E222" i="12" s="1"/>
  <c r="L218" i="12"/>
  <c r="M218" i="12" s="1"/>
  <c r="N218" i="12" s="1"/>
  <c r="C233" i="13"/>
  <c r="D233" i="13" s="1"/>
  <c r="E233" i="13" s="1"/>
  <c r="M241" i="13"/>
  <c r="K241" i="13"/>
  <c r="J241" i="13" s="1"/>
  <c r="O241" i="13" s="1"/>
  <c r="C234" i="13" l="1"/>
  <c r="D234" i="13" s="1"/>
  <c r="E234" i="13"/>
  <c r="L219" i="12"/>
  <c r="M219" i="12" s="1"/>
  <c r="N219" i="12" s="1"/>
  <c r="C223" i="12"/>
  <c r="D223" i="12" s="1"/>
  <c r="E223" i="12" s="1"/>
  <c r="M242" i="13"/>
  <c r="K242" i="13"/>
  <c r="J242" i="13" s="1"/>
  <c r="O242" i="13" s="1"/>
  <c r="C224" i="12" l="1"/>
  <c r="D224" i="12" s="1"/>
  <c r="E224" i="12"/>
  <c r="L220" i="12"/>
  <c r="M220" i="12" s="1"/>
  <c r="N220" i="12" s="1"/>
  <c r="C235" i="13"/>
  <c r="D235" i="13" s="1"/>
  <c r="E235" i="13" s="1"/>
  <c r="K243" i="13"/>
  <c r="J243" i="13" s="1"/>
  <c r="O243" i="13" s="1"/>
  <c r="M243" i="13"/>
  <c r="E236" i="13" l="1"/>
  <c r="C236" i="13"/>
  <c r="D236" i="13" s="1"/>
  <c r="L221" i="12"/>
  <c r="M221" i="12" s="1"/>
  <c r="N221" i="12" s="1"/>
  <c r="M244" i="13"/>
  <c r="K244" i="13"/>
  <c r="J244" i="13" s="1"/>
  <c r="O244" i="13" s="1"/>
  <c r="C225" i="12"/>
  <c r="D225" i="12" s="1"/>
  <c r="E225" i="12" s="1"/>
  <c r="C226" i="12" l="1"/>
  <c r="D226" i="12" s="1"/>
  <c r="E226" i="12" s="1"/>
  <c r="L222" i="12"/>
  <c r="M222" i="12" s="1"/>
  <c r="N222" i="12" s="1"/>
  <c r="M245" i="13"/>
  <c r="K245" i="13"/>
  <c r="J245" i="13" s="1"/>
  <c r="O245" i="13" s="1"/>
  <c r="C237" i="13"/>
  <c r="D237" i="13" s="1"/>
  <c r="E237" i="13" s="1"/>
  <c r="L223" i="12" l="1"/>
  <c r="M223" i="12" s="1"/>
  <c r="N223" i="12" s="1"/>
  <c r="C238" i="13"/>
  <c r="D238" i="13" s="1"/>
  <c r="E238" i="13" s="1"/>
  <c r="C227" i="12"/>
  <c r="D227" i="12" s="1"/>
  <c r="E227" i="12" s="1"/>
  <c r="M246" i="13"/>
  <c r="K246" i="13"/>
  <c r="J246" i="13" s="1"/>
  <c r="O246" i="13" s="1"/>
  <c r="C228" i="12" l="1"/>
  <c r="D228" i="12" s="1"/>
  <c r="E228" i="12" s="1"/>
  <c r="C239" i="13"/>
  <c r="D239" i="13" s="1"/>
  <c r="E239" i="13" s="1"/>
  <c r="L224" i="12"/>
  <c r="M224" i="12" s="1"/>
  <c r="N224" i="12" s="1"/>
  <c r="M247" i="13"/>
  <c r="K247" i="13"/>
  <c r="J247" i="13" s="1"/>
  <c r="O247" i="13" s="1"/>
  <c r="L225" i="12" l="1"/>
  <c r="M225" i="12" s="1"/>
  <c r="N225" i="12" s="1"/>
  <c r="C240" i="13"/>
  <c r="D240" i="13" s="1"/>
  <c r="E240" i="13"/>
  <c r="C229" i="12"/>
  <c r="D229" i="12" s="1"/>
  <c r="E229" i="12" s="1"/>
  <c r="M248" i="13"/>
  <c r="K248" i="13"/>
  <c r="J248" i="13" s="1"/>
  <c r="O248" i="13" s="1"/>
  <c r="C230" i="12" l="1"/>
  <c r="D230" i="12" s="1"/>
  <c r="E230" i="12" s="1"/>
  <c r="C241" i="13"/>
  <c r="D241" i="13" s="1"/>
  <c r="E241" i="13"/>
  <c r="K249" i="13"/>
  <c r="J249" i="13" s="1"/>
  <c r="O249" i="13" s="1"/>
  <c r="M249" i="13"/>
  <c r="L226" i="12"/>
  <c r="M226" i="12" s="1"/>
  <c r="N226" i="12" s="1"/>
  <c r="L227" i="12" l="1"/>
  <c r="M227" i="12" s="1"/>
  <c r="N227" i="12" s="1"/>
  <c r="C231" i="12"/>
  <c r="D231" i="12" s="1"/>
  <c r="E231" i="12" s="1"/>
  <c r="C242" i="13"/>
  <c r="D242" i="13" s="1"/>
  <c r="E242" i="13" s="1"/>
  <c r="K250" i="13"/>
  <c r="J250" i="13" s="1"/>
  <c r="O250" i="13" s="1"/>
  <c r="M250" i="13"/>
  <c r="C243" i="13" l="1"/>
  <c r="D243" i="13" s="1"/>
  <c r="E243" i="13" s="1"/>
  <c r="C232" i="12"/>
  <c r="D232" i="12" s="1"/>
  <c r="E232" i="12" s="1"/>
  <c r="M251" i="13"/>
  <c r="K251" i="13"/>
  <c r="J251" i="13" s="1"/>
  <c r="O251" i="13" s="1"/>
  <c r="L228" i="12"/>
  <c r="M228" i="12" s="1"/>
  <c r="N228" i="12" s="1"/>
  <c r="C233" i="12" l="1"/>
  <c r="D233" i="12" s="1"/>
  <c r="E233" i="12"/>
  <c r="C244" i="13"/>
  <c r="D244" i="13" s="1"/>
  <c r="E244" i="13" s="1"/>
  <c r="M252" i="13"/>
  <c r="K252" i="13"/>
  <c r="J252" i="13" s="1"/>
  <c r="O252" i="13" s="1"/>
  <c r="L229" i="12"/>
  <c r="M229" i="12" s="1"/>
  <c r="N229" i="12" s="1"/>
  <c r="C245" i="13" l="1"/>
  <c r="D245" i="13" s="1"/>
  <c r="E245" i="13" s="1"/>
  <c r="K253" i="13"/>
  <c r="J253" i="13" s="1"/>
  <c r="O253" i="13" s="1"/>
  <c r="M253" i="13"/>
  <c r="C234" i="12"/>
  <c r="D234" i="12" s="1"/>
  <c r="E234" i="12" s="1"/>
  <c r="L230" i="12"/>
  <c r="M230" i="12" s="1"/>
  <c r="N230" i="12" s="1"/>
  <c r="C246" i="13" l="1"/>
  <c r="D246" i="13" s="1"/>
  <c r="E246" i="13"/>
  <c r="L231" i="12"/>
  <c r="M231" i="12" s="1"/>
  <c r="N231" i="12" s="1"/>
  <c r="C235" i="12"/>
  <c r="D235" i="12" s="1"/>
  <c r="E235" i="12" s="1"/>
  <c r="M254" i="13"/>
  <c r="K254" i="13"/>
  <c r="J254" i="13" s="1"/>
  <c r="O254" i="13" s="1"/>
  <c r="C236" i="12" l="1"/>
  <c r="D236" i="12" s="1"/>
  <c r="E236" i="12" s="1"/>
  <c r="L232" i="12"/>
  <c r="M232" i="12" s="1"/>
  <c r="N232" i="12" s="1"/>
  <c r="C247" i="13"/>
  <c r="D247" i="13" s="1"/>
  <c r="E247" i="13"/>
  <c r="M255" i="13"/>
  <c r="K255" i="13"/>
  <c r="J255" i="13" s="1"/>
  <c r="O255" i="13" s="1"/>
  <c r="L233" i="12" l="1"/>
  <c r="M233" i="12" s="1"/>
  <c r="N233" i="12" s="1"/>
  <c r="C237" i="12"/>
  <c r="D237" i="12" s="1"/>
  <c r="E237" i="12" s="1"/>
  <c r="C248" i="13"/>
  <c r="D248" i="13" s="1"/>
  <c r="E248" i="13" s="1"/>
  <c r="K256" i="13"/>
  <c r="J256" i="13" s="1"/>
  <c r="O256" i="13" s="1"/>
  <c r="M256" i="13"/>
  <c r="C238" i="12" l="1"/>
  <c r="D238" i="12" s="1"/>
  <c r="E238" i="12" s="1"/>
  <c r="E249" i="13"/>
  <c r="C249" i="13"/>
  <c r="D249" i="13" s="1"/>
  <c r="L234" i="12"/>
  <c r="M234" i="12" s="1"/>
  <c r="N234" i="12" s="1"/>
  <c r="M257" i="13"/>
  <c r="K257" i="13"/>
  <c r="J257" i="13" s="1"/>
  <c r="O257" i="13" s="1"/>
  <c r="L235" i="12" l="1"/>
  <c r="M235" i="12" s="1"/>
  <c r="N235" i="12" s="1"/>
  <c r="C239" i="12"/>
  <c r="D239" i="12" s="1"/>
  <c r="E239" i="12" s="1"/>
  <c r="C250" i="13"/>
  <c r="D250" i="13" s="1"/>
  <c r="E250" i="13"/>
  <c r="K258" i="13"/>
  <c r="J258" i="13" s="1"/>
  <c r="O258" i="13" s="1"/>
  <c r="M258" i="13"/>
  <c r="C240" i="12" l="1"/>
  <c r="D240" i="12" s="1"/>
  <c r="E240" i="12" s="1"/>
  <c r="L236" i="12"/>
  <c r="M236" i="12" s="1"/>
  <c r="N236" i="12" s="1"/>
  <c r="K259" i="13"/>
  <c r="J259" i="13" s="1"/>
  <c r="O259" i="13" s="1"/>
  <c r="M259" i="13"/>
  <c r="C251" i="13"/>
  <c r="D251" i="13" s="1"/>
  <c r="E251" i="13" s="1"/>
  <c r="E252" i="13" l="1"/>
  <c r="C252" i="13"/>
  <c r="D252" i="13" s="1"/>
  <c r="L237" i="12"/>
  <c r="M237" i="12" s="1"/>
  <c r="N237" i="12" s="1"/>
  <c r="C241" i="12"/>
  <c r="D241" i="12" s="1"/>
  <c r="E241" i="12" s="1"/>
  <c r="M260" i="13"/>
  <c r="K260" i="13"/>
  <c r="J260" i="13" s="1"/>
  <c r="O260" i="13" s="1"/>
  <c r="C242" i="12" l="1"/>
  <c r="D242" i="12" s="1"/>
  <c r="E242" i="12" s="1"/>
  <c r="L238" i="12"/>
  <c r="M238" i="12" s="1"/>
  <c r="N238" i="12" s="1"/>
  <c r="M261" i="13"/>
  <c r="K261" i="13"/>
  <c r="J261" i="13" s="1"/>
  <c r="O261" i="13" s="1"/>
  <c r="C253" i="13"/>
  <c r="D253" i="13" s="1"/>
  <c r="E253" i="13"/>
  <c r="C243" i="12" l="1"/>
  <c r="D243" i="12" s="1"/>
  <c r="E243" i="12"/>
  <c r="L239" i="12"/>
  <c r="M239" i="12" s="1"/>
  <c r="N239" i="12" s="1"/>
  <c r="C254" i="13"/>
  <c r="D254" i="13" s="1"/>
  <c r="E254" i="13" s="1"/>
  <c r="K262" i="13"/>
  <c r="J262" i="13" s="1"/>
  <c r="O262" i="13" s="1"/>
  <c r="M262" i="13"/>
  <c r="C255" i="13" l="1"/>
  <c r="D255" i="13" s="1"/>
  <c r="E255" i="13"/>
  <c r="L240" i="12"/>
  <c r="M240" i="12" s="1"/>
  <c r="N240" i="12" s="1"/>
  <c r="M263" i="13"/>
  <c r="K263" i="13"/>
  <c r="J263" i="13" s="1"/>
  <c r="O263" i="13" s="1"/>
  <c r="C244" i="12"/>
  <c r="D244" i="12" s="1"/>
  <c r="E244" i="12" s="1"/>
  <c r="C245" i="12" l="1"/>
  <c r="D245" i="12" s="1"/>
  <c r="E245" i="12" s="1"/>
  <c r="L241" i="12"/>
  <c r="M241" i="12" s="1"/>
  <c r="N241" i="12" s="1"/>
  <c r="C256" i="13"/>
  <c r="D256" i="13" s="1"/>
  <c r="E256" i="13" s="1"/>
  <c r="M264" i="13"/>
  <c r="K264" i="13"/>
  <c r="J264" i="13" s="1"/>
  <c r="O264" i="13" s="1"/>
  <c r="L242" i="12" l="1"/>
  <c r="M242" i="12" s="1"/>
  <c r="N242" i="12" s="1"/>
  <c r="C257" i="13"/>
  <c r="D257" i="13" s="1"/>
  <c r="E257" i="13" s="1"/>
  <c r="C246" i="12"/>
  <c r="D246" i="12" s="1"/>
  <c r="E246" i="12" s="1"/>
  <c r="K265" i="13"/>
  <c r="J265" i="13" s="1"/>
  <c r="O265" i="13" s="1"/>
  <c r="M265" i="13"/>
  <c r="C247" i="12" l="1"/>
  <c r="D247" i="12" s="1"/>
  <c r="E247" i="12" s="1"/>
  <c r="C258" i="13"/>
  <c r="D258" i="13" s="1"/>
  <c r="E258" i="13" s="1"/>
  <c r="L243" i="12"/>
  <c r="M243" i="12" s="1"/>
  <c r="N243" i="12" s="1"/>
  <c r="M266" i="13"/>
  <c r="K266" i="13"/>
  <c r="J266" i="13" s="1"/>
  <c r="O266" i="13" s="1"/>
  <c r="L244" i="12" l="1"/>
  <c r="M244" i="12" s="1"/>
  <c r="N244" i="12" s="1"/>
  <c r="C259" i="13"/>
  <c r="D259" i="13" s="1"/>
  <c r="E259" i="13" s="1"/>
  <c r="C248" i="12"/>
  <c r="D248" i="12" s="1"/>
  <c r="E248" i="12" s="1"/>
  <c r="K267" i="13"/>
  <c r="J267" i="13" s="1"/>
  <c r="O267" i="13" s="1"/>
  <c r="M267" i="13"/>
  <c r="C249" i="12" l="1"/>
  <c r="D249" i="12" s="1"/>
  <c r="E249" i="12" s="1"/>
  <c r="C260" i="13"/>
  <c r="D260" i="13" s="1"/>
  <c r="E260" i="13" s="1"/>
  <c r="L245" i="12"/>
  <c r="M245" i="12" s="1"/>
  <c r="N245" i="12" s="1"/>
  <c r="K268" i="13"/>
  <c r="J268" i="13" s="1"/>
  <c r="O268" i="13" s="1"/>
  <c r="M268" i="13"/>
  <c r="C261" i="13" l="1"/>
  <c r="D261" i="13" s="1"/>
  <c r="E261" i="13"/>
  <c r="L246" i="12"/>
  <c r="M246" i="12" s="1"/>
  <c r="N246" i="12" s="1"/>
  <c r="C250" i="12"/>
  <c r="D250" i="12" s="1"/>
  <c r="E250" i="12" s="1"/>
  <c r="M269" i="13"/>
  <c r="K269" i="13"/>
  <c r="J269" i="13" s="1"/>
  <c r="O269" i="13" s="1"/>
  <c r="L247" i="12" l="1"/>
  <c r="M247" i="12" s="1"/>
  <c r="N247" i="12" s="1"/>
  <c r="C251" i="12"/>
  <c r="D251" i="12" s="1"/>
  <c r="E251" i="12" s="1"/>
  <c r="C262" i="13"/>
  <c r="D262" i="13" s="1"/>
  <c r="E262" i="13" s="1"/>
  <c r="M270" i="13"/>
  <c r="K270" i="13"/>
  <c r="J270" i="13" s="1"/>
  <c r="O270" i="13" s="1"/>
  <c r="C263" i="13" l="1"/>
  <c r="D263" i="13" s="1"/>
  <c r="E263" i="13" s="1"/>
  <c r="C252" i="12"/>
  <c r="D252" i="12" s="1"/>
  <c r="E252" i="12" s="1"/>
  <c r="L248" i="12"/>
  <c r="M248" i="12" s="1"/>
  <c r="N248" i="12" s="1"/>
  <c r="M271" i="13"/>
  <c r="K271" i="13"/>
  <c r="J271" i="13" s="1"/>
  <c r="O271" i="13" s="1"/>
  <c r="L249" i="12" l="1"/>
  <c r="M249" i="12" s="1"/>
  <c r="N249" i="12" s="1"/>
  <c r="C264" i="13"/>
  <c r="D264" i="13" s="1"/>
  <c r="E264" i="13" s="1"/>
  <c r="C253" i="12"/>
  <c r="D253" i="12" s="1"/>
  <c r="E253" i="12" s="1"/>
  <c r="K272" i="13"/>
  <c r="J272" i="13" s="1"/>
  <c r="O272" i="13" s="1"/>
  <c r="M272" i="13"/>
  <c r="C254" i="12" l="1"/>
  <c r="D254" i="12" s="1"/>
  <c r="E254" i="12" s="1"/>
  <c r="C265" i="13"/>
  <c r="D265" i="13" s="1"/>
  <c r="E265" i="13" s="1"/>
  <c r="L250" i="12"/>
  <c r="M250" i="12" s="1"/>
  <c r="N250" i="12" s="1"/>
  <c r="M273" i="13"/>
  <c r="K273" i="13"/>
  <c r="J273" i="13" s="1"/>
  <c r="O273" i="13" s="1"/>
  <c r="C255" i="12" l="1"/>
  <c r="D255" i="12" s="1"/>
  <c r="E255" i="12"/>
  <c r="L251" i="12"/>
  <c r="M251" i="12" s="1"/>
  <c r="N251" i="12" s="1"/>
  <c r="C266" i="13"/>
  <c r="D266" i="13" s="1"/>
  <c r="E266" i="13" s="1"/>
  <c r="K274" i="13"/>
  <c r="J274" i="13" s="1"/>
  <c r="O274" i="13" s="1"/>
  <c r="M274" i="13"/>
  <c r="E267" i="13" l="1"/>
  <c r="C267" i="13"/>
  <c r="D267" i="13" s="1"/>
  <c r="L252" i="12"/>
  <c r="M252" i="12" s="1"/>
  <c r="N252" i="12" s="1"/>
  <c r="C256" i="12"/>
  <c r="D256" i="12" s="1"/>
  <c r="E256" i="12" s="1"/>
  <c r="K275" i="13"/>
  <c r="J275" i="13" s="1"/>
  <c r="O275" i="13" s="1"/>
  <c r="M275" i="13"/>
  <c r="C257" i="12" l="1"/>
  <c r="D257" i="12" s="1"/>
  <c r="E257" i="12" s="1"/>
  <c r="L253" i="12"/>
  <c r="M253" i="12" s="1"/>
  <c r="N253" i="12" s="1"/>
  <c r="M276" i="13"/>
  <c r="K276" i="13"/>
  <c r="J276" i="13" s="1"/>
  <c r="O276" i="13" s="1"/>
  <c r="C268" i="13"/>
  <c r="D268" i="13" s="1"/>
  <c r="E268" i="13" s="1"/>
  <c r="E269" i="13" l="1"/>
  <c r="C269" i="13"/>
  <c r="D269" i="13" s="1"/>
  <c r="L254" i="12"/>
  <c r="M254" i="12" s="1"/>
  <c r="N254" i="12" s="1"/>
  <c r="C258" i="12"/>
  <c r="D258" i="12" s="1"/>
  <c r="E258" i="12" s="1"/>
  <c r="K277" i="13"/>
  <c r="J277" i="13" s="1"/>
  <c r="O277" i="13" s="1"/>
  <c r="M277" i="13"/>
  <c r="C259" i="12" l="1"/>
  <c r="D259" i="12" s="1"/>
  <c r="E259" i="12" s="1"/>
  <c r="L255" i="12"/>
  <c r="M255" i="12" s="1"/>
  <c r="N255" i="12" s="1"/>
  <c r="K278" i="13"/>
  <c r="J278" i="13" s="1"/>
  <c r="O278" i="13" s="1"/>
  <c r="M278" i="13"/>
  <c r="C270" i="13"/>
  <c r="D270" i="13" s="1"/>
  <c r="E270" i="13" s="1"/>
  <c r="E271" i="13" l="1"/>
  <c r="C271" i="13"/>
  <c r="D271" i="13" s="1"/>
  <c r="L256" i="12"/>
  <c r="M256" i="12" s="1"/>
  <c r="N256" i="12" s="1"/>
  <c r="C260" i="12"/>
  <c r="D260" i="12" s="1"/>
  <c r="E260" i="12" s="1"/>
  <c r="M279" i="13"/>
  <c r="K279" i="13"/>
  <c r="J279" i="13" s="1"/>
  <c r="O279" i="13" s="1"/>
  <c r="C261" i="12" l="1"/>
  <c r="D261" i="12" s="1"/>
  <c r="E261" i="12" s="1"/>
  <c r="K280" i="13"/>
  <c r="J280" i="13" s="1"/>
  <c r="O280" i="13" s="1"/>
  <c r="M280" i="13"/>
  <c r="L257" i="12"/>
  <c r="M257" i="12" s="1"/>
  <c r="N257" i="12" s="1"/>
  <c r="C272" i="13"/>
  <c r="D272" i="13" s="1"/>
  <c r="E272" i="13" s="1"/>
  <c r="C273" i="13" l="1"/>
  <c r="D273" i="13" s="1"/>
  <c r="E273" i="13" s="1"/>
  <c r="C262" i="12"/>
  <c r="D262" i="12" s="1"/>
  <c r="E262" i="12"/>
  <c r="L258" i="12"/>
  <c r="M258" i="12" s="1"/>
  <c r="N258" i="12" s="1"/>
  <c r="K281" i="13"/>
  <c r="J281" i="13" s="1"/>
  <c r="O281" i="13" s="1"/>
  <c r="M281" i="13"/>
  <c r="E274" i="13" l="1"/>
  <c r="C274" i="13"/>
  <c r="D274" i="13" s="1"/>
  <c r="L259" i="12"/>
  <c r="M259" i="12" s="1"/>
  <c r="N259" i="12" s="1"/>
  <c r="C263" i="12"/>
  <c r="D263" i="12" s="1"/>
  <c r="E263" i="12"/>
  <c r="M282" i="13"/>
  <c r="K282" i="13"/>
  <c r="J282" i="13" s="1"/>
  <c r="O282" i="13" s="1"/>
  <c r="L260" i="12" l="1"/>
  <c r="M260" i="12" s="1"/>
  <c r="N260" i="12" s="1"/>
  <c r="K283" i="13"/>
  <c r="J283" i="13" s="1"/>
  <c r="O283" i="13" s="1"/>
  <c r="M283" i="13"/>
  <c r="C275" i="13"/>
  <c r="D275" i="13" s="1"/>
  <c r="E275" i="13" s="1"/>
  <c r="C264" i="12"/>
  <c r="D264" i="12" s="1"/>
  <c r="E264" i="12" s="1"/>
  <c r="E265" i="12" l="1"/>
  <c r="C265" i="12"/>
  <c r="D265" i="12" s="1"/>
  <c r="C276" i="13"/>
  <c r="D276" i="13" s="1"/>
  <c r="E276" i="13" s="1"/>
  <c r="L261" i="12"/>
  <c r="M261" i="12" s="1"/>
  <c r="N261" i="12" s="1"/>
  <c r="K284" i="13"/>
  <c r="J284" i="13" s="1"/>
  <c r="O284" i="13" s="1"/>
  <c r="M284" i="13"/>
  <c r="L262" i="12" l="1"/>
  <c r="M262" i="12" s="1"/>
  <c r="N262" i="12" s="1"/>
  <c r="C277" i="13"/>
  <c r="D277" i="13" s="1"/>
  <c r="E277" i="13" s="1"/>
  <c r="M285" i="13"/>
  <c r="K285" i="13"/>
  <c r="J285" i="13" s="1"/>
  <c r="O285" i="13" s="1"/>
  <c r="C266" i="12"/>
  <c r="D266" i="12" s="1"/>
  <c r="E266" i="12" s="1"/>
  <c r="E267" i="12" l="1"/>
  <c r="C267" i="12"/>
  <c r="D267" i="12" s="1"/>
  <c r="C278" i="13"/>
  <c r="D278" i="13" s="1"/>
  <c r="E278" i="13" s="1"/>
  <c r="L263" i="12"/>
  <c r="M263" i="12" s="1"/>
  <c r="N263" i="12" s="1"/>
  <c r="M286" i="13"/>
  <c r="K286" i="13"/>
  <c r="J286" i="13" s="1"/>
  <c r="O286" i="13" s="1"/>
  <c r="L264" i="12" l="1"/>
  <c r="M264" i="12" s="1"/>
  <c r="N264" i="12" s="1"/>
  <c r="C279" i="13"/>
  <c r="D279" i="13" s="1"/>
  <c r="E279" i="13" s="1"/>
  <c r="K287" i="13"/>
  <c r="J287" i="13" s="1"/>
  <c r="O287" i="13" s="1"/>
  <c r="M287" i="13"/>
  <c r="C268" i="12"/>
  <c r="D268" i="12" s="1"/>
  <c r="E268" i="12" s="1"/>
  <c r="L265" i="12" l="1"/>
  <c r="M265" i="12" s="1"/>
  <c r="N265" i="12" s="1"/>
  <c r="C269" i="12"/>
  <c r="D269" i="12" s="1"/>
  <c r="E269" i="12" s="1"/>
  <c r="C280" i="13"/>
  <c r="D280" i="13" s="1"/>
  <c r="E280" i="13" s="1"/>
  <c r="M288" i="13"/>
  <c r="K288" i="13"/>
  <c r="J288" i="13" s="1"/>
  <c r="O288" i="13" s="1"/>
  <c r="C281" i="13" l="1"/>
  <c r="D281" i="13" s="1"/>
  <c r="E281" i="13" s="1"/>
  <c r="C270" i="12"/>
  <c r="D270" i="12" s="1"/>
  <c r="E270" i="12" s="1"/>
  <c r="L266" i="12"/>
  <c r="M266" i="12" s="1"/>
  <c r="N266" i="12" s="1"/>
  <c r="K289" i="13"/>
  <c r="J289" i="13" s="1"/>
  <c r="O289" i="13" s="1"/>
  <c r="M289" i="13"/>
  <c r="C282" i="13" l="1"/>
  <c r="D282" i="13" s="1"/>
  <c r="E282" i="13"/>
  <c r="L267" i="12"/>
  <c r="M267" i="12" s="1"/>
  <c r="N267" i="12" s="1"/>
  <c r="C271" i="12"/>
  <c r="D271" i="12" s="1"/>
  <c r="E271" i="12" s="1"/>
  <c r="K290" i="13"/>
  <c r="J290" i="13" s="1"/>
  <c r="O290" i="13" s="1"/>
  <c r="M290" i="13"/>
  <c r="L268" i="12" l="1"/>
  <c r="M268" i="12" s="1"/>
  <c r="N268" i="12" s="1"/>
  <c r="C272" i="12"/>
  <c r="D272" i="12" s="1"/>
  <c r="E272" i="12" s="1"/>
  <c r="M291" i="13"/>
  <c r="K291" i="13"/>
  <c r="J291" i="13" s="1"/>
  <c r="O291" i="13" s="1"/>
  <c r="E283" i="13"/>
  <c r="C283" i="13"/>
  <c r="D283" i="13" s="1"/>
  <c r="L269" i="12" l="1"/>
  <c r="M269" i="12" s="1"/>
  <c r="N269" i="12" s="1"/>
  <c r="E273" i="12"/>
  <c r="C273" i="12"/>
  <c r="D273" i="12" s="1"/>
  <c r="M292" i="13"/>
  <c r="K292" i="13"/>
  <c r="J292" i="13" s="1"/>
  <c r="O292" i="13" s="1"/>
  <c r="C284" i="13"/>
  <c r="D284" i="13" s="1"/>
  <c r="E284" i="13" s="1"/>
  <c r="L270" i="12" l="1"/>
  <c r="M270" i="12" s="1"/>
  <c r="N270" i="12" s="1"/>
  <c r="C285" i="13"/>
  <c r="D285" i="13" s="1"/>
  <c r="E285" i="13" s="1"/>
  <c r="K293" i="13"/>
  <c r="J293" i="13" s="1"/>
  <c r="O293" i="13" s="1"/>
  <c r="M293" i="13"/>
  <c r="C274" i="12"/>
  <c r="D274" i="12" s="1"/>
  <c r="E274" i="12" s="1"/>
  <c r="C275" i="12" l="1"/>
  <c r="D275" i="12" s="1"/>
  <c r="E275" i="12" s="1"/>
  <c r="C286" i="13"/>
  <c r="D286" i="13" s="1"/>
  <c r="E286" i="13" s="1"/>
  <c r="L271" i="12"/>
  <c r="M271" i="12" s="1"/>
  <c r="N271" i="12" s="1"/>
  <c r="M294" i="13"/>
  <c r="K294" i="13"/>
  <c r="J294" i="13" s="1"/>
  <c r="O294" i="13" s="1"/>
  <c r="C287" i="13" l="1"/>
  <c r="D287" i="13" s="1"/>
  <c r="E287" i="13" s="1"/>
  <c r="C276" i="12"/>
  <c r="D276" i="12" s="1"/>
  <c r="E276" i="12" s="1"/>
  <c r="L272" i="12"/>
  <c r="M272" i="12" s="1"/>
  <c r="N272" i="12" s="1"/>
  <c r="M295" i="13"/>
  <c r="K295" i="13"/>
  <c r="J295" i="13" s="1"/>
  <c r="O295" i="13" s="1"/>
  <c r="L273" i="12" l="1"/>
  <c r="M273" i="12" s="1"/>
  <c r="N273" i="12" s="1"/>
  <c r="C277" i="12"/>
  <c r="D277" i="12" s="1"/>
  <c r="E277" i="12" s="1"/>
  <c r="C288" i="13"/>
  <c r="D288" i="13" s="1"/>
  <c r="E288" i="13"/>
  <c r="K296" i="13"/>
  <c r="J296" i="13" s="1"/>
  <c r="O296" i="13" s="1"/>
  <c r="M296" i="13"/>
  <c r="C278" i="12" l="1"/>
  <c r="D278" i="12" s="1"/>
  <c r="E278" i="12" s="1"/>
  <c r="C289" i="13"/>
  <c r="D289" i="13" s="1"/>
  <c r="E289" i="13" s="1"/>
  <c r="L274" i="12"/>
  <c r="M274" i="12" s="1"/>
  <c r="N274" i="12" s="1"/>
  <c r="M297" i="13"/>
  <c r="K297" i="13"/>
  <c r="J297" i="13" s="1"/>
  <c r="O297" i="13" s="1"/>
  <c r="C290" i="13" l="1"/>
  <c r="D290" i="13" s="1"/>
  <c r="E290" i="13" s="1"/>
  <c r="C279" i="12"/>
  <c r="D279" i="12" s="1"/>
  <c r="E279" i="12" s="1"/>
  <c r="L275" i="12"/>
  <c r="M275" i="12" s="1"/>
  <c r="N275" i="12" s="1"/>
  <c r="K298" i="13"/>
  <c r="J298" i="13" s="1"/>
  <c r="O298" i="13" s="1"/>
  <c r="M298" i="13"/>
  <c r="L276" i="12" l="1"/>
  <c r="M276" i="12" s="1"/>
  <c r="N276" i="12" s="1"/>
  <c r="C280" i="12"/>
  <c r="D280" i="12" s="1"/>
  <c r="E280" i="12" s="1"/>
  <c r="C291" i="13"/>
  <c r="D291" i="13" s="1"/>
  <c r="E291" i="13"/>
  <c r="K299" i="13"/>
  <c r="J299" i="13" s="1"/>
  <c r="O299" i="13" s="1"/>
  <c r="M299" i="13"/>
  <c r="L277" i="12" l="1"/>
  <c r="M277" i="12" s="1"/>
  <c r="N277" i="12" s="1"/>
  <c r="C281" i="12"/>
  <c r="D281" i="12" s="1"/>
  <c r="E281" i="12" s="1"/>
  <c r="C292" i="13"/>
  <c r="D292" i="13" s="1"/>
  <c r="E292" i="13" s="1"/>
  <c r="M300" i="13"/>
  <c r="K300" i="13"/>
  <c r="J300" i="13" s="1"/>
  <c r="O300" i="13" s="1"/>
  <c r="C293" i="13" l="1"/>
  <c r="D293" i="13" s="1"/>
  <c r="E293" i="13"/>
  <c r="C282" i="12"/>
  <c r="D282" i="12" s="1"/>
  <c r="E282" i="12" s="1"/>
  <c r="L278" i="12"/>
  <c r="M278" i="12" s="1"/>
  <c r="N278" i="12" s="1"/>
  <c r="M301" i="13"/>
  <c r="K301" i="13"/>
  <c r="J301" i="13" s="1"/>
  <c r="O301" i="13" s="1"/>
  <c r="L279" i="12" l="1"/>
  <c r="M279" i="12" s="1"/>
  <c r="N279" i="12" s="1"/>
  <c r="C283" i="12"/>
  <c r="D283" i="12" s="1"/>
  <c r="E283" i="12" s="1"/>
  <c r="C294" i="13"/>
  <c r="D294" i="13" s="1"/>
  <c r="E294" i="13" s="1"/>
  <c r="K302" i="13"/>
  <c r="J302" i="13" s="1"/>
  <c r="O302" i="13" s="1"/>
  <c r="M302" i="13"/>
  <c r="C295" i="13" l="1"/>
  <c r="D295" i="13" s="1"/>
  <c r="E295" i="13" s="1"/>
  <c r="C284" i="12"/>
  <c r="D284" i="12" s="1"/>
  <c r="E284" i="12" s="1"/>
  <c r="L280" i="12"/>
  <c r="M280" i="12" s="1"/>
  <c r="N280" i="12" s="1"/>
  <c r="M303" i="13"/>
  <c r="K303" i="13"/>
  <c r="J303" i="13" s="1"/>
  <c r="O303" i="13" s="1"/>
  <c r="L281" i="12" l="1"/>
  <c r="M281" i="12" s="1"/>
  <c r="N281" i="12" s="1"/>
  <c r="C285" i="12"/>
  <c r="D285" i="12" s="1"/>
  <c r="E285" i="12" s="1"/>
  <c r="C296" i="13"/>
  <c r="D296" i="13" s="1"/>
  <c r="E296" i="13" s="1"/>
  <c r="M304" i="13"/>
  <c r="K304" i="13"/>
  <c r="J304" i="13" s="1"/>
  <c r="O304" i="13" s="1"/>
  <c r="C297" i="13" l="1"/>
  <c r="D297" i="13" s="1"/>
  <c r="E297" i="13"/>
  <c r="C286" i="12"/>
  <c r="D286" i="12" s="1"/>
  <c r="E286" i="12" s="1"/>
  <c r="L282" i="12"/>
  <c r="M282" i="12" s="1"/>
  <c r="N282" i="12" s="1"/>
  <c r="K305" i="13"/>
  <c r="J305" i="13" s="1"/>
  <c r="O305" i="13" s="1"/>
  <c r="M305" i="13"/>
  <c r="L283" i="12" l="1"/>
  <c r="M283" i="12" s="1"/>
  <c r="N283" i="12" s="1"/>
  <c r="C287" i="12"/>
  <c r="D287" i="12" s="1"/>
  <c r="E287" i="12"/>
  <c r="M306" i="13"/>
  <c r="K306" i="13"/>
  <c r="J306" i="13" s="1"/>
  <c r="O306" i="13" s="1"/>
  <c r="C298" i="13"/>
  <c r="D298" i="13" s="1"/>
  <c r="E298" i="13" s="1"/>
  <c r="C299" i="13" l="1"/>
  <c r="D299" i="13" s="1"/>
  <c r="E299" i="13" s="1"/>
  <c r="L284" i="12"/>
  <c r="M284" i="12" s="1"/>
  <c r="N284" i="12" s="1"/>
  <c r="K307" i="13"/>
  <c r="J307" i="13" s="1"/>
  <c r="O307" i="13" s="1"/>
  <c r="M307" i="13"/>
  <c r="C288" i="12"/>
  <c r="D288" i="12" s="1"/>
  <c r="E288" i="12"/>
  <c r="L285" i="12" l="1"/>
  <c r="M285" i="12" s="1"/>
  <c r="N285" i="12" s="1"/>
  <c r="C300" i="13"/>
  <c r="D300" i="13" s="1"/>
  <c r="E300" i="13"/>
  <c r="K308" i="13"/>
  <c r="J308" i="13" s="1"/>
  <c r="O308" i="13" s="1"/>
  <c r="M308" i="13"/>
  <c r="C289" i="12"/>
  <c r="D289" i="12" s="1"/>
  <c r="E289" i="12"/>
  <c r="L286" i="12" l="1"/>
  <c r="M286" i="12" s="1"/>
  <c r="N286" i="12" s="1"/>
  <c r="C301" i="13"/>
  <c r="D301" i="13" s="1"/>
  <c r="E301" i="13" s="1"/>
  <c r="M309" i="13"/>
  <c r="K309" i="13"/>
  <c r="J309" i="13" s="1"/>
  <c r="O309" i="13" s="1"/>
  <c r="C290" i="12"/>
  <c r="D290" i="12" s="1"/>
  <c r="E290" i="12"/>
  <c r="C302" i="13" l="1"/>
  <c r="D302" i="13" s="1"/>
  <c r="E302" i="13"/>
  <c r="L287" i="12"/>
  <c r="M287" i="12" s="1"/>
  <c r="N287" i="12" s="1"/>
  <c r="K310" i="13"/>
  <c r="J310" i="13" s="1"/>
  <c r="O310" i="13" s="1"/>
  <c r="M310" i="13"/>
  <c r="C291" i="12"/>
  <c r="D291" i="12" s="1"/>
  <c r="E291" i="12" s="1"/>
  <c r="C292" i="12" l="1"/>
  <c r="D292" i="12" s="1"/>
  <c r="E292" i="12" s="1"/>
  <c r="L288" i="12"/>
  <c r="M288" i="12" s="1"/>
  <c r="N288" i="12" s="1"/>
  <c r="K311" i="13"/>
  <c r="J311" i="13" s="1"/>
  <c r="O311" i="13" s="1"/>
  <c r="M311" i="13"/>
  <c r="C303" i="13"/>
  <c r="D303" i="13" s="1"/>
  <c r="E303" i="13"/>
  <c r="L289" i="12" l="1"/>
  <c r="M289" i="12" s="1"/>
  <c r="N289" i="12" s="1"/>
  <c r="C293" i="12"/>
  <c r="D293" i="12" s="1"/>
  <c r="E293" i="12" s="1"/>
  <c r="M312" i="13"/>
  <c r="K312" i="13"/>
  <c r="J312" i="13" s="1"/>
  <c r="O312" i="13" s="1"/>
  <c r="C304" i="13"/>
  <c r="D304" i="13" s="1"/>
  <c r="E304" i="13" s="1"/>
  <c r="C305" i="13" l="1"/>
  <c r="D305" i="13" s="1"/>
  <c r="E305" i="13" s="1"/>
  <c r="C294" i="12"/>
  <c r="D294" i="12" s="1"/>
  <c r="E294" i="12" s="1"/>
  <c r="L290" i="12"/>
  <c r="M290" i="12" s="1"/>
  <c r="N290" i="12" s="1"/>
  <c r="M313" i="13"/>
  <c r="K313" i="13"/>
  <c r="J313" i="13" s="1"/>
  <c r="O313" i="13" s="1"/>
  <c r="L291" i="12" l="1"/>
  <c r="M291" i="12" s="1"/>
  <c r="N291" i="12" s="1"/>
  <c r="C295" i="12"/>
  <c r="D295" i="12" s="1"/>
  <c r="E295" i="12"/>
  <c r="C306" i="13"/>
  <c r="D306" i="13" s="1"/>
  <c r="E306" i="13" s="1"/>
  <c r="K314" i="13"/>
  <c r="J314" i="13" s="1"/>
  <c r="O314" i="13" s="1"/>
  <c r="M314" i="13"/>
  <c r="C307" i="13" l="1"/>
  <c r="D307" i="13" s="1"/>
  <c r="E307" i="13" s="1"/>
  <c r="C296" i="12"/>
  <c r="D296" i="12" s="1"/>
  <c r="E296" i="12"/>
  <c r="L292" i="12"/>
  <c r="M292" i="12" s="1"/>
  <c r="N292" i="12" s="1"/>
  <c r="M315" i="13"/>
  <c r="K315" i="13"/>
  <c r="J315" i="13" s="1"/>
  <c r="O315" i="13" s="1"/>
  <c r="L293" i="12" l="1"/>
  <c r="M293" i="12" s="1"/>
  <c r="N293" i="12" s="1"/>
  <c r="C308" i="13"/>
  <c r="D308" i="13" s="1"/>
  <c r="E308" i="13" s="1"/>
  <c r="C297" i="12"/>
  <c r="D297" i="12" s="1"/>
  <c r="E297" i="12" s="1"/>
  <c r="K316" i="13"/>
  <c r="J316" i="13" s="1"/>
  <c r="O316" i="13" s="1"/>
  <c r="M316" i="13"/>
  <c r="C298" i="12" l="1"/>
  <c r="D298" i="12" s="1"/>
  <c r="E298" i="12" s="1"/>
  <c r="C309" i="13"/>
  <c r="D309" i="13" s="1"/>
  <c r="E309" i="13"/>
  <c r="L294" i="12"/>
  <c r="M294" i="12" s="1"/>
  <c r="N294" i="12" s="1"/>
  <c r="K317" i="13"/>
  <c r="J317" i="13" s="1"/>
  <c r="O317" i="13" s="1"/>
  <c r="M317" i="13"/>
  <c r="L295" i="12" l="1"/>
  <c r="M295" i="12" s="1"/>
  <c r="N295" i="12" s="1"/>
  <c r="C299" i="12"/>
  <c r="D299" i="12" s="1"/>
  <c r="E299" i="12" s="1"/>
  <c r="C310" i="13"/>
  <c r="D310" i="13" s="1"/>
  <c r="E310" i="13" s="1"/>
  <c r="M318" i="13"/>
  <c r="K318" i="13"/>
  <c r="J318" i="13" s="1"/>
  <c r="O318" i="13" s="1"/>
  <c r="C311" i="13" l="1"/>
  <c r="D311" i="13" s="1"/>
  <c r="E311" i="13"/>
  <c r="C300" i="12"/>
  <c r="D300" i="12" s="1"/>
  <c r="E300" i="12"/>
  <c r="L296" i="12"/>
  <c r="M296" i="12" s="1"/>
  <c r="N296" i="12" s="1"/>
  <c r="M319" i="13"/>
  <c r="K319" i="13"/>
  <c r="J319" i="13" s="1"/>
  <c r="O319" i="13" s="1"/>
  <c r="L297" i="12" l="1"/>
  <c r="M297" i="12" s="1"/>
  <c r="N297" i="12" s="1"/>
  <c r="C301" i="12"/>
  <c r="D301" i="12" s="1"/>
  <c r="E301" i="12" s="1"/>
  <c r="C312" i="13"/>
  <c r="D312" i="13" s="1"/>
  <c r="E312" i="13"/>
  <c r="K320" i="13"/>
  <c r="J320" i="13" s="1"/>
  <c r="O320" i="13" s="1"/>
  <c r="M320" i="13"/>
  <c r="C302" i="12" l="1"/>
  <c r="D302" i="12" s="1"/>
  <c r="E302" i="12" s="1"/>
  <c r="L298" i="12"/>
  <c r="M298" i="12" s="1"/>
  <c r="N298" i="12" s="1"/>
  <c r="C313" i="13"/>
  <c r="D313" i="13" s="1"/>
  <c r="E313" i="13" s="1"/>
  <c r="M321" i="13"/>
  <c r="K321" i="13"/>
  <c r="J321" i="13" s="1"/>
  <c r="O321" i="13" s="1"/>
  <c r="C314" i="13" l="1"/>
  <c r="D314" i="13" s="1"/>
  <c r="E314" i="13"/>
  <c r="L299" i="12"/>
  <c r="M299" i="12" s="1"/>
  <c r="N299" i="12" s="1"/>
  <c r="C303" i="12"/>
  <c r="D303" i="12" s="1"/>
  <c r="E303" i="12" s="1"/>
  <c r="M322" i="13"/>
  <c r="K322" i="13"/>
  <c r="J322" i="13" s="1"/>
  <c r="O322" i="13" s="1"/>
  <c r="C304" i="12" l="1"/>
  <c r="D304" i="12" s="1"/>
  <c r="E304" i="12"/>
  <c r="L300" i="12"/>
  <c r="M300" i="12" s="1"/>
  <c r="N300" i="12" s="1"/>
  <c r="C315" i="13"/>
  <c r="D315" i="13" s="1"/>
  <c r="E315" i="13" s="1"/>
  <c r="K323" i="13"/>
  <c r="J323" i="13" s="1"/>
  <c r="O323" i="13" s="1"/>
  <c r="M323" i="13"/>
  <c r="L301" i="12" l="1"/>
  <c r="M301" i="12" s="1"/>
  <c r="N301" i="12" s="1"/>
  <c r="C316" i="13"/>
  <c r="D316" i="13" s="1"/>
  <c r="E316" i="13" s="1"/>
  <c r="C305" i="12"/>
  <c r="D305" i="12" s="1"/>
  <c r="E305" i="12" s="1"/>
  <c r="M324" i="13"/>
  <c r="K324" i="13"/>
  <c r="J324" i="13" s="1"/>
  <c r="O324" i="13" s="1"/>
  <c r="C306" i="12" l="1"/>
  <c r="D306" i="12" s="1"/>
  <c r="E306" i="12" s="1"/>
  <c r="C317" i="13"/>
  <c r="D317" i="13" s="1"/>
  <c r="E317" i="13" s="1"/>
  <c r="L302" i="12"/>
  <c r="M302" i="12" s="1"/>
  <c r="N302" i="12" s="1"/>
  <c r="K325" i="13"/>
  <c r="J325" i="13" s="1"/>
  <c r="O325" i="13" s="1"/>
  <c r="M325" i="13"/>
  <c r="L303" i="12" l="1"/>
  <c r="M303" i="12" s="1"/>
  <c r="N303" i="12" s="1"/>
  <c r="C318" i="13"/>
  <c r="D318" i="13" s="1"/>
  <c r="E318" i="13" s="1"/>
  <c r="C307" i="12"/>
  <c r="D307" i="12" s="1"/>
  <c r="E307" i="12" s="1"/>
  <c r="K326" i="13"/>
  <c r="J326" i="13" s="1"/>
  <c r="O326" i="13" s="1"/>
  <c r="M326" i="13"/>
  <c r="C308" i="12" l="1"/>
  <c r="D308" i="12" s="1"/>
  <c r="E308" i="12"/>
  <c r="C319" i="13"/>
  <c r="D319" i="13" s="1"/>
  <c r="E319" i="13" s="1"/>
  <c r="L304" i="12"/>
  <c r="M304" i="12" s="1"/>
  <c r="N304" i="12" s="1"/>
  <c r="M327" i="13"/>
  <c r="K327" i="13"/>
  <c r="J327" i="13" s="1"/>
  <c r="O327" i="13" s="1"/>
  <c r="L305" i="12" l="1"/>
  <c r="M305" i="12" s="1"/>
  <c r="N305" i="12" s="1"/>
  <c r="C320" i="13"/>
  <c r="D320" i="13" s="1"/>
  <c r="E320" i="13"/>
  <c r="C309" i="12"/>
  <c r="D309" i="12" s="1"/>
  <c r="E309" i="12" s="1"/>
  <c r="M328" i="13"/>
  <c r="K328" i="13"/>
  <c r="J328" i="13" s="1"/>
  <c r="O328" i="13" s="1"/>
  <c r="C310" i="12" l="1"/>
  <c r="D310" i="12" s="1"/>
  <c r="E310" i="12"/>
  <c r="C321" i="13"/>
  <c r="D321" i="13" s="1"/>
  <c r="E321" i="13" s="1"/>
  <c r="L306" i="12"/>
  <c r="M306" i="12" s="1"/>
  <c r="N306" i="12" s="1"/>
  <c r="K329" i="13"/>
  <c r="J329" i="13" s="1"/>
  <c r="O329" i="13" s="1"/>
  <c r="M329" i="13"/>
  <c r="L307" i="12" l="1"/>
  <c r="M307" i="12" s="1"/>
  <c r="N307" i="12" s="1"/>
  <c r="E322" i="13"/>
  <c r="C322" i="13"/>
  <c r="D322" i="13" s="1"/>
  <c r="C311" i="12"/>
  <c r="D311" i="12" s="1"/>
  <c r="E311" i="12" s="1"/>
  <c r="M330" i="13"/>
  <c r="K330" i="13"/>
  <c r="J330" i="13" s="1"/>
  <c r="O330" i="13" s="1"/>
  <c r="L308" i="12" l="1"/>
  <c r="M308" i="12" s="1"/>
  <c r="N308" i="12" s="1"/>
  <c r="E312" i="12"/>
  <c r="C312" i="12"/>
  <c r="D312" i="12" s="1"/>
  <c r="C323" i="13"/>
  <c r="D323" i="13" s="1"/>
  <c r="E323" i="13"/>
  <c r="M331" i="13"/>
  <c r="K331" i="13"/>
  <c r="J331" i="13" s="1"/>
  <c r="O331" i="13" s="1"/>
  <c r="L309" i="12" l="1"/>
  <c r="M309" i="12" s="1"/>
  <c r="N309" i="12" s="1"/>
  <c r="C324" i="13"/>
  <c r="D324" i="13" s="1"/>
  <c r="E324" i="13" s="1"/>
  <c r="C313" i="12"/>
  <c r="D313" i="12" s="1"/>
  <c r="E313" i="12" s="1"/>
  <c r="K332" i="13"/>
  <c r="J332" i="13" s="1"/>
  <c r="O332" i="13" s="1"/>
  <c r="M332" i="13"/>
  <c r="C314" i="12" l="1"/>
  <c r="D314" i="12" s="1"/>
  <c r="E314" i="12" s="1"/>
  <c r="E325" i="13"/>
  <c r="C325" i="13"/>
  <c r="D325" i="13" s="1"/>
  <c r="L310" i="12"/>
  <c r="M310" i="12" s="1"/>
  <c r="N310" i="12" s="1"/>
  <c r="M333" i="13"/>
  <c r="K333" i="13"/>
  <c r="J333" i="13" s="1"/>
  <c r="O333" i="13" s="1"/>
  <c r="L311" i="12" l="1"/>
  <c r="M311" i="12" s="1"/>
  <c r="N311" i="12" s="1"/>
  <c r="C315" i="12"/>
  <c r="D315" i="12" s="1"/>
  <c r="E315" i="12" s="1"/>
  <c r="C326" i="13"/>
  <c r="D326" i="13" s="1"/>
  <c r="E326" i="13" s="1"/>
  <c r="K334" i="13"/>
  <c r="J334" i="13" s="1"/>
  <c r="O334" i="13" s="1"/>
  <c r="M334" i="13"/>
  <c r="C327" i="13" l="1"/>
  <c r="D327" i="13" s="1"/>
  <c r="E327" i="13" s="1"/>
  <c r="C316" i="12"/>
  <c r="D316" i="12" s="1"/>
  <c r="E316" i="12" s="1"/>
  <c r="L312" i="12"/>
  <c r="M312" i="12" s="1"/>
  <c r="N312" i="12" s="1"/>
  <c r="K335" i="13"/>
  <c r="J335" i="13" s="1"/>
  <c r="O335" i="13" s="1"/>
  <c r="M335" i="13"/>
  <c r="L313" i="12" l="1"/>
  <c r="M313" i="12" s="1"/>
  <c r="N313" i="12" s="1"/>
  <c r="C317" i="12"/>
  <c r="D317" i="12" s="1"/>
  <c r="E317" i="12" s="1"/>
  <c r="C328" i="13"/>
  <c r="D328" i="13" s="1"/>
  <c r="E328" i="13" s="1"/>
  <c r="M336" i="13"/>
  <c r="K336" i="13"/>
  <c r="J336" i="13" s="1"/>
  <c r="O336" i="13" s="1"/>
  <c r="C329" i="13" l="1"/>
  <c r="D329" i="13" s="1"/>
  <c r="E329" i="13" s="1"/>
  <c r="C318" i="12"/>
  <c r="D318" i="12" s="1"/>
  <c r="E318" i="12" s="1"/>
  <c r="L314" i="12"/>
  <c r="M314" i="12" s="1"/>
  <c r="N314" i="12" s="1"/>
  <c r="M337" i="13"/>
  <c r="K337" i="13"/>
  <c r="J337" i="13" s="1"/>
  <c r="O337" i="13" s="1"/>
  <c r="L315" i="12" l="1"/>
  <c r="M315" i="12" s="1"/>
  <c r="N315" i="12" s="1"/>
  <c r="C319" i="12"/>
  <c r="D319" i="12" s="1"/>
  <c r="E319" i="12"/>
  <c r="C330" i="13"/>
  <c r="D330" i="13" s="1"/>
  <c r="E330" i="13" s="1"/>
  <c r="K338" i="13"/>
  <c r="J338" i="13" s="1"/>
  <c r="O338" i="13" s="1"/>
  <c r="M338" i="13"/>
  <c r="C331" i="13" l="1"/>
  <c r="D331" i="13" s="1"/>
  <c r="E331" i="13" s="1"/>
  <c r="L316" i="12"/>
  <c r="M316" i="12" s="1"/>
  <c r="N316" i="12" s="1"/>
  <c r="C320" i="12"/>
  <c r="D320" i="12" s="1"/>
  <c r="E320" i="12" s="1"/>
  <c r="M339" i="13"/>
  <c r="K339" i="13"/>
  <c r="J339" i="13" s="1"/>
  <c r="O339" i="13" s="1"/>
  <c r="C321" i="12" l="1"/>
  <c r="D321" i="12" s="1"/>
  <c r="E321" i="12" s="1"/>
  <c r="L317" i="12"/>
  <c r="M317" i="12" s="1"/>
  <c r="N317" i="12" s="1"/>
  <c r="C332" i="13"/>
  <c r="D332" i="13" s="1"/>
  <c r="E332" i="13" s="1"/>
  <c r="M340" i="13"/>
  <c r="K340" i="13"/>
  <c r="J340" i="13" s="1"/>
  <c r="O340" i="13" s="1"/>
  <c r="C333" i="13" l="1"/>
  <c r="D333" i="13" s="1"/>
  <c r="E333" i="13"/>
  <c r="C322" i="12"/>
  <c r="D322" i="12" s="1"/>
  <c r="E322" i="12" s="1"/>
  <c r="L318" i="12"/>
  <c r="M318" i="12" s="1"/>
  <c r="N318" i="12" s="1"/>
  <c r="K341" i="13"/>
  <c r="J341" i="13" s="1"/>
  <c r="O341" i="13" s="1"/>
  <c r="M341" i="13"/>
  <c r="L319" i="12" l="1"/>
  <c r="M319" i="12" s="1"/>
  <c r="N319" i="12" s="1"/>
  <c r="C323" i="12"/>
  <c r="D323" i="12" s="1"/>
  <c r="E323" i="12" s="1"/>
  <c r="C334" i="13"/>
  <c r="D334" i="13" s="1"/>
  <c r="E334" i="13" s="1"/>
  <c r="M342" i="13"/>
  <c r="K342" i="13"/>
  <c r="J342" i="13" s="1"/>
  <c r="O342" i="13" s="1"/>
  <c r="C335" i="13" l="1"/>
  <c r="D335" i="13" s="1"/>
  <c r="E335" i="13" s="1"/>
  <c r="C324" i="12"/>
  <c r="D324" i="12" s="1"/>
  <c r="E324" i="12" s="1"/>
  <c r="L320" i="12"/>
  <c r="M320" i="12" s="1"/>
  <c r="N320" i="12" s="1"/>
  <c r="M343" i="13"/>
  <c r="K343" i="13"/>
  <c r="J343" i="13" s="1"/>
  <c r="O343" i="13" s="1"/>
  <c r="L321" i="12" l="1"/>
  <c r="M321" i="12" s="1"/>
  <c r="N321" i="12" s="1"/>
  <c r="C325" i="12"/>
  <c r="D325" i="12" s="1"/>
  <c r="E325" i="12" s="1"/>
  <c r="C336" i="13"/>
  <c r="D336" i="13" s="1"/>
  <c r="E336" i="13" s="1"/>
  <c r="K344" i="13"/>
  <c r="J344" i="13" s="1"/>
  <c r="O344" i="13" s="1"/>
  <c r="M344" i="13"/>
  <c r="C337" i="13" l="1"/>
  <c r="D337" i="13" s="1"/>
  <c r="E337" i="13" s="1"/>
  <c r="C326" i="12"/>
  <c r="D326" i="12" s="1"/>
  <c r="E326" i="12"/>
  <c r="M345" i="13"/>
  <c r="K345" i="13"/>
  <c r="J345" i="13" s="1"/>
  <c r="O345" i="13" s="1"/>
  <c r="L322" i="12"/>
  <c r="M322" i="12" s="1"/>
  <c r="N322" i="12" s="1"/>
  <c r="C338" i="13" l="1"/>
  <c r="D338" i="13" s="1"/>
  <c r="E338" i="13"/>
  <c r="L323" i="12"/>
  <c r="M323" i="12" s="1"/>
  <c r="N323" i="12" s="1"/>
  <c r="M346" i="13"/>
  <c r="K346" i="13"/>
  <c r="J346" i="13" s="1"/>
  <c r="O346" i="13" s="1"/>
  <c r="C327" i="12"/>
  <c r="D327" i="12" s="1"/>
  <c r="E327" i="12"/>
  <c r="K347" i="13" l="1"/>
  <c r="J347" i="13" s="1"/>
  <c r="O347" i="13" s="1"/>
  <c r="M347" i="13"/>
  <c r="L324" i="12"/>
  <c r="M324" i="12" s="1"/>
  <c r="N324" i="12" s="1"/>
  <c r="C339" i="13"/>
  <c r="D339" i="13" s="1"/>
  <c r="E339" i="13" s="1"/>
  <c r="C328" i="12"/>
  <c r="D328" i="12" s="1"/>
  <c r="E328" i="12" s="1"/>
  <c r="C329" i="12" l="1"/>
  <c r="D329" i="12" s="1"/>
  <c r="E329" i="12" s="1"/>
  <c r="C340" i="13"/>
  <c r="D340" i="13" s="1"/>
  <c r="E340" i="13" s="1"/>
  <c r="L325" i="12"/>
  <c r="M325" i="12" s="1"/>
  <c r="N325" i="12" s="1"/>
  <c r="M348" i="13"/>
  <c r="K348" i="13"/>
  <c r="J348" i="13" s="1"/>
  <c r="O348" i="13" s="1"/>
  <c r="L326" i="12" l="1"/>
  <c r="M326" i="12" s="1"/>
  <c r="N326" i="12" s="1"/>
  <c r="C341" i="13"/>
  <c r="D341" i="13" s="1"/>
  <c r="E341" i="13"/>
  <c r="C330" i="12"/>
  <c r="D330" i="12" s="1"/>
  <c r="E330" i="12" s="1"/>
  <c r="K349" i="13"/>
  <c r="J349" i="13" s="1"/>
  <c r="O349" i="13" s="1"/>
  <c r="M349" i="13"/>
  <c r="C331" i="12" l="1"/>
  <c r="D331" i="12" s="1"/>
  <c r="E331" i="12"/>
  <c r="L327" i="12"/>
  <c r="M327" i="12" s="1"/>
  <c r="N327" i="12" s="1"/>
  <c r="C342" i="13"/>
  <c r="D342" i="13" s="1"/>
  <c r="E342" i="13" s="1"/>
  <c r="M350" i="13"/>
  <c r="K350" i="13"/>
  <c r="J350" i="13" s="1"/>
  <c r="O350" i="13" s="1"/>
  <c r="C343" i="13" l="1"/>
  <c r="D343" i="13" s="1"/>
  <c r="E343" i="13"/>
  <c r="L328" i="12"/>
  <c r="M328" i="12" s="1"/>
  <c r="N328" i="12" s="1"/>
  <c r="C332" i="12"/>
  <c r="D332" i="12" s="1"/>
  <c r="E332" i="12" s="1"/>
  <c r="K351" i="13"/>
  <c r="J351" i="13" s="1"/>
  <c r="O351" i="13" s="1"/>
  <c r="M351" i="13"/>
  <c r="C333" i="12" l="1"/>
  <c r="D333" i="12" s="1"/>
  <c r="E333" i="12" s="1"/>
  <c r="L329" i="12"/>
  <c r="M329" i="12" s="1"/>
  <c r="N329" i="12" s="1"/>
  <c r="C344" i="13"/>
  <c r="D344" i="13" s="1"/>
  <c r="E344" i="13" s="1"/>
  <c r="K352" i="13"/>
  <c r="J352" i="13" s="1"/>
  <c r="O352" i="13" s="1"/>
  <c r="M352" i="13"/>
  <c r="C345" i="13" l="1"/>
  <c r="D345" i="13" s="1"/>
  <c r="E345" i="13" s="1"/>
  <c r="L330" i="12"/>
  <c r="M330" i="12" s="1"/>
  <c r="N330" i="12" s="1"/>
  <c r="C334" i="12"/>
  <c r="D334" i="12" s="1"/>
  <c r="E334" i="12" s="1"/>
  <c r="M353" i="13"/>
  <c r="K353" i="13"/>
  <c r="J353" i="13" s="1"/>
  <c r="O353" i="13" s="1"/>
  <c r="C335" i="12" l="1"/>
  <c r="D335" i="12" s="1"/>
  <c r="E335" i="12"/>
  <c r="C346" i="13"/>
  <c r="D346" i="13" s="1"/>
  <c r="E346" i="13"/>
  <c r="L331" i="12"/>
  <c r="M331" i="12" s="1"/>
  <c r="N331" i="12" s="1"/>
  <c r="K354" i="13"/>
  <c r="J354" i="13" s="1"/>
  <c r="O354" i="13" s="1"/>
  <c r="M354" i="13"/>
  <c r="L332" i="12" l="1"/>
  <c r="M332" i="12" s="1"/>
  <c r="N332" i="12" s="1"/>
  <c r="C347" i="13"/>
  <c r="D347" i="13" s="1"/>
  <c r="E347" i="13" s="1"/>
  <c r="C336" i="12"/>
  <c r="D336" i="12" s="1"/>
  <c r="E336" i="12" s="1"/>
  <c r="K355" i="13"/>
  <c r="J355" i="13" s="1"/>
  <c r="O355" i="13" s="1"/>
  <c r="M355" i="13"/>
  <c r="C337" i="12" l="1"/>
  <c r="D337" i="12" s="1"/>
  <c r="E337" i="12"/>
  <c r="C348" i="13"/>
  <c r="D348" i="13" s="1"/>
  <c r="E348" i="13" s="1"/>
  <c r="L333" i="12"/>
  <c r="M333" i="12" s="1"/>
  <c r="N333" i="12" s="1"/>
  <c r="M356" i="13"/>
  <c r="K356" i="13"/>
  <c r="J356" i="13" s="1"/>
  <c r="O356" i="13" s="1"/>
  <c r="L334" i="12" l="1"/>
  <c r="M334" i="12" s="1"/>
  <c r="N334" i="12" s="1"/>
  <c r="C349" i="13"/>
  <c r="D349" i="13" s="1"/>
  <c r="E349" i="13"/>
  <c r="C338" i="12"/>
  <c r="D338" i="12" s="1"/>
  <c r="E338" i="12" s="1"/>
  <c r="M357" i="13"/>
  <c r="K357" i="13"/>
  <c r="J357" i="13" s="1"/>
  <c r="O357" i="13" s="1"/>
  <c r="C339" i="12" l="1"/>
  <c r="D339" i="12" s="1"/>
  <c r="E339" i="12" s="1"/>
  <c r="L335" i="12"/>
  <c r="M335" i="12" s="1"/>
  <c r="N335" i="12" s="1"/>
  <c r="C350" i="13"/>
  <c r="D350" i="13" s="1"/>
  <c r="E350" i="13" s="1"/>
  <c r="K358" i="13"/>
  <c r="J358" i="13" s="1"/>
  <c r="O358" i="13" s="1"/>
  <c r="M358" i="13"/>
  <c r="C351" i="13" l="1"/>
  <c r="D351" i="13" s="1"/>
  <c r="E351" i="13" s="1"/>
  <c r="L336" i="12"/>
  <c r="M336" i="12" s="1"/>
  <c r="N336" i="12" s="1"/>
  <c r="C340" i="12"/>
  <c r="D340" i="12" s="1"/>
  <c r="E340" i="12" s="1"/>
  <c r="M359" i="13"/>
  <c r="K359" i="13"/>
  <c r="J359" i="13" s="1"/>
  <c r="O359" i="13" s="1"/>
  <c r="C341" i="12" l="1"/>
  <c r="D341" i="12" s="1"/>
  <c r="E341" i="12" s="1"/>
  <c r="L337" i="12"/>
  <c r="M337" i="12" s="1"/>
  <c r="N337" i="12" s="1"/>
  <c r="C352" i="13"/>
  <c r="D352" i="13" s="1"/>
  <c r="E352" i="13" s="1"/>
  <c r="K360" i="13"/>
  <c r="J360" i="13" s="1"/>
  <c r="O360" i="13" s="1"/>
  <c r="M360" i="13"/>
  <c r="C353" i="13" l="1"/>
  <c r="D353" i="13" s="1"/>
  <c r="E353" i="13" s="1"/>
  <c r="L338" i="12"/>
  <c r="M338" i="12" s="1"/>
  <c r="N338" i="12" s="1"/>
  <c r="C342" i="12"/>
  <c r="D342" i="12" s="1"/>
  <c r="E342" i="12" s="1"/>
  <c r="K361" i="13"/>
  <c r="J361" i="13" s="1"/>
  <c r="O361" i="13" s="1"/>
  <c r="M361" i="13"/>
  <c r="C343" i="12" l="1"/>
  <c r="D343" i="12" s="1"/>
  <c r="E343" i="12" s="1"/>
  <c r="C354" i="13"/>
  <c r="D354" i="13" s="1"/>
  <c r="E354" i="13" s="1"/>
  <c r="L339" i="12"/>
  <c r="M339" i="12" s="1"/>
  <c r="N339" i="12" s="1"/>
  <c r="M362" i="13"/>
  <c r="K362" i="13"/>
  <c r="J362" i="13" s="1"/>
  <c r="O362" i="13" s="1"/>
  <c r="L340" i="12" l="1"/>
  <c r="M340" i="12" s="1"/>
  <c r="N340" i="12" s="1"/>
  <c r="C355" i="13"/>
  <c r="D355" i="13" s="1"/>
  <c r="E355" i="13"/>
  <c r="C344" i="12"/>
  <c r="D344" i="12" s="1"/>
  <c r="E344" i="12" s="1"/>
  <c r="M363" i="13"/>
  <c r="K363" i="13"/>
  <c r="J363" i="13" s="1"/>
  <c r="O363" i="13" s="1"/>
  <c r="C345" i="12" l="1"/>
  <c r="D345" i="12" s="1"/>
  <c r="E345" i="12" s="1"/>
  <c r="C356" i="13"/>
  <c r="D356" i="13" s="1"/>
  <c r="E356" i="13" s="1"/>
  <c r="L341" i="12"/>
  <c r="M341" i="12" s="1"/>
  <c r="N341" i="12" s="1"/>
  <c r="K364" i="13"/>
  <c r="J364" i="13" s="1"/>
  <c r="O364" i="13" s="1"/>
  <c r="M364" i="13"/>
  <c r="L342" i="12" l="1"/>
  <c r="M342" i="12" s="1"/>
  <c r="N342" i="12" s="1"/>
  <c r="C357" i="13"/>
  <c r="D357" i="13" s="1"/>
  <c r="E357" i="13" s="1"/>
  <c r="C346" i="12"/>
  <c r="D346" i="12" s="1"/>
  <c r="E346" i="12"/>
  <c r="M365" i="13"/>
  <c r="K365" i="13"/>
  <c r="J365" i="13" s="1"/>
  <c r="O365" i="13" s="1"/>
  <c r="C358" i="13" l="1"/>
  <c r="D358" i="13" s="1"/>
  <c r="E358" i="13" s="1"/>
  <c r="L343" i="12"/>
  <c r="M343" i="12" s="1"/>
  <c r="N343" i="12" s="1"/>
  <c r="C347" i="12"/>
  <c r="D347" i="12" s="1"/>
  <c r="E347" i="12" s="1"/>
  <c r="M366" i="13"/>
  <c r="K366" i="13"/>
  <c r="J366" i="13" s="1"/>
  <c r="O366" i="13" s="1"/>
  <c r="C348" i="12" l="1"/>
  <c r="D348" i="12" s="1"/>
  <c r="E348" i="12" s="1"/>
  <c r="C359" i="13"/>
  <c r="D359" i="13" s="1"/>
  <c r="E359" i="13" s="1"/>
  <c r="L344" i="12"/>
  <c r="M344" i="12" s="1"/>
  <c r="N344" i="12" s="1"/>
  <c r="K367" i="13"/>
  <c r="J367" i="13" s="1"/>
  <c r="O367" i="13" s="1"/>
  <c r="M367" i="13"/>
  <c r="C360" i="13" l="1"/>
  <c r="D360" i="13" s="1"/>
  <c r="E360" i="13" s="1"/>
  <c r="L345" i="12"/>
  <c r="M345" i="12" s="1"/>
  <c r="N345" i="12" s="1"/>
  <c r="C349" i="12"/>
  <c r="D349" i="12" s="1"/>
  <c r="E349" i="12" s="1"/>
  <c r="M368" i="13"/>
  <c r="K368" i="13"/>
  <c r="J368" i="13" s="1"/>
  <c r="O368" i="13" s="1"/>
  <c r="C350" i="12" l="1"/>
  <c r="D350" i="12" s="1"/>
  <c r="E350" i="12" s="1"/>
  <c r="L346" i="12"/>
  <c r="M346" i="12" s="1"/>
  <c r="N346" i="12" s="1"/>
  <c r="C361" i="13"/>
  <c r="D361" i="13" s="1"/>
  <c r="E361" i="13"/>
  <c r="K369" i="13"/>
  <c r="J369" i="13" s="1"/>
  <c r="O369" i="13" s="1"/>
  <c r="M369" i="13"/>
  <c r="C351" i="12" l="1"/>
  <c r="D351" i="12" s="1"/>
  <c r="E351" i="12" s="1"/>
  <c r="C362" i="13"/>
  <c r="D362" i="13" s="1"/>
  <c r="E362" i="13" s="1"/>
  <c r="K370" i="13"/>
  <c r="J370" i="13" s="1"/>
  <c r="O370" i="13" s="1"/>
  <c r="M370" i="13"/>
  <c r="L347" i="12"/>
  <c r="M347" i="12" s="1"/>
  <c r="N347" i="12" s="1"/>
  <c r="L348" i="12" l="1"/>
  <c r="M348" i="12" s="1"/>
  <c r="N348" i="12" s="1"/>
  <c r="C363" i="13"/>
  <c r="D363" i="13" s="1"/>
  <c r="E363" i="13" s="1"/>
  <c r="C352" i="12"/>
  <c r="D352" i="12" s="1"/>
  <c r="E352" i="12"/>
  <c r="M371" i="13"/>
  <c r="K371" i="13"/>
  <c r="J371" i="13" s="1"/>
  <c r="O371" i="13" s="1"/>
  <c r="C364" i="13" l="1"/>
  <c r="D364" i="13" s="1"/>
  <c r="E364" i="13"/>
  <c r="L349" i="12"/>
  <c r="M349" i="12" s="1"/>
  <c r="N349" i="12" s="1"/>
  <c r="C353" i="12"/>
  <c r="D353" i="12" s="1"/>
  <c r="E353" i="12" s="1"/>
  <c r="M372" i="13"/>
  <c r="K372" i="13"/>
  <c r="J372" i="13" s="1"/>
  <c r="O372" i="13" s="1"/>
  <c r="C354" i="12" l="1"/>
  <c r="D354" i="12" s="1"/>
  <c r="E354" i="12"/>
  <c r="L350" i="12"/>
  <c r="M350" i="12" s="1"/>
  <c r="N350" i="12" s="1"/>
  <c r="C365" i="13"/>
  <c r="D365" i="13" s="1"/>
  <c r="E365" i="13" s="1"/>
  <c r="K373" i="13"/>
  <c r="J373" i="13" s="1"/>
  <c r="O373" i="13" s="1"/>
  <c r="M373" i="13"/>
  <c r="C366" i="13" l="1"/>
  <c r="D366" i="13" s="1"/>
  <c r="E366" i="13" s="1"/>
  <c r="L351" i="12"/>
  <c r="M351" i="12" s="1"/>
  <c r="N351" i="12" s="1"/>
  <c r="M374" i="13"/>
  <c r="K374" i="13"/>
  <c r="J374" i="13" s="1"/>
  <c r="O374" i="13" s="1"/>
  <c r="C355" i="12"/>
  <c r="D355" i="12" s="1"/>
  <c r="E355" i="12" s="1"/>
  <c r="C356" i="12" l="1"/>
  <c r="D356" i="12" s="1"/>
  <c r="E356" i="12" s="1"/>
  <c r="L352" i="12"/>
  <c r="M352" i="12" s="1"/>
  <c r="N352" i="12" s="1"/>
  <c r="C367" i="13"/>
  <c r="D367" i="13" s="1"/>
  <c r="E367" i="13"/>
  <c r="M375" i="13"/>
  <c r="K375" i="13"/>
  <c r="J375" i="13" s="1"/>
  <c r="O375" i="13" s="1"/>
  <c r="L353" i="12" l="1"/>
  <c r="M353" i="12" s="1"/>
  <c r="N353" i="12" s="1"/>
  <c r="C357" i="12"/>
  <c r="D357" i="12" s="1"/>
  <c r="E357" i="12" s="1"/>
  <c r="C368" i="13"/>
  <c r="D368" i="13" s="1"/>
  <c r="E368" i="13" s="1"/>
  <c r="M376" i="13"/>
  <c r="K376" i="13"/>
  <c r="J376" i="13" s="1"/>
  <c r="O376" i="13" s="1"/>
  <c r="C358" i="12" l="1"/>
  <c r="D358" i="12" s="1"/>
  <c r="E358" i="12"/>
  <c r="C369" i="13"/>
  <c r="D369" i="13" s="1"/>
  <c r="E369" i="13"/>
  <c r="L354" i="12"/>
  <c r="M354" i="12" s="1"/>
  <c r="N354" i="12" s="1"/>
  <c r="M377" i="13"/>
  <c r="K377" i="13"/>
  <c r="J377" i="13" s="1"/>
  <c r="O377" i="13" s="1"/>
  <c r="L355" i="12" l="1"/>
  <c r="M355" i="12" s="1"/>
  <c r="N355" i="12" s="1"/>
  <c r="C370" i="13"/>
  <c r="D370" i="13" s="1"/>
  <c r="E370" i="13" s="1"/>
  <c r="C359" i="12"/>
  <c r="D359" i="12" s="1"/>
  <c r="E359" i="12"/>
  <c r="K378" i="13"/>
  <c r="J378" i="13" s="1"/>
  <c r="O378" i="13" s="1"/>
  <c r="M378" i="13"/>
  <c r="C371" i="13" l="1"/>
  <c r="D371" i="13" s="1"/>
  <c r="E371" i="13" s="1"/>
  <c r="C360" i="12"/>
  <c r="D360" i="12" s="1"/>
  <c r="E360" i="12" s="1"/>
  <c r="M379" i="13"/>
  <c r="K379" i="13"/>
  <c r="J379" i="13" s="1"/>
  <c r="O379" i="13" s="1"/>
  <c r="L356" i="12"/>
  <c r="M356" i="12" s="1"/>
  <c r="N356" i="12" s="1"/>
  <c r="L357" i="12" l="1"/>
  <c r="M357" i="12" s="1"/>
  <c r="N357" i="12" s="1"/>
  <c r="C361" i="12"/>
  <c r="D361" i="12" s="1"/>
  <c r="E361" i="12" s="1"/>
  <c r="C372" i="13"/>
  <c r="D372" i="13" s="1"/>
  <c r="E372" i="13" s="1"/>
  <c r="K380" i="13"/>
  <c r="J380" i="13" s="1"/>
  <c r="O380" i="13" s="1"/>
  <c r="M380" i="13"/>
  <c r="C373" i="13" l="1"/>
  <c r="D373" i="13" s="1"/>
  <c r="E373" i="13"/>
  <c r="C362" i="12"/>
  <c r="D362" i="12" s="1"/>
  <c r="E362" i="12" s="1"/>
  <c r="K381" i="13"/>
  <c r="J381" i="13" s="1"/>
  <c r="O381" i="13" s="1"/>
  <c r="M381" i="13"/>
  <c r="L358" i="12"/>
  <c r="M358" i="12" s="1"/>
  <c r="N358" i="12" s="1"/>
  <c r="C363" i="12" l="1"/>
  <c r="D363" i="12" s="1"/>
  <c r="E363" i="12" s="1"/>
  <c r="M382" i="13"/>
  <c r="K382" i="13"/>
  <c r="J382" i="13" s="1"/>
  <c r="O382" i="13" s="1"/>
  <c r="L359" i="12"/>
  <c r="M359" i="12" s="1"/>
  <c r="N359" i="12" s="1"/>
  <c r="C374" i="13"/>
  <c r="D374" i="13" s="1"/>
  <c r="E374" i="13" s="1"/>
  <c r="C375" i="13" l="1"/>
  <c r="D375" i="13" s="1"/>
  <c r="E375" i="13"/>
  <c r="L360" i="12"/>
  <c r="M360" i="12" s="1"/>
  <c r="N360" i="12" s="1"/>
  <c r="C364" i="12"/>
  <c r="D364" i="12" s="1"/>
  <c r="E364" i="12" s="1"/>
  <c r="M383" i="13"/>
  <c r="K383" i="13"/>
  <c r="J383" i="13" s="1"/>
  <c r="O383" i="13" s="1"/>
  <c r="C365" i="12" l="1"/>
  <c r="D365" i="12" s="1"/>
  <c r="E365" i="12" s="1"/>
  <c r="L361" i="12"/>
  <c r="M361" i="12" s="1"/>
  <c r="N361" i="12" s="1"/>
  <c r="C376" i="13"/>
  <c r="D376" i="13" s="1"/>
  <c r="E376" i="13" s="1"/>
  <c r="K384" i="13"/>
  <c r="J384" i="13" s="1"/>
  <c r="O384" i="13" s="1"/>
  <c r="M384" i="13"/>
  <c r="C377" i="13" l="1"/>
  <c r="D377" i="13" s="1"/>
  <c r="E377" i="13" s="1"/>
  <c r="L362" i="12"/>
  <c r="M362" i="12" s="1"/>
  <c r="N362" i="12" s="1"/>
  <c r="C366" i="12"/>
  <c r="D366" i="12" s="1"/>
  <c r="E366" i="12" s="1"/>
  <c r="M385" i="13"/>
  <c r="K385" i="13"/>
  <c r="J385" i="13" s="1"/>
  <c r="O385" i="13" s="1"/>
  <c r="C367" i="12" l="1"/>
  <c r="D367" i="12" s="1"/>
  <c r="E367" i="12"/>
  <c r="L363" i="12"/>
  <c r="M363" i="12" s="1"/>
  <c r="N363" i="12" s="1"/>
  <c r="C378" i="13"/>
  <c r="D378" i="13" s="1"/>
  <c r="E378" i="13" s="1"/>
  <c r="M386" i="13"/>
  <c r="K386" i="13"/>
  <c r="J386" i="13" s="1"/>
  <c r="O386" i="13" s="1"/>
  <c r="C379" i="13" l="1"/>
  <c r="D379" i="13" s="1"/>
  <c r="E379" i="13" s="1"/>
  <c r="L364" i="12"/>
  <c r="M364" i="12" s="1"/>
  <c r="N364" i="12" s="1"/>
  <c r="C368" i="12"/>
  <c r="D368" i="12" s="1"/>
  <c r="E368" i="12" s="1"/>
  <c r="K387" i="13"/>
  <c r="J387" i="13" s="1"/>
  <c r="O387" i="13" s="1"/>
  <c r="M387" i="13"/>
  <c r="C369" i="12" l="1"/>
  <c r="D369" i="12" s="1"/>
  <c r="E369" i="12" s="1"/>
  <c r="C380" i="13"/>
  <c r="D380" i="13" s="1"/>
  <c r="E380" i="13" s="1"/>
  <c r="L365" i="12"/>
  <c r="M365" i="12" s="1"/>
  <c r="N365" i="12" s="1"/>
  <c r="M388" i="13"/>
  <c r="K388" i="13"/>
  <c r="J388" i="13" s="1"/>
  <c r="O388" i="13" s="1"/>
  <c r="L366" i="12" l="1"/>
  <c r="M366" i="12" s="1"/>
  <c r="N366" i="12" s="1"/>
  <c r="C381" i="13"/>
  <c r="D381" i="13" s="1"/>
  <c r="E381" i="13" s="1"/>
  <c r="C370" i="12"/>
  <c r="D370" i="12" s="1"/>
  <c r="E370" i="12" s="1"/>
  <c r="M389" i="13"/>
  <c r="K389" i="13"/>
  <c r="J389" i="13" s="1"/>
  <c r="O389" i="13" s="1"/>
  <c r="C371" i="12" l="1"/>
  <c r="D371" i="12" s="1"/>
  <c r="E371" i="12" s="1"/>
  <c r="C382" i="13"/>
  <c r="D382" i="13" s="1"/>
  <c r="E382" i="13" s="1"/>
  <c r="L367" i="12"/>
  <c r="M367" i="12" s="1"/>
  <c r="N367" i="12" s="1"/>
  <c r="K390" i="13"/>
  <c r="J390" i="13" s="1"/>
  <c r="O390" i="13" s="1"/>
  <c r="M390" i="13"/>
  <c r="L368" i="12" l="1"/>
  <c r="M368" i="12" s="1"/>
  <c r="N368" i="12" s="1"/>
  <c r="C383" i="13"/>
  <c r="D383" i="13" s="1"/>
  <c r="E383" i="13" s="1"/>
  <c r="C372" i="12"/>
  <c r="D372" i="12" s="1"/>
  <c r="E372" i="12"/>
  <c r="M391" i="13"/>
  <c r="K391" i="13"/>
  <c r="J391" i="13" s="1"/>
  <c r="O391" i="13" s="1"/>
  <c r="C384" i="13" l="1"/>
  <c r="D384" i="13" s="1"/>
  <c r="E384" i="13"/>
  <c r="L369" i="12"/>
  <c r="M369" i="12" s="1"/>
  <c r="N369" i="12" s="1"/>
  <c r="C373" i="12"/>
  <c r="D373" i="12" s="1"/>
  <c r="E373" i="12" s="1"/>
  <c r="M392" i="13"/>
  <c r="K392" i="13"/>
  <c r="J392" i="13" s="1"/>
  <c r="O392" i="13" s="1"/>
  <c r="C374" i="12" l="1"/>
  <c r="D374" i="12" s="1"/>
  <c r="E374" i="12" s="1"/>
  <c r="L370" i="12"/>
  <c r="M370" i="12" s="1"/>
  <c r="N370" i="12" s="1"/>
  <c r="C385" i="13"/>
  <c r="D385" i="13" s="1"/>
  <c r="E385" i="13" s="1"/>
  <c r="K393" i="13"/>
  <c r="J393" i="13" s="1"/>
  <c r="O393" i="13" s="1"/>
  <c r="M393" i="13"/>
  <c r="C386" i="13" l="1"/>
  <c r="D386" i="13" s="1"/>
  <c r="E386" i="13" s="1"/>
  <c r="L371" i="12"/>
  <c r="M371" i="12" s="1"/>
  <c r="N371" i="12" s="1"/>
  <c r="C375" i="12"/>
  <c r="D375" i="12" s="1"/>
  <c r="E375" i="12" s="1"/>
  <c r="M394" i="13"/>
  <c r="K394" i="13"/>
  <c r="J394" i="13" s="1"/>
  <c r="O394" i="13" s="1"/>
  <c r="C376" i="12" l="1"/>
  <c r="D376" i="12" s="1"/>
  <c r="E376" i="12" s="1"/>
  <c r="L372" i="12"/>
  <c r="M372" i="12" s="1"/>
  <c r="N372" i="12" s="1"/>
  <c r="C387" i="13"/>
  <c r="D387" i="13" s="1"/>
  <c r="E387" i="13" s="1"/>
  <c r="M395" i="13"/>
  <c r="K395" i="13"/>
  <c r="J395" i="13" s="1"/>
  <c r="O395" i="13" s="1"/>
  <c r="C388" i="13" l="1"/>
  <c r="D388" i="13" s="1"/>
  <c r="E388" i="13" s="1"/>
  <c r="L373" i="12"/>
  <c r="M373" i="12" s="1"/>
  <c r="N373" i="12" s="1"/>
  <c r="C377" i="12"/>
  <c r="D377" i="12" s="1"/>
  <c r="E377" i="12" s="1"/>
  <c r="K396" i="13"/>
  <c r="J396" i="13" s="1"/>
  <c r="O396" i="13" s="1"/>
  <c r="M396" i="13"/>
  <c r="C378" i="12" l="1"/>
  <c r="D378" i="12" s="1"/>
  <c r="E378" i="12"/>
  <c r="C389" i="13"/>
  <c r="D389" i="13" s="1"/>
  <c r="E389" i="13" s="1"/>
  <c r="L374" i="12"/>
  <c r="M374" i="12" s="1"/>
  <c r="N374" i="12" s="1"/>
  <c r="M397" i="13"/>
  <c r="K397" i="13"/>
  <c r="J397" i="13" s="1"/>
  <c r="O397" i="13" s="1"/>
  <c r="L375" i="12" l="1"/>
  <c r="M375" i="12" s="1"/>
  <c r="N375" i="12" s="1"/>
  <c r="C390" i="13"/>
  <c r="D390" i="13" s="1"/>
  <c r="E390" i="13" s="1"/>
  <c r="C379" i="12"/>
  <c r="D379" i="12" s="1"/>
  <c r="E379" i="12" s="1"/>
  <c r="K398" i="13"/>
  <c r="J398" i="13" s="1"/>
  <c r="O398" i="13" s="1"/>
  <c r="M398" i="13"/>
  <c r="C380" i="12" l="1"/>
  <c r="D380" i="12" s="1"/>
  <c r="E380" i="12" s="1"/>
  <c r="C391" i="13"/>
  <c r="D391" i="13" s="1"/>
  <c r="E391" i="13" s="1"/>
  <c r="L376" i="12"/>
  <c r="M376" i="12" s="1"/>
  <c r="N376" i="12" s="1"/>
  <c r="K399" i="13"/>
  <c r="J399" i="13" s="1"/>
  <c r="O399" i="13" s="1"/>
  <c r="M399" i="13"/>
  <c r="L377" i="12" l="1"/>
  <c r="M377" i="12" s="1"/>
  <c r="N377" i="12" s="1"/>
  <c r="C392" i="13"/>
  <c r="D392" i="13" s="1"/>
  <c r="E392" i="13" s="1"/>
  <c r="C381" i="12"/>
  <c r="D381" i="12" s="1"/>
  <c r="E381" i="12"/>
  <c r="M400" i="13"/>
  <c r="K400" i="13"/>
  <c r="J400" i="13" s="1"/>
  <c r="O400" i="13" s="1"/>
  <c r="C393" i="13" l="1"/>
  <c r="D393" i="13" s="1"/>
  <c r="E393" i="13"/>
  <c r="L378" i="12"/>
  <c r="M378" i="12" s="1"/>
  <c r="N378" i="12" s="1"/>
  <c r="C382" i="12"/>
  <c r="D382" i="12" s="1"/>
  <c r="E382" i="12"/>
  <c r="M401" i="13"/>
  <c r="K401" i="13"/>
  <c r="J401" i="13" s="1"/>
  <c r="O401" i="13" s="1"/>
  <c r="L379" i="12" l="1"/>
  <c r="M379" i="12" s="1"/>
  <c r="N379" i="12" s="1"/>
  <c r="C394" i="13"/>
  <c r="D394" i="13" s="1"/>
  <c r="E394" i="13" s="1"/>
  <c r="C383" i="12"/>
  <c r="D383" i="12" s="1"/>
  <c r="E383" i="12" s="1"/>
  <c r="K402" i="13"/>
  <c r="J402" i="13" s="1"/>
  <c r="O402" i="13" s="1"/>
  <c r="M402" i="13"/>
  <c r="C384" i="12" l="1"/>
  <c r="D384" i="12" s="1"/>
  <c r="E384" i="12" s="1"/>
  <c r="C395" i="13"/>
  <c r="D395" i="13" s="1"/>
  <c r="E395" i="13" s="1"/>
  <c r="L380" i="12"/>
  <c r="M380" i="12" s="1"/>
  <c r="N380" i="12" s="1"/>
  <c r="M403" i="13"/>
  <c r="K403" i="13"/>
  <c r="J403" i="13" s="1"/>
  <c r="O403" i="13" s="1"/>
  <c r="L381" i="12" l="1"/>
  <c r="M381" i="12" s="1"/>
  <c r="N381" i="12" s="1"/>
  <c r="C396" i="13"/>
  <c r="D396" i="13" s="1"/>
  <c r="E396" i="13" s="1"/>
  <c r="C385" i="12"/>
  <c r="D385" i="12" s="1"/>
  <c r="E385" i="12" s="1"/>
  <c r="K404" i="13"/>
  <c r="J404" i="13" s="1"/>
  <c r="O404" i="13" s="1"/>
  <c r="M404" i="13"/>
  <c r="C386" i="12" l="1"/>
  <c r="C397" i="13"/>
  <c r="D397" i="13" s="1"/>
  <c r="E397" i="13" s="1"/>
  <c r="K405" i="13"/>
  <c r="J405" i="13" s="1"/>
  <c r="O405" i="13" s="1"/>
  <c r="M405" i="13"/>
  <c r="L382" i="12"/>
  <c r="M382" i="12" s="1"/>
  <c r="N382" i="12" s="1"/>
  <c r="L383" i="12" l="1"/>
  <c r="M383" i="12" s="1"/>
  <c r="N383" i="12" s="1"/>
  <c r="C398" i="13"/>
  <c r="D398" i="13" s="1"/>
  <c r="E398" i="13" s="1"/>
  <c r="M406" i="13"/>
  <c r="K406" i="13"/>
  <c r="J406" i="13" s="1"/>
  <c r="O406" i="13" s="1"/>
  <c r="C387" i="12"/>
  <c r="C399" i="13" l="1"/>
  <c r="D399" i="13" s="1"/>
  <c r="E399" i="13"/>
  <c r="M407" i="13"/>
  <c r="K407" i="13"/>
  <c r="J407" i="13" s="1"/>
  <c r="O407" i="13" s="1"/>
  <c r="L384" i="12"/>
  <c r="M384" i="12" s="1"/>
  <c r="N384" i="12" s="1"/>
  <c r="D387" i="12"/>
  <c r="E386" i="12"/>
  <c r="L385" i="12" l="1"/>
  <c r="M385" i="12" s="1"/>
  <c r="N385" i="12" s="1"/>
  <c r="K408" i="13"/>
  <c r="J408" i="13" s="1"/>
  <c r="O408" i="13" s="1"/>
  <c r="M408" i="13"/>
  <c r="C400" i="13"/>
  <c r="D400" i="13" s="1"/>
  <c r="E400" i="13" s="1"/>
  <c r="C401" i="13" l="1"/>
  <c r="D401" i="13" s="1"/>
  <c r="E401" i="13" s="1"/>
  <c r="L386" i="12"/>
  <c r="M386" i="12" s="1"/>
  <c r="N386" i="12" s="1"/>
  <c r="M409" i="13"/>
  <c r="K409" i="13"/>
  <c r="J409" i="13" s="1"/>
  <c r="O409" i="13" s="1"/>
  <c r="L387" i="12" l="1"/>
  <c r="M387" i="12" s="1"/>
  <c r="N387" i="12" s="1"/>
  <c r="C402" i="13"/>
  <c r="D402" i="13" s="1"/>
  <c r="E402" i="13" s="1"/>
  <c r="M410" i="13"/>
  <c r="K410" i="13"/>
  <c r="J410" i="13" s="1"/>
  <c r="O410" i="13" s="1"/>
  <c r="C403" i="13" l="1"/>
  <c r="D403" i="13" s="1"/>
  <c r="E403" i="13" s="1"/>
  <c r="L388" i="12"/>
  <c r="M388" i="12" s="1"/>
  <c r="N388" i="12" s="1"/>
  <c r="K411" i="13"/>
  <c r="J411" i="13" s="1"/>
  <c r="O411" i="13" s="1"/>
  <c r="M411" i="13"/>
  <c r="L389" i="12" l="1"/>
  <c r="M389" i="12" s="1"/>
  <c r="N389" i="12" s="1"/>
  <c r="C404" i="13"/>
  <c r="D404" i="13" s="1"/>
  <c r="E404" i="13" s="1"/>
  <c r="M412" i="13"/>
  <c r="K412" i="13"/>
  <c r="J412" i="13" s="1"/>
  <c r="O412" i="13" s="1"/>
  <c r="C405" i="13" l="1"/>
  <c r="D405" i="13" s="1"/>
  <c r="E405" i="13"/>
  <c r="L390" i="12"/>
  <c r="M390" i="12" s="1"/>
  <c r="N390" i="12" s="1"/>
  <c r="M413" i="13"/>
  <c r="K413" i="13"/>
  <c r="J413" i="13" s="1"/>
  <c r="O413" i="13" s="1"/>
  <c r="L391" i="12" l="1"/>
  <c r="M391" i="12" s="1"/>
  <c r="N391" i="12" s="1"/>
  <c r="K414" i="13"/>
  <c r="J414" i="13" s="1"/>
  <c r="O414" i="13" s="1"/>
  <c r="M414" i="13"/>
  <c r="C406" i="13"/>
  <c r="D406" i="13" s="1"/>
  <c r="E406" i="13" s="1"/>
  <c r="C407" i="13" l="1"/>
  <c r="D407" i="13" s="1"/>
  <c r="E407" i="13" s="1"/>
  <c r="M415" i="13"/>
  <c r="K415" i="13"/>
  <c r="J415" i="13" s="1"/>
  <c r="O415" i="13" s="1"/>
  <c r="L392" i="12"/>
  <c r="M392" i="12" s="1"/>
  <c r="N392" i="12" s="1"/>
  <c r="L393" i="12" l="1"/>
  <c r="M393" i="12" s="1"/>
  <c r="N393" i="12" s="1"/>
  <c r="C408" i="13"/>
  <c r="D408" i="13" s="1"/>
  <c r="E408" i="13" s="1"/>
  <c r="K416" i="13"/>
  <c r="J416" i="13" s="1"/>
  <c r="O416" i="13" s="1"/>
  <c r="M416" i="13"/>
  <c r="C409" i="13" l="1"/>
  <c r="D409" i="13" s="1"/>
  <c r="E409" i="13" s="1"/>
  <c r="L394" i="12"/>
  <c r="M394" i="12" s="1"/>
  <c r="N394" i="12" s="1"/>
  <c r="K417" i="13"/>
  <c r="J417" i="13" s="1"/>
  <c r="O417" i="13" s="1"/>
  <c r="M417" i="13"/>
  <c r="L395" i="12" l="1"/>
  <c r="M395" i="12" s="1"/>
  <c r="N395" i="12" s="1"/>
  <c r="C410" i="13"/>
  <c r="D410" i="13" s="1"/>
  <c r="E410" i="13" s="1"/>
  <c r="M418" i="13"/>
  <c r="K418" i="13"/>
  <c r="J418" i="13" s="1"/>
  <c r="O418" i="13" s="1"/>
  <c r="C411" i="13" l="1"/>
  <c r="D411" i="13" s="1"/>
  <c r="E411" i="13"/>
  <c r="L396" i="12"/>
  <c r="M396" i="12" s="1"/>
  <c r="N396" i="12" s="1"/>
  <c r="M419" i="13"/>
  <c r="K419" i="13"/>
  <c r="J419" i="13" s="1"/>
  <c r="O419" i="13" s="1"/>
  <c r="L397" i="12" l="1"/>
  <c r="M397" i="12" s="1"/>
  <c r="N397" i="12" s="1"/>
  <c r="K420" i="13"/>
  <c r="M420" i="13"/>
  <c r="C412" i="13"/>
  <c r="D412" i="13" s="1"/>
  <c r="E412" i="13" s="1"/>
  <c r="C413" i="13" l="1"/>
  <c r="D413" i="13" s="1"/>
  <c r="E413" i="13" s="1"/>
  <c r="L398" i="12"/>
  <c r="M398" i="12" s="1"/>
  <c r="N398" i="12" s="1"/>
  <c r="J420" i="13"/>
  <c r="K421" i="13"/>
  <c r="L399" i="12" l="1"/>
  <c r="M399" i="12" s="1"/>
  <c r="N399" i="12" s="1"/>
  <c r="C414" i="13"/>
  <c r="D414" i="13" s="1"/>
  <c r="E414" i="13"/>
  <c r="O420" i="13"/>
  <c r="O421" i="13" s="1"/>
  <c r="J421" i="13"/>
  <c r="C415" i="13" l="1"/>
  <c r="D415" i="13" s="1"/>
  <c r="E415" i="13" s="1"/>
  <c r="L400" i="12"/>
  <c r="M400" i="12" s="1"/>
  <c r="N400" i="12" s="1"/>
  <c r="L401" i="12" l="1"/>
  <c r="M401" i="12" s="1"/>
  <c r="N401" i="12" s="1"/>
  <c r="C416" i="13"/>
  <c r="D416" i="13" s="1"/>
  <c r="E416" i="13" s="1"/>
  <c r="C417" i="13" l="1"/>
  <c r="D417" i="13" s="1"/>
  <c r="E417" i="13"/>
  <c r="L402" i="12"/>
  <c r="M402" i="12" s="1"/>
  <c r="N402" i="12" s="1"/>
  <c r="L403" i="12" l="1"/>
  <c r="M403" i="12" s="1"/>
  <c r="N403" i="12" s="1"/>
  <c r="C418" i="13"/>
  <c r="D418" i="13" s="1"/>
  <c r="E418" i="13" s="1"/>
  <c r="C419" i="13" l="1"/>
  <c r="D419" i="13" s="1"/>
  <c r="E419" i="13" s="1"/>
  <c r="L404" i="12"/>
  <c r="M404" i="12" s="1"/>
  <c r="N404" i="12" s="1"/>
  <c r="L405" i="12" l="1"/>
  <c r="M405" i="12" s="1"/>
  <c r="N405" i="12" s="1"/>
  <c r="C420" i="13"/>
  <c r="L406" i="12" l="1"/>
  <c r="M406" i="12" s="1"/>
  <c r="N406" i="12" s="1"/>
  <c r="D420" i="13"/>
  <c r="C421" i="13"/>
  <c r="L407" i="12" l="1"/>
  <c r="M407" i="12" s="1"/>
  <c r="N407" i="12" s="1"/>
  <c r="D421" i="13"/>
  <c r="E420" i="13"/>
  <c r="L408" i="12" l="1"/>
  <c r="M408" i="12" s="1"/>
  <c r="N408" i="12" s="1"/>
  <c r="L409" i="12" l="1"/>
  <c r="M409" i="12" s="1"/>
  <c r="N409" i="12" s="1"/>
  <c r="L410" i="12" l="1"/>
  <c r="M410" i="12" s="1"/>
  <c r="N410" i="12" s="1"/>
  <c r="L411" i="12" l="1"/>
  <c r="M411" i="12" s="1"/>
  <c r="N411" i="12" s="1"/>
  <c r="L412" i="12" l="1"/>
  <c r="M412" i="12" s="1"/>
  <c r="N412" i="12" s="1"/>
  <c r="L413" i="12" l="1"/>
  <c r="M413" i="12" s="1"/>
  <c r="N413" i="12" s="1"/>
  <c r="L414" i="12" l="1"/>
  <c r="M414" i="12" s="1"/>
  <c r="N414" i="12" s="1"/>
  <c r="L415" i="12" l="1"/>
  <c r="M415" i="12" s="1"/>
  <c r="N415" i="12" s="1"/>
  <c r="L416" i="12" l="1"/>
  <c r="M416" i="12" s="1"/>
  <c r="N416" i="12" s="1"/>
  <c r="L417" i="12" l="1"/>
  <c r="M417" i="12" s="1"/>
  <c r="N417" i="12" s="1"/>
  <c r="L418" i="12" l="1"/>
  <c r="M418" i="12" s="1"/>
  <c r="N418" i="12" s="1"/>
  <c r="L419" i="12" l="1"/>
  <c r="M419" i="12" s="1"/>
  <c r="N419" i="12" s="1"/>
  <c r="L420" i="12" l="1"/>
  <c r="M420" i="12" s="1"/>
  <c r="N420" i="12" s="1"/>
  <c r="L421" i="12" l="1"/>
  <c r="M421" i="12" s="1"/>
  <c r="N421" i="12"/>
  <c r="L422" i="12" l="1"/>
  <c r="M422" i="12" s="1"/>
  <c r="N422" i="12" s="1"/>
  <c r="L423" i="12" l="1"/>
  <c r="M423" i="12" s="1"/>
  <c r="N423" i="12" s="1"/>
  <c r="L424" i="12" l="1"/>
  <c r="M424" i="12" s="1"/>
  <c r="N424" i="12" s="1"/>
  <c r="L425" i="12" l="1"/>
  <c r="M425" i="12" s="1"/>
  <c r="N425" i="12" s="1"/>
  <c r="L426" i="12" l="1"/>
  <c r="M426" i="12" s="1"/>
  <c r="N426" i="12" s="1"/>
  <c r="L427" i="12" l="1"/>
  <c r="M427" i="12" s="1"/>
  <c r="N427" i="12" s="1"/>
  <c r="L428" i="12" l="1"/>
  <c r="M428" i="12" s="1"/>
  <c r="N428" i="12" s="1"/>
  <c r="L429" i="12" l="1"/>
  <c r="M429" i="12" s="1"/>
  <c r="N429" i="12" s="1"/>
  <c r="L430" i="12" l="1"/>
  <c r="M430" i="12" s="1"/>
  <c r="N430" i="12" s="1"/>
  <c r="L431" i="12" l="1"/>
  <c r="M431" i="12" s="1"/>
  <c r="N431" i="12" s="1"/>
  <c r="L432" i="12" l="1"/>
  <c r="M432" i="12" s="1"/>
  <c r="N432" i="12" s="1"/>
  <c r="L433" i="12" l="1"/>
  <c r="M433" i="12" s="1"/>
  <c r="N433" i="12" s="1"/>
  <c r="L434" i="12" l="1"/>
  <c r="M434" i="12" s="1"/>
  <c r="N434" i="12" s="1"/>
  <c r="L435" i="12" l="1"/>
  <c r="M435" i="12" s="1"/>
  <c r="N435" i="12" s="1"/>
  <c r="L436" i="12" l="1"/>
  <c r="M436" i="12" s="1"/>
  <c r="N436" i="12" s="1"/>
  <c r="L437" i="12" l="1"/>
  <c r="M437" i="12" s="1"/>
  <c r="N437" i="12" s="1"/>
  <c r="L438" i="12" l="1"/>
  <c r="M438" i="12" s="1"/>
  <c r="N438" i="12" s="1"/>
  <c r="L439" i="12" l="1"/>
  <c r="M439" i="12" s="1"/>
  <c r="N439" i="12" s="1"/>
  <c r="L440" i="12" l="1"/>
  <c r="M440" i="12" s="1"/>
  <c r="N440" i="12" s="1"/>
  <c r="L441" i="12" l="1"/>
  <c r="M441" i="12" s="1"/>
  <c r="N441" i="12" s="1"/>
  <c r="L442" i="12" l="1"/>
  <c r="M442" i="12" s="1"/>
  <c r="N442" i="12" s="1"/>
  <c r="L443" i="12" l="1"/>
  <c r="M443" i="12" s="1"/>
  <c r="N443" i="12" s="1"/>
  <c r="L444" i="12" l="1"/>
  <c r="M444" i="12" s="1"/>
  <c r="N444" i="12" s="1"/>
  <c r="L445" i="12" l="1"/>
  <c r="M445" i="12" s="1"/>
  <c r="N445" i="12" s="1"/>
  <c r="M446" i="12" l="1"/>
  <c r="M447" i="12" s="1"/>
  <c r="L446" i="12"/>
  <c r="K446" i="12" l="1"/>
  <c r="K447" i="12" s="1"/>
  <c r="L447" i="12"/>
  <c r="N446" i="12"/>
  <c r="P57" i="3" s="1"/>
  <c r="P58" i="3" s="1"/>
  <c r="X3" i="3" l="1"/>
  <c r="E2" i="3"/>
</calcChain>
</file>

<file path=xl/sharedStrings.xml><?xml version="1.0" encoding="utf-8"?>
<sst xmlns="http://schemas.openxmlformats.org/spreadsheetml/2006/main" count="606" uniqueCount="277">
  <si>
    <t>MATEMATIKA</t>
  </si>
  <si>
    <t>Preddiplomski studij Digitalnog marketinga</t>
  </si>
  <si>
    <t>Visoko učilište Algebra</t>
  </si>
  <si>
    <t>ISHOD 1</t>
  </si>
  <si>
    <t>ne</t>
  </si>
  <si>
    <t>ISHOD 2</t>
  </si>
  <si>
    <t>ISHOD 3</t>
  </si>
  <si>
    <t>ISHOD 4</t>
  </si>
  <si>
    <t>Ukupno</t>
  </si>
  <si>
    <t>ishod</t>
  </si>
  <si>
    <t>I1</t>
  </si>
  <si>
    <t>I2</t>
  </si>
  <si>
    <t>I3</t>
  </si>
  <si>
    <t>I4</t>
  </si>
  <si>
    <t>broj bodova</t>
  </si>
  <si>
    <t>vrijeme rješavanja (minute)</t>
  </si>
  <si>
    <t>45 min</t>
  </si>
  <si>
    <t>180 min</t>
  </si>
  <si>
    <t>UVODNE NAPOMENE:</t>
  </si>
  <si>
    <t>Nije dozvoljeno korištenje mobitela, knjiga, kalkulatora, dodatnih formulara, ni pretraživanja interneta tijekom pisanja ispita (osim za dohvatiti ispit).</t>
  </si>
  <si>
    <t>Nemojte gledati zadatke koje imaju vaši susjedi, jer se prepisivanje strogo kažnjava.</t>
  </si>
  <si>
    <t>Dovoljno je izračunati vrijednosti u ćelijama označenim žutom bojom. Interpretaciju (kratke odgovore) pišite samo ako je tako navedeno u zadatku.</t>
  </si>
  <si>
    <t>Ako vam nešto nije jasno - odlično. Napišite svoje dvojbe i onda slobodno riješite zadatak na više načina :-)</t>
  </si>
  <si>
    <t>Termin uvida u ispite i usmenog ispita bit će objavljen zajedno s rezultatima.</t>
  </si>
  <si>
    <t>1. ishod: postotni račun i primjena</t>
  </si>
  <si>
    <t>2. ishod: obračun plaće, jednostavni i složeni kamatni račun i primjena</t>
  </si>
  <si>
    <t>3. ishod: kredit</t>
  </si>
  <si>
    <t>4. ishod: funkcije</t>
  </si>
  <si>
    <t>Prezime i ime</t>
  </si>
  <si>
    <t>JMBAG</t>
  </si>
  <si>
    <t>1. ishod</t>
  </si>
  <si>
    <t>2. ishod</t>
  </si>
  <si>
    <t>3. ishod</t>
  </si>
  <si>
    <t>4. ishod</t>
  </si>
  <si>
    <t>ZAD 1</t>
  </si>
  <si>
    <t>ZAD 2</t>
  </si>
  <si>
    <t>ZAD 3</t>
  </si>
  <si>
    <t>ZAD 4</t>
  </si>
  <si>
    <t>ZAD 5</t>
  </si>
  <si>
    <t>ZAD 6</t>
  </si>
  <si>
    <t>ZAD 7</t>
  </si>
  <si>
    <t>ZAD 8</t>
  </si>
  <si>
    <t>ZAD 9</t>
  </si>
  <si>
    <t>ZAD 10</t>
  </si>
  <si>
    <t>ZAD 11</t>
  </si>
  <si>
    <t>ZAD 12</t>
  </si>
  <si>
    <t>ZAD 13</t>
  </si>
  <si>
    <t>ZAD 14</t>
  </si>
  <si>
    <t>ZAD 15</t>
  </si>
  <si>
    <t>ZAD 16</t>
  </si>
  <si>
    <t>ZAD 17</t>
  </si>
  <si>
    <t>ZAD 18</t>
  </si>
  <si>
    <t>ZAD 19</t>
  </si>
  <si>
    <t>ZAD 20</t>
  </si>
  <si>
    <t>ZAD 21</t>
  </si>
  <si>
    <t>Rješavan ishod</t>
  </si>
  <si>
    <t>prirez</t>
  </si>
  <si>
    <t>bruto</t>
  </si>
  <si>
    <t>kontrola</t>
  </si>
  <si>
    <t>Zad r. br.</t>
  </si>
  <si>
    <t>Točan odg</t>
  </si>
  <si>
    <t>Student</t>
  </si>
  <si>
    <t>Auto-bod</t>
  </si>
  <si>
    <t>Korigirano</t>
  </si>
  <si>
    <t>Ispravljeno</t>
  </si>
  <si>
    <t>Bod max</t>
  </si>
  <si>
    <t xml:space="preserve"> /2</t>
  </si>
  <si>
    <t>/1</t>
  </si>
  <si>
    <t>/3</t>
  </si>
  <si>
    <t>zbroj</t>
  </si>
  <si>
    <t xml:space="preserve"> /5</t>
  </si>
  <si>
    <t xml:space="preserve"> /1,5</t>
  </si>
  <si>
    <t>/0,5</t>
  </si>
  <si>
    <t xml:space="preserve"> /1</t>
  </si>
  <si>
    <t xml:space="preserve"> /4</t>
  </si>
  <si>
    <t>/2</t>
  </si>
  <si>
    <t xml:space="preserve"> /6</t>
  </si>
  <si>
    <t>GRAF</t>
  </si>
  <si>
    <t>y = 605,76x-83043</t>
  </si>
  <si>
    <t>dan 4</t>
  </si>
  <si>
    <t>y = 46821e^0,0029x</t>
  </si>
  <si>
    <t>eksponencijalni model</t>
  </si>
  <si>
    <t>INTERPRETACIJA</t>
  </si>
  <si>
    <t xml:space="preserve"> /9</t>
  </si>
  <si>
    <r>
      <rPr>
        <sz val="11"/>
        <color theme="1"/>
        <rFont val="Calibri"/>
        <family val="2"/>
      </rPr>
      <t xml:space="preserve">1. </t>
    </r>
    <r>
      <rPr>
        <b/>
        <sz val="11"/>
        <color theme="1"/>
        <rFont val="Calibri"/>
        <family val="2"/>
      </rPr>
      <t>[I1, 2 boda] M</t>
    </r>
    <r>
      <rPr>
        <sz val="11"/>
        <color theme="1"/>
        <rFont val="Calibri"/>
        <family val="2"/>
      </rPr>
      <t xml:space="preserve"> Kruh je koštao 1,30 eura i poskupio 9 %. Izračunajte novu cijenu u ćeliji C3.</t>
    </r>
  </si>
  <si>
    <t>2 boda</t>
  </si>
  <si>
    <r>
      <rPr>
        <sz val="11"/>
        <color theme="1"/>
        <rFont val="Calibri"/>
        <family val="2"/>
      </rPr>
      <t xml:space="preserve">2. </t>
    </r>
    <r>
      <rPr>
        <b/>
        <sz val="11"/>
        <color theme="1"/>
        <rFont val="Calibri"/>
        <family val="2"/>
      </rPr>
      <t>[I1, 2 boda] M</t>
    </r>
    <r>
      <rPr>
        <sz val="11"/>
        <color theme="1"/>
        <rFont val="Calibri"/>
        <family val="2"/>
      </rPr>
      <t xml:space="preserve"> Broj dijeljenja na jednoj stranici u mjesec dana se smanjio s 2375 na 2130. Koliko iznosi postotno smanjenje? Izračunajte u ćeliji C8.</t>
    </r>
  </si>
  <si>
    <r>
      <rPr>
        <sz val="11"/>
        <color theme="1"/>
        <rFont val="Calibri"/>
        <family val="2"/>
      </rPr>
      <t>3.</t>
    </r>
    <r>
      <rPr>
        <b/>
        <sz val="11"/>
        <color theme="1"/>
        <rFont val="Calibri"/>
        <family val="2"/>
      </rPr>
      <t xml:space="preserve"> [I1, 2 boda] M</t>
    </r>
    <r>
      <rPr>
        <sz val="11"/>
        <color theme="1"/>
        <rFont val="Calibri"/>
        <family val="2"/>
      </rPr>
      <t xml:space="preserve"> Tvrtka je imala plan prodaje 12 000 proizvoda, a ostvarila 13 850. Koliko posto plana je ostvarila? Izračunajte u ćeliji C13.</t>
    </r>
  </si>
  <si>
    <r>
      <rPr>
        <sz val="11"/>
        <color theme="1"/>
        <rFont val="Calibri"/>
        <family val="2"/>
      </rPr>
      <t>4.</t>
    </r>
    <r>
      <rPr>
        <b/>
        <sz val="11"/>
        <color theme="1"/>
        <rFont val="Calibri"/>
        <family val="2"/>
      </rPr>
      <t xml:space="preserve"> [I1, 2 boda] M</t>
    </r>
    <r>
      <rPr>
        <sz val="11"/>
        <color theme="1"/>
        <rFont val="Calibri"/>
        <family val="2"/>
      </rPr>
      <t xml:space="preserve"> Josip je na prvom ispitu ostvario 41, a na drugom 39 bodova. Koliko posto je na drugom ispitu ostvario manje bodova nego na prvom? Izračunajte u ćeliji C18.</t>
    </r>
  </si>
  <si>
    <r>
      <rPr>
        <sz val="11"/>
        <color theme="1"/>
        <rFont val="Calibri"/>
        <family val="2"/>
      </rPr>
      <t>5.</t>
    </r>
    <r>
      <rPr>
        <b/>
        <sz val="11"/>
        <color theme="1"/>
        <rFont val="Calibri"/>
        <family val="2"/>
      </rPr>
      <t xml:space="preserve"> [I1, 2 boda] Ž </t>
    </r>
    <r>
      <rPr>
        <sz val="11"/>
        <color theme="1"/>
        <rFont val="Calibri"/>
        <family val="2"/>
      </rPr>
      <t>Formira se cijena kilograma jabuka. Osnovica je 1,10 eura i treba dodati PDV od 5 %. U ćeliji C23 izračunajte maloprodajnu cijenu kilograma jabuka. (cijena u trgovini)</t>
    </r>
  </si>
  <si>
    <r>
      <rPr>
        <sz val="11"/>
        <color theme="1"/>
        <rFont val="Calibri"/>
        <family val="2"/>
      </rPr>
      <t>7.</t>
    </r>
    <r>
      <rPr>
        <b/>
        <sz val="11"/>
        <color theme="1"/>
        <rFont val="Calibri"/>
        <family val="2"/>
      </rPr>
      <t xml:space="preserve"> [I1, 2 boda]</t>
    </r>
    <r>
      <rPr>
        <sz val="11"/>
        <color theme="1"/>
        <rFont val="Calibri"/>
        <family val="2"/>
      </rPr>
      <t xml:space="preserve"> </t>
    </r>
    <r>
      <rPr>
        <b/>
        <sz val="11"/>
        <color theme="1"/>
        <rFont val="Calibri"/>
        <family val="2"/>
      </rPr>
      <t>Ž</t>
    </r>
    <r>
      <rPr>
        <sz val="11"/>
        <color theme="1"/>
        <rFont val="Calibri"/>
        <family val="2"/>
      </rPr>
      <t xml:space="preserve"> U internetsku kampanju za oglašavanje uloženo je 2.300 eura (trošak oglašavanja), a prosječni cost per click (Avg. CPC) iznosio je 0,55 eura. U ćeliji C34 izračunajte koliko je postignuto klikova. Koristi naredbu ROUNDDOWN( ;0) da biste zaokružili na cijeli broj. Interpretaciju napišite u ćeliji D34.</t>
    </r>
  </si>
  <si>
    <r>
      <rPr>
        <b/>
        <sz val="11"/>
        <color theme="1"/>
        <rFont val="Calibri"/>
        <family val="2"/>
      </rPr>
      <t xml:space="preserve">8. [I1, 2 boda] Ž (nastavak na 7.) </t>
    </r>
    <r>
      <rPr>
        <sz val="11"/>
        <color theme="1"/>
        <rFont val="Calibri"/>
        <family val="2"/>
      </rPr>
      <t>Ukupno je postignuto 84 konverzija. Koliko iznosi stopa konverzije? Izračunajte u ćeliji C39. Interpretaciju napišite u ćeliji D39.</t>
    </r>
  </si>
  <si>
    <r>
      <rPr>
        <b/>
        <sz val="11"/>
        <color rgb="FF000000"/>
        <rFont val="Calibri"/>
        <family val="2"/>
      </rPr>
      <t>9. [I1, 2 boda</t>
    </r>
    <r>
      <rPr>
        <b/>
        <sz val="11"/>
        <color rgb="FF000000"/>
        <rFont val="Calibri"/>
        <family val="2"/>
      </rPr>
      <t>] Ž (nastavak)</t>
    </r>
    <r>
      <rPr>
        <sz val="11"/>
        <color rgb="FF000000"/>
        <rFont val="Calibri"/>
        <family val="2"/>
      </rPr>
      <t xml:space="preserve"> Ukupno je bilo 47.535 impresija. Koliko je iznosio CTR (click through rate)? Izračunajte u ćeliji C44, a interpretaciju napišite u ćeliji D44.</t>
    </r>
  </si>
  <si>
    <r>
      <rPr>
        <b/>
        <sz val="11"/>
        <color theme="1"/>
        <rFont val="Calibri"/>
        <family val="2"/>
      </rPr>
      <t>10. [I1, 2 boda] Ž (nastavak)</t>
    </r>
    <r>
      <rPr>
        <sz val="11"/>
        <color theme="1"/>
        <rFont val="Calibri"/>
        <family val="2"/>
      </rPr>
      <t xml:space="preserve"> Ako je ukupan trošak kampanje 14.050 eura, a prosječan prihod po konverziji 215 eura, izračunajte ROI u ćeliji C50. Interpretaciju napišite u ćeliji D50.</t>
    </r>
  </si>
  <si>
    <t>Informacije koje vam trebaju:</t>
  </si>
  <si>
    <t>Osnovni osobni odbitak iznosi</t>
  </si>
  <si>
    <t>Dijete</t>
  </si>
  <si>
    <t>koeficijent</t>
  </si>
  <si>
    <t>BRUTO iznos</t>
  </si>
  <si>
    <t>D1</t>
  </si>
  <si>
    <t>1. MO 15 %</t>
  </si>
  <si>
    <t>15 % od bruto iznosa</t>
  </si>
  <si>
    <t>D2</t>
  </si>
  <si>
    <t>2. MO 5 %</t>
  </si>
  <si>
    <t>5 % od bruto iznosa</t>
  </si>
  <si>
    <t>D3</t>
  </si>
  <si>
    <t>MIROVINSKO OSIGURANJE ukupno</t>
  </si>
  <si>
    <t>1. MO + 2. MO</t>
  </si>
  <si>
    <t>D4</t>
  </si>
  <si>
    <t>DOHODAK</t>
  </si>
  <si>
    <t>bruto - ukupna izdvajanja za mirovinsko osiguranje</t>
  </si>
  <si>
    <t>D5</t>
  </si>
  <si>
    <t>D6</t>
  </si>
  <si>
    <t>ISKORIŠTENI OSOBNI ODBITAK</t>
  </si>
  <si>
    <t>min(dohodak; prijavljeni osobni odbitak)</t>
  </si>
  <si>
    <t>D7</t>
  </si>
  <si>
    <t>NEISKORIŠTENI OSOBNI ODBITAK</t>
  </si>
  <si>
    <t>prijavljeni - iskorišteni osobni odbitak</t>
  </si>
  <si>
    <t>D8</t>
  </si>
  <si>
    <t>POREZNA OSNOVICA</t>
  </si>
  <si>
    <t>dohodak - iskorišteni osobni odbitak</t>
  </si>
  <si>
    <t>D9</t>
  </si>
  <si>
    <t>POREZ 20 %</t>
  </si>
  <si>
    <t>Udržavani član</t>
  </si>
  <si>
    <t>POREZ 30 %</t>
  </si>
  <si>
    <t>UKUPAN POREZ</t>
  </si>
  <si>
    <t>Porezni razredi za stope poreza:</t>
  </si>
  <si>
    <t>NETO</t>
  </si>
  <si>
    <t>dohodak - ukupan porez - prirez</t>
  </si>
  <si>
    <t>ZO - DOPRINOSI NA PLAĆU 16,5 %</t>
  </si>
  <si>
    <t>16,5 % na bruto</t>
  </si>
  <si>
    <t>BRUTO 2 = ukupan trošak poslodavca</t>
  </si>
  <si>
    <t>bruto + doprinosi na plaću</t>
  </si>
  <si>
    <t>udio neto u bruto 2</t>
  </si>
  <si>
    <t>neto/bruto2</t>
  </si>
  <si>
    <t>Doprinosi NA plaću (doprinosi koje će poslodavac uplatiti za svakog djelatnika)</t>
  </si>
  <si>
    <t>* doprinos za zdravstveno osiguranje (16,5 %)</t>
  </si>
  <si>
    <r>
      <rPr>
        <b/>
        <sz val="11"/>
        <color theme="1"/>
        <rFont val="Calibri"/>
        <family val="2"/>
      </rPr>
      <t>12. [I2, 5 bodova] M+Ž</t>
    </r>
    <r>
      <rPr>
        <sz val="11"/>
        <color theme="1"/>
        <rFont val="Calibri"/>
        <family val="2"/>
      </rPr>
      <t xml:space="preserve"> Barbara je prije 11 godina stavila 19.000 eura na štednju, a prije 5 podigla 4.500 eura.
S kolikim iznosom raspolaže danas ako je prve četiri godine kamatna stopa bila 3,2 %, sljedećih 5 godina 2,8 %, a nakon toga 1,7 %? Obračun je složen, dekurzivan.
Stanja na računu nakon četiri godine, šest godina i danas upišite u ćelije C14, C16 i C18. Interpretaciju napišite u ćeliji C20.</t>
    </r>
  </si>
  <si>
    <t>M 1 bod</t>
  </si>
  <si>
    <t>Stanje nakon četiri godine C4=</t>
  </si>
  <si>
    <t>Ž 1 bod</t>
  </si>
  <si>
    <t>Ž 3 boda</t>
  </si>
  <si>
    <t>Stanje danas C11=</t>
  </si>
  <si>
    <t>C0=</t>
  </si>
  <si>
    <t>p=</t>
  </si>
  <si>
    <t>r=</t>
  </si>
  <si>
    <t>Jednostavni kamatni račun</t>
  </si>
  <si>
    <t>Složeni kamatni račun</t>
  </si>
  <si>
    <t>godina</t>
  </si>
  <si>
    <t>godišnja kamata</t>
  </si>
  <si>
    <t>stanje na računu</t>
  </si>
  <si>
    <t>M 1,5 bod</t>
  </si>
  <si>
    <t>razlika izražena u postotku (zaokružite na 4 decimale)</t>
  </si>
  <si>
    <r>
      <rPr>
        <sz val="11"/>
        <color theme="1"/>
        <rFont val="Calibri"/>
        <family val="2"/>
      </rPr>
      <t xml:space="preserve">14. </t>
    </r>
    <r>
      <rPr>
        <b/>
        <sz val="11"/>
        <color theme="1"/>
        <rFont val="Calibri"/>
        <family val="2"/>
      </rPr>
      <t>[I2, 6 bodova] Ž</t>
    </r>
    <r>
      <rPr>
        <sz val="11"/>
        <color theme="1"/>
        <rFont val="Calibri"/>
        <family val="2"/>
      </rPr>
      <t xml:space="preserve"> Matej je tijekom 28 godina uplaćivao na štednju po 670 eura početkom svakog polugodišta, uz prosječnu godišnju kamatnu stopu od 2,9 %. U ćeliji D21 izračunajte koliko je uštedio. Nakon toga odlučio je primati mirovinu sljedećih 25 godina početkom svakog mjeseca. U ćeliji H21 izračunajte koliko će primati ako se očekuje prosječna godišnja kamatna stopa u mirovinskom fondu 1,6 %? (konformni obračun). U ćeliji G23 napišite odgovor.</t>
    </r>
  </si>
  <si>
    <t>Uplate / štednja</t>
  </si>
  <si>
    <t>Isplate mirovine</t>
  </si>
  <si>
    <t>Ž 0,5 bod</t>
  </si>
  <si>
    <t>An</t>
  </si>
  <si>
    <t>R</t>
  </si>
  <si>
    <t>n</t>
  </si>
  <si>
    <t>m</t>
  </si>
  <si>
    <t>p</t>
  </si>
  <si>
    <t>r</t>
  </si>
  <si>
    <t>rk</t>
  </si>
  <si>
    <t>pk</t>
  </si>
  <si>
    <t>nk</t>
  </si>
  <si>
    <t>Ž 2 boda</t>
  </si>
  <si>
    <t>ukupna ušteda</t>
  </si>
  <si>
    <t>rata mirovine</t>
  </si>
  <si>
    <t>NAPOMENA: OBAVEZNO KORISTITE NAREDBU ROUND NA SVIM PRIKLADNIM MJESTIMA!!!</t>
  </si>
  <si>
    <t>nr</t>
  </si>
  <si>
    <t>0,5 bod</t>
  </si>
  <si>
    <t>pr</t>
  </si>
  <si>
    <t>rr</t>
  </si>
  <si>
    <t>a</t>
  </si>
  <si>
    <t>1 bod</t>
  </si>
  <si>
    <t>k</t>
  </si>
  <si>
    <t>Ik</t>
  </si>
  <si>
    <t>Rk</t>
  </si>
  <si>
    <t>Ck</t>
  </si>
  <si>
    <t>suma</t>
  </si>
  <si>
    <t>ak</t>
  </si>
  <si>
    <t>postnum.</t>
  </si>
  <si>
    <t>1,5 bod</t>
  </si>
  <si>
    <r>
      <rPr>
        <sz val="11"/>
        <color theme="1"/>
        <rFont val="Calibri"/>
        <family val="2"/>
      </rPr>
      <t xml:space="preserve">17. </t>
    </r>
    <r>
      <rPr>
        <b/>
        <sz val="11"/>
        <color theme="1"/>
        <rFont val="Calibri"/>
        <family val="2"/>
      </rPr>
      <t>[I3, 5 bodova] Ž</t>
    </r>
    <r>
      <rPr>
        <sz val="11"/>
        <color theme="1"/>
        <rFont val="Calibri"/>
        <family val="2"/>
      </rPr>
      <t xml:space="preserve"> Dominik je uzeo stambeni kredit u iznosu 55.000,00 eura koji će otplaćivati 30 godina krajem svakog mjeseca. Početna godišnja dekurzivna kamatna stopa iznosila je 4,75 %. Zadana je otplatna tablica.
Nakon tri godine kamatna stopa je narasla za 0,5 postotna boda.
Nakon sedam godina od početka otplate kamatna stopa je još jednom narasla za dodatnih 0,3 postotnih bodova, a Dominik je odlučio produljiti vrijeme otplate za još pet godina. 
Prepravite otplatnu tablicu do kraja.</t>
    </r>
  </si>
  <si>
    <t>n=</t>
  </si>
  <si>
    <t>m=</t>
  </si>
  <si>
    <t>RELATIVNO</t>
  </si>
  <si>
    <t>pr=</t>
  </si>
  <si>
    <t>rr=</t>
  </si>
  <si>
    <t>nr=</t>
  </si>
  <si>
    <t>a=</t>
  </si>
  <si>
    <t>-</t>
  </si>
  <si>
    <t>R=</t>
  </si>
  <si>
    <t>udio u subvenciji</t>
  </si>
  <si>
    <t>Lukas će ukupno dobiti</t>
  </si>
  <si>
    <t>subvencija.</t>
  </si>
  <si>
    <t xml:space="preserve">Ivano će ukupno dobiti </t>
  </si>
  <si>
    <t>Lukas</t>
  </si>
  <si>
    <t>Ivano</t>
  </si>
  <si>
    <t>subvencionirani dio anuiteta</t>
  </si>
  <si>
    <t>korigirani (stvarno plaćeni) anuitet</t>
  </si>
  <si>
    <r>
      <rPr>
        <sz val="11"/>
        <color rgb="FF000000"/>
        <rFont val="Calibri"/>
        <family val="2"/>
      </rPr>
      <t xml:space="preserve">a) </t>
    </r>
    <r>
      <rPr>
        <b/>
        <sz val="11"/>
        <color rgb="FF000000"/>
        <rFont val="Calibri"/>
        <family val="2"/>
      </rPr>
      <t>M</t>
    </r>
    <r>
      <rPr>
        <sz val="11"/>
        <color rgb="FF000000"/>
        <rFont val="Calibri"/>
        <family val="2"/>
      </rPr>
      <t xml:space="preserve"> U tablici je prikazan broj stanovnika krajem svake godine (31. 12.). Popunite tablicu do kraja.</t>
    </r>
  </si>
  <si>
    <r>
      <rPr>
        <sz val="11"/>
        <color rgb="FF000000"/>
        <rFont val="Calibri"/>
        <family val="2"/>
      </rPr>
      <t>c)</t>
    </r>
    <r>
      <rPr>
        <b/>
        <sz val="11"/>
        <color rgb="FF000000"/>
        <rFont val="Calibri"/>
        <family val="2"/>
      </rPr>
      <t xml:space="preserve"> M</t>
    </r>
    <r>
      <rPr>
        <sz val="11"/>
        <color rgb="FF000000"/>
        <rFont val="Calibri"/>
        <family val="2"/>
      </rPr>
      <t xml:space="preserve"> Prikažite podatke grafički raspršenim dijagramom.</t>
    </r>
  </si>
  <si>
    <r>
      <rPr>
        <sz val="11"/>
        <color rgb="FF000000"/>
        <rFont val="Calibri"/>
        <family val="2"/>
      </rPr>
      <t xml:space="preserve">d) </t>
    </r>
    <r>
      <rPr>
        <b/>
        <sz val="11"/>
        <color rgb="FF000000"/>
        <rFont val="Calibri"/>
        <family val="2"/>
      </rPr>
      <t>M</t>
    </r>
    <r>
      <rPr>
        <sz val="11"/>
        <color rgb="FF000000"/>
        <rFont val="Calibri"/>
        <family val="2"/>
      </rPr>
      <t xml:space="preserve"> Koliko stanovnika se očekuje 2030. godine ako se ovakav trend nastavi? Samo dopunite tablicu do 2030. godine. Ne trebate pisati interpretaciju.</t>
    </r>
  </si>
  <si>
    <r>
      <rPr>
        <sz val="11"/>
        <color rgb="FF000000"/>
        <rFont val="Calibri"/>
        <family val="2"/>
      </rPr>
      <t xml:space="preserve">e) </t>
    </r>
    <r>
      <rPr>
        <b/>
        <sz val="11"/>
        <color rgb="FF000000"/>
        <rFont val="Calibri"/>
        <family val="2"/>
      </rPr>
      <t>Ž</t>
    </r>
    <r>
      <rPr>
        <sz val="11"/>
        <color rgb="FF000000"/>
        <rFont val="Calibri"/>
        <family val="2"/>
      </rPr>
      <t xml:space="preserve"> Koliko stanovnika se očekuje 2042. ako je 2030. godina zadnja godina linearnog pada, a nakon toga slijedi eksponencijalni rast s 0,25 % godišnje? Dopunite tablicu do 2042. godine i izračunajte.</t>
    </r>
  </si>
  <si>
    <t>Godina</t>
  </si>
  <si>
    <t>Populacija</t>
  </si>
  <si>
    <t>b)</t>
  </si>
  <si>
    <t>c)</t>
  </si>
  <si>
    <r>
      <rPr>
        <sz val="11"/>
        <color theme="1"/>
        <rFont val="Calibri"/>
        <family val="2"/>
      </rPr>
      <t xml:space="preserve">20. </t>
    </r>
    <r>
      <rPr>
        <b/>
        <sz val="11"/>
        <color theme="1"/>
        <rFont val="Calibri"/>
        <family val="2"/>
      </rPr>
      <t>[I4, 9 bodova]</t>
    </r>
    <r>
      <rPr>
        <sz val="11"/>
        <color theme="1"/>
        <rFont val="Calibri"/>
        <family val="2"/>
      </rPr>
      <t xml:space="preserve"> Bilježene su cijene jedne kripotovalute od nultog dana - dana njene objave. Kretanje je opisano formulom</t>
    </r>
  </si>
  <si>
    <t>p(t)=−3t^2+22t+285</t>
  </si>
  <si>
    <t>t je vrijeme u danima, a p(t) je cijena u eurima.</t>
  </si>
  <si>
    <r>
      <rPr>
        <sz val="11"/>
        <color theme="1"/>
        <rFont val="Calibri"/>
        <family val="2"/>
      </rPr>
      <t xml:space="preserve">a) </t>
    </r>
    <r>
      <rPr>
        <b/>
        <sz val="11"/>
        <color theme="1"/>
        <rFont val="Calibri"/>
        <family val="2"/>
      </rPr>
      <t>M</t>
    </r>
    <r>
      <rPr>
        <sz val="11"/>
        <color theme="1"/>
        <rFont val="Calibri"/>
        <family val="2"/>
      </rPr>
      <t xml:space="preserve"> Popunite tablicu.</t>
    </r>
  </si>
  <si>
    <t>dan</t>
  </si>
  <si>
    <t>cijena kriptovalute (EUR)</t>
  </si>
  <si>
    <r>
      <rPr>
        <sz val="11"/>
        <color theme="1"/>
        <rFont val="Calibri"/>
        <family val="2"/>
      </rPr>
      <t xml:space="preserve">b) </t>
    </r>
    <r>
      <rPr>
        <b/>
        <sz val="11"/>
        <color theme="1"/>
        <rFont val="Calibri"/>
        <family val="2"/>
      </rPr>
      <t>M</t>
    </r>
    <r>
      <rPr>
        <sz val="11"/>
        <color theme="1"/>
        <rFont val="Calibri"/>
        <family val="2"/>
      </rPr>
      <t xml:space="preserve"> Grafički prikažite podatke. Graf smjestite desno od tablice.</t>
    </r>
  </si>
  <si>
    <r>
      <rPr>
        <sz val="11"/>
        <color theme="1"/>
        <rFont val="Calibri"/>
        <family val="2"/>
      </rPr>
      <t xml:space="preserve">c) </t>
    </r>
    <r>
      <rPr>
        <b/>
        <sz val="11"/>
        <color theme="1"/>
        <rFont val="Calibri"/>
        <family val="2"/>
      </rPr>
      <t>M</t>
    </r>
    <r>
      <rPr>
        <sz val="11"/>
        <color theme="1"/>
        <rFont val="Calibri"/>
        <family val="2"/>
      </rPr>
      <t xml:space="preserve"> U tablici pročitajte koji dan je vrijednost kriptovalute dosegnula najvišu vrijednost? Upišite u ćeliju B21.</t>
    </r>
  </si>
  <si>
    <r>
      <rPr>
        <sz val="11"/>
        <color theme="1"/>
        <rFont val="Calibri"/>
        <family val="2"/>
      </rPr>
      <t xml:space="preserve">d) </t>
    </r>
    <r>
      <rPr>
        <b/>
        <sz val="11"/>
        <color theme="1"/>
        <rFont val="Calibri"/>
        <family val="2"/>
      </rPr>
      <t>M</t>
    </r>
    <r>
      <rPr>
        <sz val="11"/>
        <color theme="1"/>
        <rFont val="Calibri"/>
        <family val="2"/>
      </rPr>
      <t xml:space="preserve"> Koliko je iznosila ta vrijednost? Upišite u ćeliju B25.</t>
    </r>
  </si>
  <si>
    <r>
      <rPr>
        <sz val="11"/>
        <color theme="1"/>
        <rFont val="Calibri"/>
        <family val="2"/>
      </rPr>
      <t xml:space="preserve">e) </t>
    </r>
    <r>
      <rPr>
        <b/>
        <sz val="11"/>
        <color theme="1"/>
        <rFont val="Calibri"/>
        <family val="2"/>
      </rPr>
      <t>M</t>
    </r>
    <r>
      <rPr>
        <sz val="11"/>
        <color theme="1"/>
        <rFont val="Calibri"/>
        <family val="2"/>
      </rPr>
      <t xml:space="preserve"> Koliko posto iznosi ukupan rast kriptovalute u danu 6 u odnosu na početak kad je kriptovaluta objavljena? Izračunajte u ćeliji B29.</t>
    </r>
  </si>
  <si>
    <r>
      <rPr>
        <sz val="11"/>
        <color theme="1"/>
        <rFont val="Calibri"/>
        <family val="2"/>
      </rPr>
      <t xml:space="preserve">f) </t>
    </r>
    <r>
      <rPr>
        <b/>
        <sz val="11"/>
        <color theme="1"/>
        <rFont val="Calibri"/>
        <family val="2"/>
      </rPr>
      <t>Ž</t>
    </r>
    <r>
      <rPr>
        <sz val="11"/>
        <color theme="1"/>
        <rFont val="Calibri"/>
        <family val="2"/>
      </rPr>
      <t xml:space="preserve"> Odredite diskriminantu početne funkcije.</t>
    </r>
  </si>
  <si>
    <t>b=</t>
  </si>
  <si>
    <t>c=</t>
  </si>
  <si>
    <t>D=</t>
  </si>
  <si>
    <r>
      <rPr>
        <sz val="11"/>
        <color theme="1"/>
        <rFont val="Calibri"/>
        <family val="2"/>
      </rPr>
      <t xml:space="preserve">g) </t>
    </r>
    <r>
      <rPr>
        <b/>
        <sz val="11"/>
        <color theme="1"/>
        <rFont val="Calibri"/>
        <family val="2"/>
      </rPr>
      <t>Ž</t>
    </r>
    <r>
      <rPr>
        <sz val="11"/>
        <color theme="1"/>
        <rFont val="Calibri"/>
        <family val="2"/>
      </rPr>
      <t xml:space="preserve"> Odredite nultočke funkcije</t>
    </r>
  </si>
  <si>
    <t>x1=</t>
  </si>
  <si>
    <t>x2=</t>
  </si>
  <si>
    <r>
      <rPr>
        <sz val="11"/>
        <color theme="1"/>
        <rFont val="Calibri"/>
        <family val="2"/>
      </rPr>
      <t xml:space="preserve">h) </t>
    </r>
    <r>
      <rPr>
        <b/>
        <sz val="11"/>
        <color theme="1"/>
        <rFont val="Calibri"/>
        <family val="2"/>
      </rPr>
      <t>Ž</t>
    </r>
    <r>
      <rPr>
        <sz val="11"/>
        <color theme="1"/>
        <rFont val="Calibri"/>
        <family val="2"/>
      </rPr>
      <t xml:space="preserve"> Jedna nultočka je pozitivan broj. Što bi onda predstavljala u našem slučaju? Upišite u ćeliju B44.</t>
    </r>
  </si>
  <si>
    <t>Nakon koliko dana bi vrijednost kriptovalute bila 0.</t>
  </si>
  <si>
    <r>
      <rPr>
        <sz val="11"/>
        <color theme="1"/>
        <rFont val="Calibri"/>
        <family val="2"/>
      </rPr>
      <t xml:space="preserve">i) </t>
    </r>
    <r>
      <rPr>
        <b/>
        <sz val="11"/>
        <color theme="1"/>
        <rFont val="Calibri"/>
        <family val="2"/>
      </rPr>
      <t>Ž</t>
    </r>
    <r>
      <rPr>
        <sz val="11"/>
        <color theme="1"/>
        <rFont val="Calibri"/>
        <family val="2"/>
      </rPr>
      <t xml:space="preserve"> Jedna nultočka je negativan broj. Što bi onda predstavljala u našem slučaju? Upišite u ćeliju B48.</t>
    </r>
  </si>
  <si>
    <t>Prije koliko dana je vrijednost bila 0.</t>
  </si>
  <si>
    <r>
      <rPr>
        <sz val="11"/>
        <color rgb="FF000000"/>
        <rFont val="Calibri"/>
        <family val="2"/>
      </rPr>
      <t xml:space="preserve">a) </t>
    </r>
    <r>
      <rPr>
        <b/>
        <sz val="11"/>
        <color rgb="FF000000"/>
        <rFont val="Calibri"/>
        <family val="2"/>
      </rPr>
      <t>M</t>
    </r>
    <r>
      <rPr>
        <sz val="11"/>
        <color rgb="FF000000"/>
        <rFont val="Calibri"/>
        <family val="2"/>
      </rPr>
      <t xml:space="preserve"> Prikažite podatke grafički. Graf smjestite desno od tablice.</t>
    </r>
  </si>
  <si>
    <r>
      <rPr>
        <sz val="11"/>
        <color rgb="FF000000"/>
        <rFont val="Calibri"/>
        <family val="2"/>
      </rPr>
      <t>b)</t>
    </r>
    <r>
      <rPr>
        <b/>
        <sz val="11"/>
        <color rgb="FF000000"/>
        <rFont val="Calibri"/>
        <family val="2"/>
      </rPr>
      <t xml:space="preserve"> M</t>
    </r>
    <r>
      <rPr>
        <sz val="11"/>
        <color rgb="FF000000"/>
        <rFont val="Calibri"/>
        <family val="2"/>
      </rPr>
      <t xml:space="preserve"> Odredite jednadžbe linearnog i eksponencijalnog modela i prepišite ih u ćelije C28 i C29</t>
    </r>
  </si>
  <si>
    <r>
      <rPr>
        <sz val="11"/>
        <color rgb="FF000000"/>
        <rFont val="Calibri"/>
        <family val="2"/>
      </rPr>
      <t xml:space="preserve">c) </t>
    </r>
    <r>
      <rPr>
        <b/>
        <sz val="11"/>
        <color rgb="FF000000"/>
        <rFont val="Calibri"/>
        <family val="2"/>
      </rPr>
      <t>Ž</t>
    </r>
    <r>
      <rPr>
        <sz val="11"/>
        <color rgb="FF000000"/>
        <rFont val="Calibri"/>
        <family val="2"/>
      </rPr>
      <t xml:space="preserve"> Odgovara li prikazanoj pojavi bolje linearni ili eksponencijalni model? Upišite u ćeliju B31.</t>
    </r>
  </si>
  <si>
    <r>
      <rPr>
        <sz val="11"/>
        <color rgb="FF000000"/>
        <rFont val="Calibri"/>
        <family val="2"/>
      </rPr>
      <t xml:space="preserve">d) </t>
    </r>
    <r>
      <rPr>
        <b/>
        <sz val="11"/>
        <color rgb="FF000000"/>
        <rFont val="Calibri"/>
        <family val="2"/>
      </rPr>
      <t>Ž</t>
    </r>
    <r>
      <rPr>
        <sz val="11"/>
        <color rgb="FF000000"/>
        <rFont val="Calibri"/>
        <family val="2"/>
      </rPr>
      <t xml:space="preserve"> Interpretirajte koeficijente a i b reprezentativnijeg modela u ćelijama B34 i B35.</t>
    </r>
  </si>
  <si>
    <r>
      <rPr>
        <sz val="11"/>
        <color rgb="FF000000"/>
        <rFont val="Calibri"/>
        <family val="2"/>
      </rPr>
      <t>e)</t>
    </r>
    <r>
      <rPr>
        <b/>
        <sz val="11"/>
        <color rgb="FF000000"/>
        <rFont val="Calibri"/>
        <family val="2"/>
      </rPr>
      <t xml:space="preserve"> Ž </t>
    </r>
    <r>
      <rPr>
        <sz val="11"/>
        <color rgb="FF000000"/>
        <rFont val="Calibri"/>
        <family val="2"/>
      </rPr>
      <t>Koliko bi prema tom modelu iznosio prihod kad bi broj proizvedenih proizvoda bio 425? Izračunajte u ćeliji B37, a interpretaciju napišite u C37.</t>
    </r>
  </si>
  <si>
    <t>r. br. trgovine</t>
  </si>
  <si>
    <t>Prihod (EUR)</t>
  </si>
  <si>
    <t>a)</t>
  </si>
  <si>
    <t>linearni model</t>
  </si>
  <si>
    <t>d)</t>
  </si>
  <si>
    <t>interpretacija a</t>
  </si>
  <si>
    <t>interpretacija b</t>
  </si>
  <si>
    <t>e)</t>
  </si>
  <si>
    <t>Prihod bi iznosio 160.586,35 eura.</t>
  </si>
  <si>
    <r>
      <t xml:space="preserve">13. </t>
    </r>
    <r>
      <rPr>
        <b/>
        <sz val="11"/>
        <color theme="1"/>
        <rFont val="Calibri"/>
        <family val="2"/>
      </rPr>
      <t xml:space="preserve">[I2, 4 boda] M </t>
    </r>
    <r>
      <rPr>
        <sz val="11"/>
        <color theme="1"/>
        <rFont val="Calibri"/>
        <family val="2"/>
      </rPr>
      <t>Napravite tablicu usporedbe jednostavnog i složenog kamatnog računa ako je osoba uložila 63.000 eura uz godišnju kamatnu stopu od 1,7 %. U ćeliji C23 izračunajte koliko posto je konačna vrijednost nakon devet godina pri složenom obračunu veća od one pri jednostavnom obračunu? Interpretaciju napišite u ćeliji C24.
Napomena: sve vrijednosti u tablici koje računate zaokružite na dvije decimale koristeći naredbu =ROUND( ;2), a razliku u postotku u ćeliji C23 na četiri decimale koristeći naredbu =ROUND( ;4).</t>
    </r>
  </si>
  <si>
    <r>
      <t xml:space="preserve">16. </t>
    </r>
    <r>
      <rPr>
        <b/>
        <sz val="11"/>
        <color theme="1"/>
        <rFont val="Calibri"/>
        <family val="2"/>
      </rPr>
      <t>[I3, 5 bodova] M</t>
    </r>
    <r>
      <rPr>
        <sz val="11"/>
        <color theme="1"/>
        <rFont val="Calibri"/>
        <family val="2"/>
      </rPr>
      <t xml:space="preserve"> Uzeli ste stambeni kredit u iznosu 180.000 eura na rok od 12 godina. Godišnja kamatna stopa iznosi 3,65 %. Vraćat će ga krajem svakog mjeseca metodom jednakih otplatnih kvota. Koristi se proporcionalna metoda (relativni kamatnjak).
Napravite otplatnu tablicu. Popravite zadnji redak otplatne tablice tako da dug bude 0 eura.</t>
    </r>
  </si>
  <si>
    <r>
      <t xml:space="preserve">18. </t>
    </r>
    <r>
      <rPr>
        <b/>
        <sz val="11"/>
        <color theme="1"/>
        <rFont val="Calibri"/>
        <family val="2"/>
      </rPr>
      <t>[I3, 5 bodova] Ž</t>
    </r>
    <r>
      <rPr>
        <sz val="11"/>
        <color theme="1"/>
        <rFont val="Calibri"/>
        <family val="2"/>
      </rPr>
      <t xml:space="preserve"> Lukas je uzeo kredit u iznosu 75.000 eura na 32 godine. Kredit otplaćuje metodom JEDNAKIH ANUITETA krajem svakog mjeseca, a godišnja kamatna stopa iznosi 3,5 %. U 35. retku napravljene su usporedne otplatne tablice u kunama njegovog i Ivanovog kredita. Ivano je uzeo identičan kredit, ali otplaćivat će ga metodom </t>
    </r>
    <r>
      <rPr>
        <b/>
        <sz val="11"/>
        <color theme="1"/>
        <rFont val="Calibri"/>
        <family val="2"/>
      </rPr>
      <t>JEDNAKIH OTPLATNIH KVOTA</t>
    </r>
    <r>
      <rPr>
        <sz val="11"/>
        <color theme="1"/>
        <rFont val="Calibri"/>
        <family val="2"/>
      </rPr>
      <t xml:space="preserve">. Koristi se relativni kamatnjak.
Cijena njihovog kvadrata stana iznosila je 1450 EUR i oboje su kupili stan u Splitu. Koliko će ukupno dobiti subvencija i koliko će zapravo plaćati prvih 5 godina? Popunite stupce: F, G, N, O.
Subvencija za Split iznosi 30 % mjesečnog anuiteta, tj. država prvih 5 godina plaća 30 % anuiteta, ako je iznos kvadrata ispod 1500 EUR (što u našem slučaju je).
</t>
    </r>
  </si>
  <si>
    <r>
      <t xml:space="preserve">b) </t>
    </r>
    <r>
      <rPr>
        <b/>
        <sz val="11"/>
        <color rgb="FF000000"/>
        <rFont val="Calibri"/>
        <family val="2"/>
      </rPr>
      <t>M</t>
    </r>
    <r>
      <rPr>
        <sz val="11"/>
        <color rgb="FF000000"/>
        <rFont val="Calibri"/>
        <family val="2"/>
      </rPr>
      <t xml:space="preserve"> Od koje godine se očekuje pad ispod 20.000 stanovnika? Upišite u ćeliju E13.</t>
    </r>
  </si>
  <si>
    <r>
      <t xml:space="preserve">21. </t>
    </r>
    <r>
      <rPr>
        <b/>
        <sz val="11"/>
        <color rgb="FF000000"/>
        <rFont val="Calibri"/>
        <family val="2"/>
      </rPr>
      <t xml:space="preserve">[I4, 6 bodova] </t>
    </r>
    <r>
      <rPr>
        <sz val="11"/>
        <color rgb="FF000000"/>
        <rFont val="Calibri"/>
        <family val="2"/>
      </rPr>
      <t>U tablici su zadani podaci o prosječnom mjesečnom ulaganju u društvene mreže i prihodu 13 tvornica.</t>
    </r>
  </si>
  <si>
    <t>ulaganje u društvene mreže (EUR)</t>
  </si>
  <si>
    <t>Tvornica bez ulaganja u društvene mreže bi imala prihod 46821 eura.</t>
  </si>
  <si>
    <t>Sa svakim eurom uloženim u društvene mreže prihod u prosjeku raste za 0,29 %.</t>
  </si>
  <si>
    <t>Rezultati pismenog dijela ispita bit će objavljeni u roku 7 dana.</t>
  </si>
  <si>
    <t>Osnovica za uzdržavane članove i djecu:</t>
  </si>
  <si>
    <t>iznos odbitka</t>
  </si>
  <si>
    <t>PRIJAVLJENI OSOBNI ODBITAK</t>
  </si>
  <si>
    <t>20 % na iznos do 3.981,69 eura porezne osnovice</t>
  </si>
  <si>
    <t>30 % na iznos veći od 3.981,69 eura porezne osnovice</t>
  </si>
  <si>
    <t>PRIREZ   0% - 18%</t>
  </si>
  <si>
    <t>x % od ukupnog poreza</t>
  </si>
  <si>
    <t>20 % na osnovicu do 3.981,61 eura (0 eur - 3.981,61 eura)</t>
  </si>
  <si>
    <t>30 % - na osnovicu iznad 3.981,69 eura</t>
  </si>
  <si>
    <r>
      <rPr>
        <sz val="11"/>
        <color theme="1"/>
        <rFont val="Calibri"/>
        <family val="2"/>
      </rPr>
      <t>6.</t>
    </r>
    <r>
      <rPr>
        <b/>
        <sz val="11"/>
        <color theme="1"/>
        <rFont val="Calibri"/>
        <family val="2"/>
      </rPr>
      <t xml:space="preserve"> [I1, 3 boda] Ž</t>
    </r>
    <r>
      <rPr>
        <sz val="11"/>
        <color theme="1"/>
        <rFont val="Calibri"/>
        <family val="2"/>
      </rPr>
      <t xml:space="preserve"> Traperice koštaju 33 eura u trgovini. Ako je stopa PDV-a 25 % odredite cijenu bez PDV-a? Izračunajte u ćeliji C28.</t>
    </r>
  </si>
  <si>
    <t>Svaka točno izračunata vrijednost donosi po 0,375 boda.</t>
  </si>
  <si>
    <r>
      <rPr>
        <b/>
        <sz val="11"/>
        <color theme="1"/>
        <rFont val="Calibri"/>
        <family val="2"/>
      </rPr>
      <t>11. [I2, 6 bodova] M</t>
    </r>
    <r>
      <rPr>
        <sz val="11"/>
        <color theme="1"/>
        <rFont val="Calibri"/>
        <family val="2"/>
      </rPr>
      <t xml:space="preserve"> Odredite neto iznos plaće osobe koja živi u Zagrebu (prirez 18 %) i popunite tablicu do kraja. Ima djecu D1 i D3 na svojoj poreznoj kartici i bruto plaću 1.400 eura.</t>
    </r>
  </si>
  <si>
    <t>Spremite dokument pod svojim imenom, tako da prvo napišete prezime, potom ime i grupu ispita (ovo je grupa 1) npr. Ivic Ivica 1.xlsx</t>
  </si>
  <si>
    <t>daberite odgovor DA uz ishode koje pišete!!!</t>
  </si>
  <si>
    <t xml:space="preserve"> /21</t>
  </si>
  <si>
    <t xml:space="preserve"> /3</t>
  </si>
  <si>
    <t>/0,375</t>
  </si>
  <si>
    <r>
      <t xml:space="preserve">15. </t>
    </r>
    <r>
      <rPr>
        <b/>
        <sz val="11"/>
        <color theme="1"/>
        <rFont val="Calibri"/>
        <family val="2"/>
      </rPr>
      <t>[I3, 6 bodova] M</t>
    </r>
    <r>
      <rPr>
        <sz val="11"/>
        <color theme="1"/>
        <rFont val="Calibri"/>
        <family val="2"/>
      </rPr>
      <t xml:space="preserve"> Anita je uzela zajam metodom jednakih anuiteta u iznosu 14.000,00 eura koji će otplaćivati 7 godina krajem svakog kvartala. Godišnja dekurzivna kamatna stopa iznosi 4,7 %.
Napravite otplatnu tablicu i provjerite je. Popravite zadnji redak otplatne tablice tako da dug bude 0 eura.</t>
    </r>
  </si>
  <si>
    <t>3 bod</t>
  </si>
  <si>
    <r>
      <t xml:space="preserve">19. </t>
    </r>
    <r>
      <rPr>
        <b/>
        <sz val="11"/>
        <color rgb="FF000000"/>
        <rFont val="Calibri"/>
        <family val="2"/>
      </rPr>
      <t xml:space="preserve">[I4, 6 bodova] </t>
    </r>
    <r>
      <rPr>
        <sz val="11"/>
        <color rgb="FF000000"/>
        <rFont val="Calibri"/>
        <family val="2"/>
      </rPr>
      <t>Broj stanovnika nekog mjesta smanjuje se godišnje u prosjeku za 450.</t>
    </r>
  </si>
  <si>
    <t>Stanje nakon šest godina od početka (nakon što je podigla 4.500 eura) C6=</t>
  </si>
  <si>
    <t>12. 9. 2024.</t>
  </si>
  <si>
    <t>ispit - grupa 1 u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</si>
</sst>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0.00\ &quot;kn&quot;;[Red]\-#,##0.00\ &quot;kn&quot;"/>
    <numFmt numFmtId="164" formatCode="_-&quot;€&quot;\ * #,##0.00_-;\-&quot;€&quot;\ * #,##0.00_-;_-&quot;€&quot;\ * &quot;-&quot;??_-;_-@_-"/>
    <numFmt numFmtId="165" formatCode="_-[$€-2]\ * #,##0.00_-;\-[$€-2]\ * #,##0.00_-;_-[$€-2]\ * &quot;-&quot;??_-;_-@"/>
    <numFmt numFmtId="166" formatCode="_-* #,##0.00\ &quot;kn&quot;_-;\-* #,##0.00\ &quot;kn&quot;_-;_-* &quot;-&quot;??\ &quot;kn&quot;_-;_-@"/>
    <numFmt numFmtId="167" formatCode="0.00000"/>
    <numFmt numFmtId="168" formatCode="0.0"/>
    <numFmt numFmtId="169" formatCode="0.0000%"/>
    <numFmt numFmtId="170" formatCode="0.0000"/>
    <numFmt numFmtId="171" formatCode="_-* #,##0.00\ [$€-1]_-;\-* #,##0.00\ [$€-1]_-;_-* &quot;-&quot;??\ [$€-1]_-;_-@"/>
    <numFmt numFmtId="172" formatCode="#,##0.00\ &quot;kn&quot;"/>
    <numFmt numFmtId="173" formatCode="_-* #,##0.00\ [$kn-41A]_-;\-* #,##0.00\ [$kn-41A]_-;_-* &quot;-&quot;??\ [$kn-41A]_-;_-@"/>
    <numFmt numFmtId="174" formatCode="#,##0.000"/>
    <numFmt numFmtId="175" formatCode="0.000%"/>
    <numFmt numFmtId="176" formatCode="_-* #,##0.00000\ _k_n_-;\-* #,##0.00000\ _k_n_-;_-* &quot;-&quot;??\ _k_n_-;_-@"/>
    <numFmt numFmtId="177" formatCode="#,##0.000\ &quot;kn&quot;"/>
    <numFmt numFmtId="178" formatCode="#,##0.0000"/>
    <numFmt numFmtId="179" formatCode="0.0000000%"/>
    <numFmt numFmtId="180" formatCode="#,##0.000000"/>
    <numFmt numFmtId="181" formatCode="0.000000%"/>
    <numFmt numFmtId="182" formatCode="_-* #,##0.000\ _k_n_-;\-* #,##0.000\ _k_n_-;_-* &quot;-&quot;??\ _k_n_-;_-@"/>
    <numFmt numFmtId="183" formatCode="0.0%"/>
    <numFmt numFmtId="184" formatCode="_-[$€-2]\ * #,##0.00_-;\-[$€-2]\ * #,##0.00_-;_-[$€-2]\ * &quot;-&quot;??_-;_-@_-"/>
    <numFmt numFmtId="185" formatCode="&quot;€&quot;\ #,##0.00"/>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Calibri"/>
      <family val="2"/>
    </font>
    <font>
      <b/>
      <sz val="16"/>
      <color theme="1"/>
      <name val="Calibri"/>
      <family val="2"/>
    </font>
    <font>
      <sz val="11"/>
      <color theme="1"/>
      <name val="Calibri"/>
      <family val="2"/>
      <scheme val="minor"/>
    </font>
    <font>
      <b/>
      <sz val="11"/>
      <color rgb="FFFF0000"/>
      <name val="Calibri"/>
      <family val="2"/>
    </font>
    <font>
      <b/>
      <sz val="11"/>
      <color theme="1"/>
      <name val="Calibri"/>
      <family val="2"/>
    </font>
    <font>
      <sz val="11"/>
      <color theme="1"/>
      <name val="Calibri"/>
      <family val="2"/>
    </font>
    <font>
      <sz val="11"/>
      <name val="Calibri"/>
      <family val="2"/>
    </font>
    <font>
      <sz val="11"/>
      <color rgb="FFFF0000"/>
      <name val="Calibri"/>
      <family val="2"/>
    </font>
    <font>
      <sz val="11"/>
      <color rgb="FF000000"/>
      <name val="Calibri"/>
      <family val="2"/>
    </font>
    <font>
      <u/>
      <sz val="11"/>
      <color theme="10"/>
      <name val="Calibri"/>
      <family val="2"/>
    </font>
    <font>
      <b/>
      <sz val="11"/>
      <color rgb="FF000000"/>
      <name val="Calibri"/>
      <family val="2"/>
    </font>
    <font>
      <b/>
      <sz val="11"/>
      <color rgb="FFFF0000"/>
      <name val="Calibri"/>
      <family val="2"/>
      <charset val="238"/>
    </font>
    <font>
      <b/>
      <sz val="11"/>
      <color theme="1"/>
      <name val="Calibri"/>
      <family val="2"/>
      <charset val="238"/>
    </font>
    <font>
      <sz val="11"/>
      <color theme="1"/>
      <name val="Calibri"/>
      <family val="2"/>
      <charset val="238"/>
      <scheme val="minor"/>
    </font>
    <font>
      <sz val="11"/>
      <color rgb="FF000000"/>
      <name val="Calibri"/>
      <family val="2"/>
      <charset val="238"/>
      <scheme val="minor"/>
    </font>
    <font>
      <sz val="11"/>
      <color theme="1"/>
      <name val="Calibri"/>
      <family val="2"/>
      <charset val="238"/>
      <scheme val="minor"/>
    </font>
    <font>
      <sz val="11"/>
      <name val="Calibri"/>
      <family val="2"/>
      <charset val="238"/>
    </font>
    <font>
      <sz val="11"/>
      <color theme="1"/>
      <name val="Calibri"/>
      <family val="2"/>
      <charset val="238"/>
    </font>
    <font>
      <u/>
      <sz val="11"/>
      <color theme="10"/>
      <name val="Calibri"/>
      <family val="2"/>
      <scheme val="minor"/>
    </font>
    <font>
      <sz val="11"/>
      <color theme="1"/>
      <name val="Calibri"/>
      <family val="2"/>
      <charset val="238"/>
      <scheme val="minor"/>
    </font>
    <font>
      <sz val="8"/>
      <name val="Calibri"/>
      <family val="2"/>
      <charset val="238"/>
      <scheme val="minor"/>
    </font>
  </fonts>
  <fills count="18">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FBE4D5"/>
        <bgColor rgb="FFFBE4D5"/>
      </patternFill>
    </fill>
    <fill>
      <patternFill patternType="solid">
        <fgColor rgb="FFFEF2CB"/>
        <bgColor rgb="FFFEF2CB"/>
      </patternFill>
    </fill>
    <fill>
      <patternFill patternType="solid">
        <fgColor rgb="FFD9E2F3"/>
        <bgColor rgb="FFD9E2F3"/>
      </patternFill>
    </fill>
    <fill>
      <patternFill patternType="solid">
        <fgColor rgb="FFE2EFD9"/>
        <bgColor rgb="FFE2EFD9"/>
      </patternFill>
    </fill>
    <fill>
      <patternFill patternType="solid">
        <fgColor rgb="FF7F7F7F"/>
        <bgColor rgb="FF7F7F7F"/>
      </patternFill>
    </fill>
    <fill>
      <patternFill patternType="solid">
        <fgColor rgb="FF9CC2E5"/>
        <bgColor rgb="FF9CC2E5"/>
      </patternFill>
    </fill>
    <fill>
      <patternFill patternType="solid">
        <fgColor rgb="FFFFD965"/>
        <bgColor rgb="FFFFD965"/>
      </patternFill>
    </fill>
    <fill>
      <patternFill patternType="solid">
        <fgColor rgb="FF92D050"/>
        <bgColor rgb="FF92D050"/>
      </patternFill>
    </fill>
    <fill>
      <patternFill patternType="solid">
        <fgColor rgb="FFF7CAAC"/>
        <bgColor rgb="FFF7CAAC"/>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2CC"/>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4" fillId="0" borderId="5"/>
    <xf numFmtId="9" fontId="18" fillId="0" borderId="0" applyFont="0" applyFill="0" applyBorder="0" applyAlignment="0" applyProtection="0"/>
    <xf numFmtId="0" fontId="18" fillId="0" borderId="5"/>
    <xf numFmtId="0" fontId="20" fillId="0" borderId="5"/>
    <xf numFmtId="0" fontId="23" fillId="0" borderId="5" applyNumberFormat="0" applyFill="0" applyBorder="0" applyAlignment="0" applyProtection="0"/>
    <xf numFmtId="9" fontId="20" fillId="0" borderId="5" applyFont="0" applyFill="0" applyBorder="0" applyAlignment="0" applyProtection="0"/>
    <xf numFmtId="164" fontId="24" fillId="0" borderId="0" applyFont="0" applyFill="0" applyBorder="0" applyAlignment="0" applyProtection="0"/>
  </cellStyleXfs>
  <cellXfs count="218">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2" borderId="1" xfId="0" applyFont="1" applyFill="1" applyBorder="1"/>
    <xf numFmtId="0" fontId="10" fillId="2" borderId="1" xfId="0" applyFont="1" applyFill="1" applyBorder="1" applyAlignment="1">
      <alignment horizontal="center" vertical="center"/>
    </xf>
    <xf numFmtId="0" fontId="10" fillId="0" borderId="1" xfId="0" applyFont="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applyFont="1" applyAlignment="1">
      <alignment horizontal="right" vertical="center"/>
    </xf>
    <xf numFmtId="9" fontId="10"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8" borderId="5" xfId="0" applyFont="1" applyFill="1" applyBorder="1" applyAlignment="1">
      <alignment horizontal="center" vertical="center"/>
    </xf>
    <xf numFmtId="0" fontId="10" fillId="8" borderId="5" xfId="0" applyFont="1" applyFill="1" applyBorder="1"/>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8" borderId="5" xfId="0" applyFont="1" applyFill="1" applyBorder="1" applyAlignment="1">
      <alignment horizontal="center" vertical="center"/>
    </xf>
    <xf numFmtId="0" fontId="9" fillId="0" borderId="2" xfId="0" applyFont="1" applyBorder="1" applyAlignment="1">
      <alignment horizontal="center" vertical="center"/>
    </xf>
    <xf numFmtId="166" fontId="10" fillId="0" borderId="1" xfId="0" applyNumberFormat="1" applyFont="1" applyBorder="1" applyAlignment="1">
      <alignment horizontal="center" vertical="center"/>
    </xf>
    <xf numFmtId="0" fontId="9" fillId="0" borderId="2" xfId="0" applyFont="1" applyBorder="1" applyAlignment="1">
      <alignment horizontal="center"/>
    </xf>
    <xf numFmtId="165" fontId="10" fillId="0" borderId="1" xfId="0" applyNumberFormat="1" applyFont="1" applyBorder="1"/>
    <xf numFmtId="0" fontId="12" fillId="0" borderId="1" xfId="0" applyFont="1" applyBorder="1"/>
    <xf numFmtId="10" fontId="10" fillId="0" borderId="1" xfId="0" applyNumberFormat="1" applyFont="1" applyBorder="1" applyAlignment="1">
      <alignment horizontal="center" vertical="center"/>
    </xf>
    <xf numFmtId="0" fontId="8" fillId="0" borderId="1" xfId="0" applyFont="1" applyBorder="1" applyAlignment="1">
      <alignment horizontal="center" vertical="center"/>
    </xf>
    <xf numFmtId="2" fontId="10" fillId="0" borderId="1" xfId="0" applyNumberFormat="1" applyFont="1" applyBorder="1" applyAlignment="1">
      <alignment horizontal="center" vertical="center"/>
    </xf>
    <xf numFmtId="0" fontId="10" fillId="0" borderId="1" xfId="0" applyFont="1" applyBorder="1"/>
    <xf numFmtId="167" fontId="10" fillId="0" borderId="1" xfId="0" applyNumberFormat="1" applyFont="1" applyBorder="1" applyAlignment="1">
      <alignment horizontal="center" vertical="center"/>
    </xf>
    <xf numFmtId="168" fontId="10" fillId="0" borderId="1" xfId="0" applyNumberFormat="1" applyFont="1" applyBorder="1" applyAlignment="1">
      <alignment horizontal="center" vertical="center"/>
    </xf>
    <xf numFmtId="169"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70" fontId="10" fillId="0" borderId="1" xfId="0" applyNumberFormat="1" applyFont="1" applyBorder="1" applyAlignment="1">
      <alignment horizontal="center" vertical="center"/>
    </xf>
    <xf numFmtId="0" fontId="10" fillId="9" borderId="1" xfId="0" applyFont="1" applyFill="1" applyBorder="1" applyAlignment="1">
      <alignment horizontal="center" vertical="center"/>
    </xf>
    <xf numFmtId="0" fontId="12" fillId="9" borderId="1" xfId="0" applyFont="1" applyFill="1" applyBorder="1" applyAlignment="1">
      <alignment horizontal="center" vertical="center"/>
    </xf>
    <xf numFmtId="0" fontId="10" fillId="0" borderId="0" xfId="0" applyFont="1" applyAlignment="1">
      <alignment horizontal="right"/>
    </xf>
    <xf numFmtId="10" fontId="10" fillId="0" borderId="0" xfId="0" applyNumberFormat="1" applyFont="1"/>
    <xf numFmtId="171" fontId="10" fillId="2" borderId="5" xfId="0" applyNumberFormat="1" applyFont="1" applyFill="1" applyBorder="1"/>
    <xf numFmtId="0" fontId="12" fillId="0" borderId="0" xfId="0" applyFont="1"/>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wrapText="1"/>
    </xf>
    <xf numFmtId="10" fontId="10" fillId="2" borderId="5" xfId="0" applyNumberFormat="1" applyFont="1" applyFill="1" applyBorder="1"/>
    <xf numFmtId="0" fontId="10" fillId="0" borderId="0" xfId="0" applyFont="1" applyAlignment="1">
      <alignment wrapText="1"/>
    </xf>
    <xf numFmtId="0" fontId="10" fillId="0" borderId="0" xfId="0" applyFont="1"/>
    <xf numFmtId="0" fontId="10" fillId="2" borderId="5" xfId="0" applyFont="1" applyFill="1" applyBorder="1"/>
    <xf numFmtId="0" fontId="13" fillId="0" borderId="0" xfId="0" applyFont="1" applyAlignment="1">
      <alignment horizontal="left" vertical="center"/>
    </xf>
    <xf numFmtId="172" fontId="10" fillId="0" borderId="0" xfId="0" applyNumberFormat="1" applyFont="1"/>
    <xf numFmtId="0" fontId="10" fillId="0" borderId="0" xfId="0" applyFont="1" applyAlignment="1">
      <alignment horizontal="left" vertical="center"/>
    </xf>
    <xf numFmtId="0" fontId="9" fillId="0" borderId="0" xfId="0" applyFont="1"/>
    <xf numFmtId="172" fontId="10" fillId="0" borderId="1" xfId="0" applyNumberFormat="1"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right" vertical="top"/>
    </xf>
    <xf numFmtId="0" fontId="12" fillId="0" borderId="0" xfId="0" applyFont="1" applyAlignment="1">
      <alignment horizontal="left" vertical="top"/>
    </xf>
    <xf numFmtId="0" fontId="12" fillId="0" borderId="0" xfId="0" applyFont="1" applyAlignment="1">
      <alignment horizontal="right" vertical="top"/>
    </xf>
    <xf numFmtId="0" fontId="10" fillId="2" borderId="5" xfId="0" applyFont="1" applyFill="1" applyBorder="1" applyAlignment="1">
      <alignment horizontal="right" wrapText="1"/>
    </xf>
    <xf numFmtId="0" fontId="10" fillId="0" borderId="0" xfId="0" applyFont="1" applyAlignment="1">
      <alignment horizontal="right" wrapText="1"/>
    </xf>
    <xf numFmtId="0" fontId="10" fillId="0" borderId="0" xfId="0" applyFont="1" applyAlignment="1">
      <alignment horizontal="left" vertical="top" wrapText="1"/>
    </xf>
    <xf numFmtId="171" fontId="10" fillId="2" borderId="5" xfId="0" applyNumberFormat="1" applyFont="1" applyFill="1" applyBorder="1" applyAlignment="1">
      <alignment horizontal="center" vertical="center" wrapText="1"/>
    </xf>
    <xf numFmtId="10" fontId="10" fillId="2" borderId="5" xfId="0" applyNumberFormat="1" applyFont="1" applyFill="1" applyBorder="1" applyAlignment="1">
      <alignment horizontal="center" vertical="center" wrapText="1"/>
    </xf>
    <xf numFmtId="174" fontId="10" fillId="2" borderId="5" xfId="0" applyNumberFormat="1" applyFont="1" applyFill="1" applyBorder="1" applyAlignment="1">
      <alignment horizontal="center" vertical="center"/>
    </xf>
    <xf numFmtId="0" fontId="9" fillId="0" borderId="1" xfId="0" applyFont="1" applyBorder="1" applyAlignment="1">
      <alignment horizontal="center" vertical="center" wrapText="1"/>
    </xf>
    <xf numFmtId="171" fontId="10" fillId="2" borderId="1" xfId="0" applyNumberFormat="1" applyFont="1" applyFill="1" applyBorder="1" applyAlignment="1">
      <alignment horizontal="center"/>
    </xf>
    <xf numFmtId="0" fontId="12" fillId="0" borderId="0" xfId="0" applyFont="1" applyAlignment="1">
      <alignment horizontal="right" vertical="top" wrapText="1"/>
    </xf>
    <xf numFmtId="10" fontId="10" fillId="2" borderId="5" xfId="0" applyNumberFormat="1" applyFont="1" applyFill="1" applyBorder="1" applyAlignment="1">
      <alignment horizontal="center" vertical="center"/>
    </xf>
    <xf numFmtId="171" fontId="12" fillId="2" borderId="5" xfId="0" applyNumberFormat="1" applyFont="1" applyFill="1" applyBorder="1"/>
    <xf numFmtId="174" fontId="10" fillId="2" borderId="5" xfId="0" applyNumberFormat="1" applyFont="1" applyFill="1" applyBorder="1"/>
    <xf numFmtId="169" fontId="10" fillId="2" borderId="5" xfId="0" applyNumberFormat="1" applyFont="1" applyFill="1" applyBorder="1"/>
    <xf numFmtId="0" fontId="10" fillId="2" borderId="5" xfId="0" applyFont="1" applyFill="1" applyBorder="1" applyAlignment="1">
      <alignment wrapText="1"/>
    </xf>
    <xf numFmtId="175" fontId="10" fillId="2" borderId="5" xfId="0" applyNumberFormat="1" applyFont="1" applyFill="1" applyBorder="1"/>
    <xf numFmtId="176" fontId="10" fillId="2" borderId="5" xfId="0" applyNumberFormat="1" applyFont="1" applyFill="1" applyBorder="1"/>
    <xf numFmtId="8" fontId="10" fillId="0" borderId="0" xfId="0" applyNumberFormat="1" applyFont="1"/>
    <xf numFmtId="171" fontId="10" fillId="0" borderId="0" xfId="0" applyNumberFormat="1" applyFont="1" applyAlignment="1">
      <alignment horizontal="center" vertical="center"/>
    </xf>
    <xf numFmtId="171" fontId="10" fillId="10" borderId="5" xfId="0" applyNumberFormat="1" applyFont="1" applyFill="1" applyBorder="1" applyAlignment="1">
      <alignment horizontal="center" vertical="center"/>
    </xf>
    <xf numFmtId="1" fontId="10" fillId="0" borderId="0" xfId="0" applyNumberFormat="1" applyFont="1" applyAlignment="1">
      <alignment horizontal="center" vertical="center"/>
    </xf>
    <xf numFmtId="0" fontId="12" fillId="0" borderId="0" xfId="0" applyFont="1" applyAlignment="1">
      <alignment horizontal="center" vertical="center"/>
    </xf>
    <xf numFmtId="171" fontId="10" fillId="11" borderId="5" xfId="0" applyNumberFormat="1" applyFont="1" applyFill="1" applyBorder="1" applyAlignment="1">
      <alignment horizontal="center" vertical="center"/>
    </xf>
    <xf numFmtId="171" fontId="10" fillId="0" borderId="0" xfId="0" applyNumberFormat="1" applyFont="1"/>
    <xf numFmtId="171" fontId="10" fillId="0" borderId="1" xfId="0" applyNumberFormat="1" applyFont="1" applyBorder="1" applyAlignment="1">
      <alignment horizontal="center" vertical="center"/>
    </xf>
    <xf numFmtId="8" fontId="10" fillId="0" borderId="0" xfId="0" applyNumberFormat="1" applyFont="1" applyAlignment="1">
      <alignment horizontal="center" vertical="center"/>
    </xf>
    <xf numFmtId="177" fontId="10" fillId="0" borderId="0" xfId="0" applyNumberFormat="1" applyFont="1" applyAlignment="1">
      <alignment horizontal="center" vertical="center"/>
    </xf>
    <xf numFmtId="172" fontId="10" fillId="0" borderId="0" xfId="0" applyNumberFormat="1" applyFont="1" applyAlignment="1">
      <alignment horizontal="center" vertical="center"/>
    </xf>
    <xf numFmtId="178" fontId="10" fillId="0" borderId="0" xfId="0" applyNumberFormat="1" applyFont="1"/>
    <xf numFmtId="179" fontId="10" fillId="0" borderId="0" xfId="0" applyNumberFormat="1" applyFont="1"/>
    <xf numFmtId="180" fontId="10" fillId="0" borderId="0" xfId="0" applyNumberFormat="1" applyFont="1"/>
    <xf numFmtId="0" fontId="10" fillId="0" borderId="0" xfId="0" applyFont="1" applyAlignment="1">
      <alignment horizontal="left"/>
    </xf>
    <xf numFmtId="171" fontId="10" fillId="0" borderId="1" xfId="0" applyNumberFormat="1" applyFont="1" applyBorder="1" applyAlignment="1">
      <alignment horizontal="center"/>
    </xf>
    <xf numFmtId="171" fontId="10" fillId="11" borderId="1" xfId="0" applyNumberFormat="1" applyFont="1" applyFill="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vertical="center" wrapText="1"/>
    </xf>
    <xf numFmtId="181" fontId="10" fillId="0" borderId="0" xfId="0" applyNumberFormat="1" applyFont="1"/>
    <xf numFmtId="182" fontId="10" fillId="0" borderId="0" xfId="0" applyNumberFormat="1" applyFont="1"/>
    <xf numFmtId="165" fontId="10" fillId="0" borderId="0" xfId="0" applyNumberFormat="1" applyFont="1"/>
    <xf numFmtId="171" fontId="10" fillId="12" borderId="1" xfId="0" applyNumberFormat="1" applyFont="1" applyFill="1" applyBorder="1" applyAlignment="1">
      <alignment horizontal="center"/>
    </xf>
    <xf numFmtId="0" fontId="10" fillId="12" borderId="1" xfId="0" applyFont="1" applyFill="1" applyBorder="1" applyAlignment="1">
      <alignment horizontal="center"/>
    </xf>
    <xf numFmtId="3" fontId="7" fillId="0" borderId="0" xfId="0" applyNumberFormat="1" applyFont="1"/>
    <xf numFmtId="171" fontId="10" fillId="0" borderId="14" xfId="0" applyNumberFormat="1" applyFont="1" applyBorder="1" applyAlignment="1">
      <alignment horizontal="center"/>
    </xf>
    <xf numFmtId="171" fontId="10" fillId="0" borderId="0" xfId="0" applyNumberFormat="1" applyFont="1" applyAlignment="1">
      <alignment horizontal="center"/>
    </xf>
    <xf numFmtId="183" fontId="10" fillId="0" borderId="0" xfId="0" applyNumberFormat="1" applyFont="1"/>
    <xf numFmtId="171" fontId="12" fillId="0" borderId="0" xfId="0" applyNumberFormat="1" applyFont="1"/>
    <xf numFmtId="10" fontId="10" fillId="2" borderId="5" xfId="0" applyNumberFormat="1" applyFont="1" applyFill="1" applyBorder="1" applyAlignment="1">
      <alignment wrapText="1"/>
    </xf>
    <xf numFmtId="171" fontId="10" fillId="2" borderId="5" xfId="0" applyNumberFormat="1" applyFont="1" applyFill="1" applyBorder="1" applyAlignment="1">
      <alignment wrapText="1"/>
    </xf>
    <xf numFmtId="171" fontId="10" fillId="0" borderId="1" xfId="0" applyNumberFormat="1" applyFont="1" applyBorder="1"/>
    <xf numFmtId="171" fontId="10" fillId="11" borderId="1" xfId="0" applyNumberFormat="1" applyFont="1" applyFill="1" applyBorder="1"/>
    <xf numFmtId="171" fontId="10" fillId="0" borderId="15" xfId="0" applyNumberFormat="1" applyFont="1" applyBorder="1"/>
    <xf numFmtId="171" fontId="10" fillId="0" borderId="2" xfId="0" applyNumberFormat="1" applyFont="1" applyBorder="1"/>
    <xf numFmtId="0" fontId="13" fillId="0" borderId="0" xfId="0" applyFont="1"/>
    <xf numFmtId="0" fontId="9" fillId="0" borderId="1" xfId="0" applyFont="1" applyBorder="1" applyAlignment="1">
      <alignment horizontal="center"/>
    </xf>
    <xf numFmtId="0" fontId="10" fillId="2" borderId="1" xfId="0" applyFont="1" applyFill="1" applyBorder="1" applyAlignment="1">
      <alignment horizontal="center"/>
    </xf>
    <xf numFmtId="1" fontId="10" fillId="2" borderId="1" xfId="0" applyNumberFormat="1" applyFont="1" applyFill="1" applyBorder="1" applyAlignment="1">
      <alignment horizontal="center"/>
    </xf>
    <xf numFmtId="2" fontId="10" fillId="2" borderId="5" xfId="0" applyNumberFormat="1" applyFont="1" applyFill="1" applyBorder="1"/>
    <xf numFmtId="0" fontId="16" fillId="0" borderId="0" xfId="0" applyFont="1"/>
    <xf numFmtId="0" fontId="4" fillId="0" borderId="5" xfId="1"/>
    <xf numFmtId="0" fontId="17" fillId="0" borderId="0" xfId="0" applyFont="1" applyAlignment="1">
      <alignment horizontal="center" vertical="center"/>
    </xf>
    <xf numFmtId="0" fontId="3" fillId="0" borderId="0" xfId="0" applyFont="1"/>
    <xf numFmtId="0" fontId="10" fillId="0" borderId="5" xfId="3" applyFont="1" applyAlignment="1">
      <alignment vertical="center" wrapText="1"/>
    </xf>
    <xf numFmtId="0" fontId="10" fillId="0" borderId="5" xfId="3" applyFont="1"/>
    <xf numFmtId="0" fontId="18" fillId="0" borderId="5" xfId="3"/>
    <xf numFmtId="0" fontId="10" fillId="0" borderId="5" xfId="3" applyFont="1" applyAlignment="1">
      <alignment vertical="center"/>
    </xf>
    <xf numFmtId="0" fontId="14" fillId="0" borderId="5" xfId="3" applyFont="1"/>
    <xf numFmtId="0" fontId="10" fillId="0" borderId="5" xfId="3" applyFont="1" applyAlignment="1">
      <alignment horizontal="left" vertical="center"/>
    </xf>
    <xf numFmtId="0" fontId="14" fillId="0" borderId="5" xfId="3" applyFont="1" applyAlignment="1">
      <alignment horizontal="left" vertical="center"/>
    </xf>
    <xf numFmtId="0" fontId="10" fillId="0" borderId="2" xfId="3" applyFont="1" applyBorder="1"/>
    <xf numFmtId="0" fontId="10" fillId="0" borderId="4" xfId="3" applyFont="1" applyBorder="1"/>
    <xf numFmtId="0" fontId="10" fillId="0" borderId="3" xfId="3" applyFont="1" applyBorder="1"/>
    <xf numFmtId="0" fontId="19" fillId="0" borderId="16" xfId="3" applyFont="1" applyBorder="1" applyAlignment="1">
      <alignment horizontal="left" vertical="center"/>
    </xf>
    <xf numFmtId="184" fontId="18" fillId="0" borderId="5" xfId="3" applyNumberFormat="1"/>
    <xf numFmtId="166" fontId="10" fillId="0" borderId="5" xfId="3" applyNumberFormat="1" applyFont="1"/>
    <xf numFmtId="0" fontId="10" fillId="0" borderId="10" xfId="3" applyFont="1" applyBorder="1"/>
    <xf numFmtId="0" fontId="19" fillId="0" borderId="17" xfId="3" applyFont="1" applyBorder="1" applyAlignment="1">
      <alignment horizontal="left" vertical="center"/>
    </xf>
    <xf numFmtId="0" fontId="9" fillId="0" borderId="5" xfId="3" applyFont="1"/>
    <xf numFmtId="0" fontId="10" fillId="0" borderId="5" xfId="3" applyFont="1" applyAlignment="1">
      <alignment horizontal="center" vertical="center"/>
    </xf>
    <xf numFmtId="184" fontId="18" fillId="0" borderId="5" xfId="3" applyNumberFormat="1" applyAlignment="1">
      <alignment horizontal="right"/>
    </xf>
    <xf numFmtId="166" fontId="10" fillId="0" borderId="5" xfId="3" applyNumberFormat="1" applyFont="1" applyAlignment="1">
      <alignment horizontal="right"/>
    </xf>
    <xf numFmtId="0" fontId="10" fillId="0" borderId="1" xfId="3" applyFont="1" applyBorder="1" applyAlignment="1">
      <alignment horizontal="left" vertical="center" wrapText="1"/>
    </xf>
    <xf numFmtId="0" fontId="10" fillId="0" borderId="1" xfId="3" applyFont="1" applyBorder="1" applyAlignment="1">
      <alignment horizontal="left" vertical="center"/>
    </xf>
    <xf numFmtId="173" fontId="10" fillId="0" borderId="1" xfId="3" applyNumberFormat="1" applyFont="1" applyBorder="1" applyAlignment="1">
      <alignment horizontal="center" vertical="center"/>
    </xf>
    <xf numFmtId="173" fontId="10" fillId="0" borderId="5" xfId="3" applyNumberFormat="1" applyFont="1"/>
    <xf numFmtId="0" fontId="19" fillId="0" borderId="18" xfId="4" applyFont="1" applyBorder="1" applyAlignment="1">
      <alignment horizontal="center" vertical="center"/>
    </xf>
    <xf numFmtId="0" fontId="20" fillId="0" borderId="18" xfId="4" applyBorder="1" applyAlignment="1">
      <alignment horizontal="center" vertical="center"/>
    </xf>
    <xf numFmtId="0" fontId="21" fillId="13" borderId="18" xfId="4" applyFont="1" applyFill="1" applyBorder="1" applyAlignment="1">
      <alignment horizontal="left" vertical="center" wrapText="1"/>
    </xf>
    <xf numFmtId="0" fontId="22" fillId="13" borderId="18" xfId="4" applyFont="1" applyFill="1" applyBorder="1" applyAlignment="1">
      <alignment horizontal="left" vertical="center"/>
    </xf>
    <xf numFmtId="184" fontId="21" fillId="13" borderId="18" xfId="4" applyNumberFormat="1" applyFont="1" applyFill="1" applyBorder="1" applyAlignment="1">
      <alignment horizontal="left" vertical="center" wrapText="1"/>
    </xf>
    <xf numFmtId="184" fontId="20" fillId="0" borderId="18" xfId="4" applyNumberFormat="1" applyBorder="1" applyAlignment="1">
      <alignment horizontal="center" vertical="center"/>
    </xf>
    <xf numFmtId="0" fontId="21" fillId="14" borderId="18" xfId="4" applyFont="1" applyFill="1" applyBorder="1" applyAlignment="1">
      <alignment horizontal="left" vertical="center" wrapText="1"/>
    </xf>
    <xf numFmtId="0" fontId="22" fillId="14" borderId="18" xfId="4" applyFont="1" applyFill="1" applyBorder="1" applyAlignment="1">
      <alignment horizontal="left" vertical="center" wrapText="1"/>
    </xf>
    <xf numFmtId="184" fontId="21" fillId="14" borderId="18" xfId="4" applyNumberFormat="1" applyFont="1" applyFill="1" applyBorder="1" applyAlignment="1">
      <alignment horizontal="left" vertical="center" wrapText="1"/>
    </xf>
    <xf numFmtId="0" fontId="22" fillId="14" borderId="18" xfId="4" applyFont="1" applyFill="1" applyBorder="1" applyAlignment="1">
      <alignment horizontal="left" vertical="center"/>
    </xf>
    <xf numFmtId="0" fontId="21" fillId="0" borderId="18" xfId="4" applyFont="1" applyBorder="1" applyAlignment="1">
      <alignment horizontal="left" vertical="center" wrapText="1"/>
    </xf>
    <xf numFmtId="0" fontId="22" fillId="0" borderId="18" xfId="4" applyFont="1" applyBorder="1" applyAlignment="1">
      <alignment horizontal="left" vertical="center" wrapText="1"/>
    </xf>
    <xf numFmtId="184" fontId="21" fillId="0" borderId="18" xfId="4" applyNumberFormat="1" applyFont="1" applyBorder="1" applyAlignment="1">
      <alignment horizontal="left" vertical="center" wrapText="1"/>
    </xf>
    <xf numFmtId="0" fontId="21" fillId="0" borderId="18" xfId="3" applyFont="1" applyBorder="1" applyAlignment="1">
      <alignment horizontal="left" vertical="center" wrapText="1"/>
    </xf>
    <xf numFmtId="0" fontId="23" fillId="0" borderId="5" xfId="5" applyAlignment="1">
      <alignment horizontal="left" vertical="center" wrapText="1"/>
    </xf>
    <xf numFmtId="0" fontId="22" fillId="0" borderId="18" xfId="3" applyFont="1" applyBorder="1" applyAlignment="1">
      <alignment horizontal="left" vertical="center" wrapText="1"/>
    </xf>
    <xf numFmtId="0" fontId="21" fillId="16" borderId="18" xfId="4" applyFont="1" applyFill="1" applyBorder="1" applyAlignment="1">
      <alignment horizontal="left" vertical="center" wrapText="1"/>
    </xf>
    <xf numFmtId="0" fontId="22" fillId="16" borderId="18" xfId="3" applyFont="1" applyFill="1" applyBorder="1" applyAlignment="1">
      <alignment horizontal="left" vertical="center" wrapText="1"/>
    </xf>
    <xf numFmtId="184" fontId="21" fillId="16" borderId="18" xfId="4" applyNumberFormat="1" applyFont="1" applyFill="1" applyBorder="1" applyAlignment="1">
      <alignment horizontal="left" vertical="center" wrapText="1"/>
    </xf>
    <xf numFmtId="0" fontId="19" fillId="0" borderId="18" xfId="4" applyFont="1" applyBorder="1" applyAlignment="1">
      <alignment horizontal="center" vertical="center" wrapText="1"/>
    </xf>
    <xf numFmtId="2" fontId="21" fillId="16" borderId="18" xfId="4" applyNumberFormat="1" applyFont="1" applyFill="1" applyBorder="1" applyAlignment="1">
      <alignment horizontal="left" vertical="center" wrapText="1"/>
    </xf>
    <xf numFmtId="0" fontId="13" fillId="0" borderId="9" xfId="3" applyFont="1" applyBorder="1" applyAlignment="1">
      <alignment horizontal="left" vertical="center"/>
    </xf>
    <xf numFmtId="0" fontId="22" fillId="16" borderId="18" xfId="4" applyFont="1" applyFill="1" applyBorder="1" applyAlignment="1">
      <alignment horizontal="left" vertical="center"/>
    </xf>
    <xf numFmtId="0" fontId="22" fillId="16" borderId="18" xfId="4" applyFont="1" applyFill="1" applyBorder="1" applyAlignment="1">
      <alignment horizontal="left" vertical="center" wrapText="1"/>
    </xf>
    <xf numFmtId="0" fontId="20" fillId="17" borderId="18" xfId="4" applyFill="1" applyBorder="1" applyAlignment="1">
      <alignment horizontal="left" vertical="center" wrapText="1"/>
    </xf>
    <xf numFmtId="184" fontId="20" fillId="17" borderId="18" xfId="4" applyNumberFormat="1" applyFill="1" applyBorder="1" applyAlignment="1">
      <alignment horizontal="left" vertical="center" wrapText="1"/>
    </xf>
    <xf numFmtId="0" fontId="19" fillId="0" borderId="19" xfId="3" applyFont="1" applyBorder="1" applyAlignment="1">
      <alignment horizontal="left" vertical="center"/>
    </xf>
    <xf numFmtId="0" fontId="10" fillId="0" borderId="12" xfId="3" applyFont="1" applyBorder="1"/>
    <xf numFmtId="0" fontId="10" fillId="0" borderId="13" xfId="3" applyFont="1" applyBorder="1"/>
    <xf numFmtId="0" fontId="22" fillId="13" borderId="18" xfId="4" applyFont="1" applyFill="1" applyBorder="1" applyAlignment="1">
      <alignment horizontal="left" vertical="center" wrapText="1"/>
    </xf>
    <xf numFmtId="0" fontId="20" fillId="0" borderId="18" xfId="4" applyBorder="1" applyAlignment="1">
      <alignment horizontal="left" vertical="center"/>
    </xf>
    <xf numFmtId="0" fontId="9" fillId="0" borderId="5" xfId="3" applyFont="1" applyAlignment="1">
      <alignment horizontal="left" vertical="center"/>
    </xf>
    <xf numFmtId="0" fontId="13" fillId="0" borderId="11" xfId="3" applyFont="1" applyBorder="1" applyAlignment="1">
      <alignment horizontal="left" vertical="center"/>
    </xf>
    <xf numFmtId="184" fontId="21" fillId="15" borderId="18" xfId="0" applyNumberFormat="1" applyFont="1" applyFill="1" applyBorder="1" applyAlignment="1">
      <alignment horizontal="left" vertical="center" wrapText="1"/>
    </xf>
    <xf numFmtId="184" fontId="21" fillId="0" borderId="18" xfId="0" applyNumberFormat="1" applyFont="1" applyBorder="1" applyAlignment="1">
      <alignment horizontal="left" vertical="center" wrapText="1"/>
    </xf>
    <xf numFmtId="10" fontId="0" fillId="0" borderId="18" xfId="2" applyNumberFormat="1" applyFont="1" applyBorder="1" applyAlignment="1">
      <alignment vertical="center"/>
    </xf>
    <xf numFmtId="0" fontId="2" fillId="0" borderId="0" xfId="0" applyFont="1"/>
    <xf numFmtId="185" fontId="10" fillId="0" borderId="1" xfId="7" applyNumberFormat="1" applyFont="1" applyBorder="1" applyAlignment="1">
      <alignment horizontal="center" vertical="center"/>
    </xf>
    <xf numFmtId="10" fontId="10" fillId="0" borderId="1" xfId="2" applyNumberFormat="1" applyFont="1" applyBorder="1" applyAlignment="1">
      <alignment horizontal="center" vertical="center"/>
    </xf>
    <xf numFmtId="0" fontId="1" fillId="0" borderId="0" xfId="0" applyFont="1"/>
    <xf numFmtId="0" fontId="9" fillId="3" borderId="2" xfId="0" applyFont="1" applyFill="1" applyBorder="1" applyAlignment="1">
      <alignment horizontal="center" vertical="center" wrapText="1"/>
    </xf>
    <xf numFmtId="0" fontId="11" fillId="0" borderId="3" xfId="0" applyFont="1" applyBorder="1"/>
    <xf numFmtId="0" fontId="9" fillId="4" borderId="2" xfId="0" applyFont="1" applyFill="1" applyBorder="1" applyAlignment="1">
      <alignment horizontal="center" vertical="center"/>
    </xf>
    <xf numFmtId="0" fontId="11" fillId="0" borderId="4" xfId="0" applyFont="1" applyBorder="1"/>
    <xf numFmtId="0" fontId="9" fillId="5" borderId="2" xfId="0" applyFont="1" applyFill="1" applyBorder="1" applyAlignment="1">
      <alignment horizontal="center" vertical="center"/>
    </xf>
    <xf numFmtId="0" fontId="9" fillId="6" borderId="2" xfId="0" applyFont="1" applyFill="1" applyBorder="1" applyAlignment="1">
      <alignment horizontal="center" vertical="center"/>
    </xf>
    <xf numFmtId="0" fontId="10" fillId="7" borderId="2" xfId="0" applyFont="1" applyFill="1" applyBorder="1" applyAlignment="1">
      <alignment horizontal="center" vertical="center"/>
    </xf>
    <xf numFmtId="0" fontId="10" fillId="0" borderId="0" xfId="0" applyFont="1" applyAlignment="1">
      <alignment horizontal="left" wrapText="1"/>
    </xf>
    <xf numFmtId="0" fontId="0" fillId="0" borderId="0" xfId="0"/>
    <xf numFmtId="0" fontId="10" fillId="0" borderId="6" xfId="3" applyFont="1" applyBorder="1" applyAlignment="1">
      <alignment horizontal="left" vertical="center" wrapText="1"/>
    </xf>
    <xf numFmtId="0" fontId="11" fillId="0" borderId="7" xfId="3" applyFont="1" applyBorder="1"/>
    <xf numFmtId="0" fontId="11" fillId="0" borderId="8" xfId="3" applyFont="1" applyBorder="1"/>
    <xf numFmtId="0" fontId="11" fillId="0" borderId="9" xfId="3" applyFont="1" applyBorder="1"/>
    <xf numFmtId="0" fontId="18" fillId="0" borderId="5" xfId="3"/>
    <xf numFmtId="0" fontId="11" fillId="0" borderId="10" xfId="3" applyFont="1" applyBorder="1"/>
    <xf numFmtId="0" fontId="11" fillId="0" borderId="11" xfId="3" applyFont="1" applyBorder="1"/>
    <xf numFmtId="0" fontId="11" fillId="0" borderId="12" xfId="3" applyFont="1" applyBorder="1"/>
    <xf numFmtId="0" fontId="11" fillId="0" borderId="13" xfId="3" applyFont="1" applyBorder="1"/>
    <xf numFmtId="0" fontId="13" fillId="0" borderId="2" xfId="3" applyFont="1" applyBorder="1" applyAlignment="1">
      <alignment horizontal="left" vertical="center" wrapText="1"/>
    </xf>
    <xf numFmtId="0" fontId="11" fillId="0" borderId="4" xfId="3" applyFont="1" applyBorder="1"/>
    <xf numFmtId="0" fontId="11" fillId="0" borderId="3" xfId="3" applyFont="1" applyBorder="1"/>
    <xf numFmtId="0" fontId="10" fillId="0" borderId="0" xfId="0" applyFont="1" applyAlignment="1">
      <alignment horizontal="left" vertical="center" wrapText="1"/>
    </xf>
    <xf numFmtId="0" fontId="10" fillId="0" borderId="0" xfId="0" applyFont="1" applyAlignment="1">
      <alignment horizontal="left" vertical="top" wrapText="1"/>
    </xf>
    <xf numFmtId="0" fontId="9" fillId="0" borderId="2" xfId="0" applyFont="1" applyBorder="1" applyAlignment="1">
      <alignment horizontal="center"/>
    </xf>
    <xf numFmtId="0" fontId="10" fillId="0" borderId="0" xfId="0" applyFont="1" applyAlignment="1">
      <alignment horizontal="center"/>
    </xf>
    <xf numFmtId="0" fontId="9" fillId="0" borderId="15" xfId="0" applyFont="1" applyBorder="1" applyAlignment="1">
      <alignment horizontal="center" vertical="center" wrapText="1"/>
    </xf>
    <xf numFmtId="0" fontId="11" fillId="0" borderId="14" xfId="0" applyFont="1" applyBorder="1"/>
  </cellXfs>
  <cellStyles count="8">
    <cellStyle name="Hiperveza" xfId="5" builtinId="8"/>
    <cellStyle name="Normal 2" xfId="1" xr:uid="{2371EF40-E03C-4E28-83F6-6E17BF13A892}"/>
    <cellStyle name="Normal 3" xfId="3" xr:uid="{33A50D56-6870-4A45-A0C7-3D4BAA6F5771}"/>
    <cellStyle name="Normalno" xfId="0" builtinId="0"/>
    <cellStyle name="Normalno 2 2" xfId="4" xr:uid="{71B9FC7C-BAB1-42E6-A653-CC233DD37FD5}"/>
    <cellStyle name="Percent 2" xfId="6" xr:uid="{0E9F6746-7BAA-4EED-951B-3AC249A03C5D}"/>
    <cellStyle name="Postotak" xfId="2" builtinId="5"/>
    <cellStyle name="Valuta" xfId="7"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Kretanje broja stanovnika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19'!$B$11</c:f>
              <c:strCache>
                <c:ptCount val="1"/>
                <c:pt idx="0">
                  <c:v>Populacija</c:v>
                </c:pt>
              </c:strCache>
            </c:strRef>
          </c:tx>
          <c:spPr>
            <a:ln w="19050" cap="rnd">
              <a:noFill/>
              <a:round/>
            </a:ln>
            <a:effectLst/>
          </c:spPr>
          <c:marker>
            <c:symbol val="circle"/>
            <c:size val="5"/>
            <c:spPr>
              <a:solidFill>
                <a:schemeClr val="accent1"/>
              </a:solidFill>
              <a:ln w="9525">
                <a:solidFill>
                  <a:schemeClr val="accent1"/>
                </a:solidFill>
              </a:ln>
              <a:effectLst/>
            </c:spPr>
          </c:marker>
          <c:xVal>
            <c:numRef>
              <c:f>'4. ish zad 19'!$A$12:$A$28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xVal>
          <c:yVal>
            <c:numRef>
              <c:f>'4. ish zad 19'!$B$12:$B$28</c:f>
              <c:numCache>
                <c:formatCode>General</c:formatCode>
                <c:ptCount val="17"/>
                <c:pt idx="0">
                  <c:v>25450</c:v>
                </c:pt>
                <c:pt idx="1">
                  <c:v>25000</c:v>
                </c:pt>
                <c:pt idx="2">
                  <c:v>24550</c:v>
                </c:pt>
                <c:pt idx="3">
                  <c:v>24100</c:v>
                </c:pt>
                <c:pt idx="4">
                  <c:v>23650</c:v>
                </c:pt>
                <c:pt idx="5">
                  <c:v>23200</c:v>
                </c:pt>
                <c:pt idx="6">
                  <c:v>22750</c:v>
                </c:pt>
                <c:pt idx="7">
                  <c:v>22300</c:v>
                </c:pt>
                <c:pt idx="8">
                  <c:v>21850</c:v>
                </c:pt>
                <c:pt idx="9">
                  <c:v>21400</c:v>
                </c:pt>
                <c:pt idx="10">
                  <c:v>20950</c:v>
                </c:pt>
                <c:pt idx="11">
                  <c:v>20500</c:v>
                </c:pt>
                <c:pt idx="12">
                  <c:v>20050</c:v>
                </c:pt>
                <c:pt idx="13">
                  <c:v>19600</c:v>
                </c:pt>
                <c:pt idx="14">
                  <c:v>19150</c:v>
                </c:pt>
                <c:pt idx="15">
                  <c:v>18700</c:v>
                </c:pt>
                <c:pt idx="16">
                  <c:v>18250</c:v>
                </c:pt>
              </c:numCache>
            </c:numRef>
          </c:yVal>
          <c:smooth val="0"/>
          <c:extLst>
            <c:ext xmlns:c16="http://schemas.microsoft.com/office/drawing/2014/chart" uri="{C3380CC4-5D6E-409C-BE32-E72D297353CC}">
              <c16:uniqueId val="{00000000-565A-4B36-9C4C-D4E5D0CEE8DD}"/>
            </c:ext>
          </c:extLst>
        </c:ser>
        <c:dLbls>
          <c:showLegendKey val="0"/>
          <c:showVal val="0"/>
          <c:showCatName val="0"/>
          <c:showSerName val="0"/>
          <c:showPercent val="0"/>
          <c:showBubbleSize val="0"/>
        </c:dLbls>
        <c:axId val="51132816"/>
        <c:axId val="51146960"/>
      </c:scatterChart>
      <c:valAx>
        <c:axId val="51132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1146960"/>
        <c:crosses val="autoZero"/>
        <c:crossBetween val="midCat"/>
      </c:valAx>
      <c:valAx>
        <c:axId val="51146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11328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Kretanje cijena kriptovalute (EUR)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20'!$B$7</c:f>
              <c:strCache>
                <c:ptCount val="1"/>
                <c:pt idx="0">
                  <c:v>cijena kriptovalute (EUR)</c:v>
                </c:pt>
              </c:strCache>
            </c:strRef>
          </c:tx>
          <c:spPr>
            <a:ln w="19050" cap="rnd">
              <a:noFill/>
              <a:round/>
            </a:ln>
            <a:effectLst/>
          </c:spPr>
          <c:marker>
            <c:symbol val="circle"/>
            <c:size val="5"/>
            <c:spPr>
              <a:solidFill>
                <a:schemeClr val="accent1"/>
              </a:solidFill>
              <a:ln w="9525">
                <a:solidFill>
                  <a:schemeClr val="accent1"/>
                </a:solidFill>
              </a:ln>
              <a:effectLst/>
            </c:spPr>
          </c:marker>
          <c:xVal>
            <c:numRef>
              <c:f>'4. ish zad 20'!$A$8:$A$15</c:f>
              <c:numCache>
                <c:formatCode>General</c:formatCode>
                <c:ptCount val="8"/>
                <c:pt idx="0">
                  <c:v>0</c:v>
                </c:pt>
                <c:pt idx="1">
                  <c:v>1</c:v>
                </c:pt>
                <c:pt idx="2">
                  <c:v>2</c:v>
                </c:pt>
                <c:pt idx="3">
                  <c:v>3</c:v>
                </c:pt>
                <c:pt idx="4">
                  <c:v>4</c:v>
                </c:pt>
                <c:pt idx="5">
                  <c:v>5</c:v>
                </c:pt>
                <c:pt idx="6">
                  <c:v>6</c:v>
                </c:pt>
                <c:pt idx="7">
                  <c:v>7</c:v>
                </c:pt>
              </c:numCache>
            </c:numRef>
          </c:xVal>
          <c:yVal>
            <c:numRef>
              <c:f>'4. ish zad 20'!$B$8:$B$15</c:f>
              <c:numCache>
                <c:formatCode>_-* #,##0.00\ [$€-1]_-;\-* #,##0.00\ [$€-1]_-;_-* "-"??\ [$€-1]_-;_-@</c:formatCode>
                <c:ptCount val="8"/>
                <c:pt idx="0">
                  <c:v>285</c:v>
                </c:pt>
                <c:pt idx="1">
                  <c:v>304</c:v>
                </c:pt>
                <c:pt idx="2">
                  <c:v>317</c:v>
                </c:pt>
                <c:pt idx="3">
                  <c:v>324</c:v>
                </c:pt>
                <c:pt idx="4">
                  <c:v>325</c:v>
                </c:pt>
                <c:pt idx="5">
                  <c:v>320</c:v>
                </c:pt>
                <c:pt idx="6">
                  <c:v>309</c:v>
                </c:pt>
                <c:pt idx="7">
                  <c:v>292</c:v>
                </c:pt>
              </c:numCache>
            </c:numRef>
          </c:yVal>
          <c:smooth val="0"/>
          <c:extLst>
            <c:ext xmlns:c16="http://schemas.microsoft.com/office/drawing/2014/chart" uri="{C3380CC4-5D6E-409C-BE32-E72D297353CC}">
              <c16:uniqueId val="{00000000-D32D-439D-AEDC-2537D789417F}"/>
            </c:ext>
          </c:extLst>
        </c:ser>
        <c:dLbls>
          <c:showLegendKey val="0"/>
          <c:showVal val="0"/>
          <c:showCatName val="0"/>
          <c:showSerName val="0"/>
          <c:showPercent val="0"/>
          <c:showBubbleSize val="0"/>
        </c:dLbls>
        <c:axId val="725493568"/>
        <c:axId val="725492736"/>
      </c:scatterChart>
      <c:valAx>
        <c:axId val="725493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725492736"/>
        <c:crosses val="autoZero"/>
        <c:crossBetween val="midCat"/>
      </c:valAx>
      <c:valAx>
        <c:axId val="725492736"/>
        <c:scaling>
          <c:orientation val="minMax"/>
        </c:scaling>
        <c:delete val="0"/>
        <c:axPos val="l"/>
        <c:majorGridlines>
          <c:spPr>
            <a:ln w="9525" cap="flat" cmpd="sng" algn="ctr">
              <a:solidFill>
                <a:schemeClr val="tx1">
                  <a:lumMod val="15000"/>
                  <a:lumOff val="85000"/>
                </a:schemeClr>
              </a:solidFill>
              <a:round/>
            </a:ln>
            <a:effectLst/>
          </c:spPr>
        </c:majorGridlines>
        <c:numFmt formatCode="_-* #,##0.00\ [$€-1]_-;\-* #,##0.00\ [$€-1]_-;_-* &quot;-&quot;??\ [$€-1]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725493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Ovisnost prihoda (EUR) o </a:t>
            </a:r>
            <a:r>
              <a:rPr lang="en-US"/>
              <a:t>ulaganju u društvene mreže</a:t>
            </a:r>
            <a:endParaRPr lang="hr-H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21'!$C$10</c:f>
              <c:strCache>
                <c:ptCount val="1"/>
                <c:pt idx="0">
                  <c:v>Prihod (EUR)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28602755905511812"/>
                  <c:y val="2.1146835812190143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exp"/>
            <c:dispRSqr val="1"/>
            <c:dispEq val="1"/>
            <c:trendlineLbl>
              <c:layout>
                <c:manualLayout>
                  <c:x val="6.3986439195100608E-2"/>
                  <c:y val="0.360072907553222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'4. ish zad 21'!$B$11:$B$24</c:f>
              <c:numCache>
                <c:formatCode>General</c:formatCode>
                <c:ptCount val="14"/>
                <c:pt idx="1">
                  <c:v>430</c:v>
                </c:pt>
                <c:pt idx="2">
                  <c:v>500</c:v>
                </c:pt>
                <c:pt idx="3">
                  <c:v>465</c:v>
                </c:pt>
                <c:pt idx="4">
                  <c:v>295</c:v>
                </c:pt>
                <c:pt idx="5">
                  <c:v>720</c:v>
                </c:pt>
                <c:pt idx="6">
                  <c:v>450</c:v>
                </c:pt>
                <c:pt idx="7">
                  <c:v>350</c:v>
                </c:pt>
                <c:pt idx="8">
                  <c:v>280</c:v>
                </c:pt>
                <c:pt idx="9">
                  <c:v>320</c:v>
                </c:pt>
                <c:pt idx="10">
                  <c:v>610</c:v>
                </c:pt>
                <c:pt idx="11">
                  <c:v>575</c:v>
                </c:pt>
                <c:pt idx="12">
                  <c:v>390</c:v>
                </c:pt>
                <c:pt idx="13">
                  <c:v>535</c:v>
                </c:pt>
              </c:numCache>
            </c:numRef>
          </c:xVal>
          <c:yVal>
            <c:numRef>
              <c:f>'4. ish zad 21'!$C$11:$C$24</c:f>
              <c:numCache>
                <c:formatCode>General</c:formatCode>
                <c:ptCount val="14"/>
                <c:pt idx="1">
                  <c:v>150000</c:v>
                </c:pt>
                <c:pt idx="2">
                  <c:v>180000</c:v>
                </c:pt>
                <c:pt idx="3">
                  <c:v>166000</c:v>
                </c:pt>
                <c:pt idx="4">
                  <c:v>100500</c:v>
                </c:pt>
                <c:pt idx="5">
                  <c:v>390000</c:v>
                </c:pt>
                <c:pt idx="6">
                  <c:v>170500</c:v>
                </c:pt>
                <c:pt idx="7">
                  <c:v>109000</c:v>
                </c:pt>
                <c:pt idx="8">
                  <c:v>140000</c:v>
                </c:pt>
                <c:pt idx="9">
                  <c:v>105050</c:v>
                </c:pt>
                <c:pt idx="10">
                  <c:v>320000</c:v>
                </c:pt>
                <c:pt idx="11">
                  <c:v>280300</c:v>
                </c:pt>
                <c:pt idx="12">
                  <c:v>210200</c:v>
                </c:pt>
                <c:pt idx="13">
                  <c:v>185000</c:v>
                </c:pt>
              </c:numCache>
            </c:numRef>
          </c:yVal>
          <c:smooth val="0"/>
          <c:extLst>
            <c:ext xmlns:c16="http://schemas.microsoft.com/office/drawing/2014/chart" uri="{C3380CC4-5D6E-409C-BE32-E72D297353CC}">
              <c16:uniqueId val="{00000000-292A-4D3E-AFBC-93E718F331A8}"/>
            </c:ext>
          </c:extLst>
        </c:ser>
        <c:dLbls>
          <c:showLegendKey val="0"/>
          <c:showVal val="0"/>
          <c:showCatName val="0"/>
          <c:showSerName val="0"/>
          <c:showPercent val="0"/>
          <c:showBubbleSize val="0"/>
        </c:dLbls>
        <c:axId val="724505456"/>
        <c:axId val="724502960"/>
      </c:scatterChart>
      <c:valAx>
        <c:axId val="724505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724502960"/>
        <c:crosses val="autoZero"/>
        <c:crossBetween val="midCat"/>
      </c:valAx>
      <c:valAx>
        <c:axId val="72450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724505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510482</xdr:colOff>
      <xdr:row>2</xdr:row>
      <xdr:rowOff>0</xdr:rowOff>
    </xdr:to>
    <xdr:pic>
      <xdr:nvPicPr>
        <xdr:cNvPr id="3" name="Picture 1" descr="A close-up of a logo&#10;&#10;Description automatically generated">
          <a:extLst>
            <a:ext uri="{FF2B5EF4-FFF2-40B4-BE49-F238E27FC236}">
              <a16:creationId xmlns:a16="http://schemas.microsoft.com/office/drawing/2014/main" id="{8B6A65B3-BD71-400E-B8A7-D988933A8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2755" cy="5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1</xdr:rowOff>
    </xdr:from>
    <xdr:to>
      <xdr:col>11</xdr:col>
      <xdr:colOff>358140</xdr:colOff>
      <xdr:row>90</xdr:row>
      <xdr:rowOff>9525</xdr:rowOff>
    </xdr:to>
    <mc:AlternateContent xmlns:mc="http://schemas.openxmlformats.org/markup-compatibility/2006" xmlns:a14="http://schemas.microsoft.com/office/drawing/2010/main">
      <mc:Choice Requires="a14">
        <xdr:sp macro="" textlink="">
          <xdr:nvSpPr>
            <xdr:cNvPr id="2" name="TekstniOkvir 1">
              <a:extLst>
                <a:ext uri="{FF2B5EF4-FFF2-40B4-BE49-F238E27FC236}">
                  <a16:creationId xmlns:a16="http://schemas.microsoft.com/office/drawing/2014/main" id="{9C757211-C63C-49C9-A24A-B3539F15884C}"/>
                </a:ext>
              </a:extLst>
            </xdr:cNvPr>
            <xdr:cNvSpPr txBox="1"/>
          </xdr:nvSpPr>
          <xdr:spPr>
            <a:xfrm>
              <a:off x="609600" y="4787901"/>
              <a:ext cx="6454140" cy="1179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Uvijek je preporučljivo napisati</a:t>
              </a:r>
              <a:r>
                <a:rPr lang="hr-HR" sz="1100" baseline="0"/>
                <a:t> </a:t>
              </a:r>
              <a:r>
                <a:rPr lang="hr-HR" sz="1100"/>
                <a:t>svaki</a:t>
              </a:r>
              <a:r>
                <a:rPr lang="hr-HR" sz="1100" baseline="0"/>
                <a:t> zadani podatak u svoju ćeliju.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i="0" baseline="0">
                  <a:solidFill>
                    <a:schemeClr val="dk1"/>
                  </a:solidFill>
                  <a:effectLst/>
                  <a:latin typeface="+mn-lt"/>
                  <a:ea typeface="+mn-ea"/>
                  <a:cs typeface="+mn-cs"/>
                </a:rPr>
                <a:t>Jednostavni kamatni račun</a:t>
              </a:r>
              <a:r>
                <a:rPr lang="hr-HR"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b="0" i="1">
                      <a:solidFill>
                        <a:schemeClr val="dk1"/>
                      </a:solidFill>
                      <a:effectLst/>
                      <a:latin typeface="Cambria Math" panose="02040503050406030204" pitchFamily="18" charset="0"/>
                      <a:ea typeface="+mn-ea"/>
                      <a:cs typeface="+mn-cs"/>
                    </a:rPr>
                    <m:t>𝐾</m:t>
                  </m:r>
                  <m:r>
                    <a:rPr lang="hr-HR" sz="1100" b="0" i="1">
                      <a:solidFill>
                        <a:schemeClr val="dk1"/>
                      </a:solidFill>
                      <a:effectLst/>
                      <a:latin typeface="Cambria Math" panose="02040503050406030204" pitchFamily="18" charset="0"/>
                      <a:ea typeface="+mn-ea"/>
                      <a:cs typeface="+mn-cs"/>
                    </a:rPr>
                    <m:t>=</m:t>
                  </m:r>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𝑛</m:t>
                  </m:r>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a:t>
              </a:r>
              <a:endParaRPr lang="hr-HR">
                <a:effectLst/>
              </a:endParaRPr>
            </a:p>
            <a:p>
              <a:pPr eaLnBrk="1" fontAlgn="auto" latinLnBrk="0" hangingPunct="1"/>
              <a:r>
                <a:rPr lang="hr-HR" sz="1100">
                  <a:solidFill>
                    <a:schemeClr val="dk1"/>
                  </a:solidFill>
                  <a:effectLst/>
                  <a:latin typeface="+mn-lt"/>
                  <a:ea typeface="+mn-ea"/>
                  <a:cs typeface="+mn-cs"/>
                </a:rPr>
                <a:t>Konačna vrijednost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oMath>
              </a14:m>
              <a:r>
                <a:rPr lang="hr-HR" sz="1100">
                  <a:solidFill>
                    <a:schemeClr val="dk1"/>
                  </a:solidFill>
                  <a:effectLst/>
                  <a:latin typeface="+mn-lt"/>
                  <a:ea typeface="+mn-ea"/>
                  <a:cs typeface="+mn-cs"/>
                </a:rPr>
                <a:t> je jednaka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𝐾</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Složeni kamatni račun </a:t>
              </a:r>
              <a:endParaRPr lang="hr-HR" sz="1100" b="0" i="1">
                <a:solidFill>
                  <a:schemeClr val="dk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r>
                    <a:rPr lang="hr-HR" sz="1100" b="0" i="1" baseline="0">
                      <a:solidFill>
                        <a:schemeClr val="dk1"/>
                      </a:solidFill>
                      <a:effectLst/>
                      <a:latin typeface="Cambria Math" panose="02040503050406030204" pitchFamily="18" charset="0"/>
                      <a:ea typeface="+mn-ea"/>
                      <a:cs typeface="+mn-cs"/>
                    </a:rPr>
                    <m:t>𝑝</m:t>
                  </m:r>
                </m:oMath>
              </a14:m>
              <a:r>
                <a:rPr lang="hr-HR" sz="1100">
                  <a:solidFill>
                    <a:schemeClr val="dk1"/>
                  </a:solidFill>
                  <a:effectLst/>
                  <a:latin typeface="+mn-lt"/>
                  <a:ea typeface="+mn-ea"/>
                  <a:cs typeface="+mn-cs"/>
                </a:rPr>
                <a:t>. </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𝑟</m:t>
                      </m:r>
                    </m:e>
                    <m:sup>
                      <m:r>
                        <a:rPr lang="hr-HR" sz="1100" b="0" i="1">
                          <a:solidFill>
                            <a:schemeClr val="dk1"/>
                          </a:solidFill>
                          <a:effectLst/>
                          <a:latin typeface="Cambria Math" panose="02040503050406030204" pitchFamily="18" charset="0"/>
                          <a:ea typeface="+mn-ea"/>
                          <a:cs typeface="+mn-cs"/>
                        </a:rPr>
                        <m:t>𝑛</m:t>
                      </m:r>
                    </m:sup>
                  </m:sSup>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Ako je došlo do promjene kamatne stope pa je tijekom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godina kamatna stopa iznosila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tj. kamatni faktor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potom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2</m:t>
                      </m:r>
                    </m:sub>
                  </m:sSub>
                </m:oMath>
              </a14:m>
              <a:r>
                <a:rPr lang="hr-HR" sz="1100" i="0" baseline="0">
                  <a:solidFill>
                    <a:schemeClr val="dk1"/>
                  </a:solidFill>
                  <a:effectLst/>
                  <a:latin typeface="+mn-lt"/>
                  <a:ea typeface="+mn-ea"/>
                  <a:cs typeface="+mn-cs"/>
                </a:rPr>
                <a:t> godina kamatna stopa bila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2</m:t>
                      </m:r>
                    </m:sub>
                  </m:sSub>
                </m:oMath>
              </a14:m>
              <a:r>
                <a:rPr lang="hr-HR" sz="1100" i="0" baseline="0">
                  <a:solidFill>
                    <a:schemeClr val="dk1"/>
                  </a:solidFill>
                  <a:effectLst/>
                  <a:latin typeface="+mn-lt"/>
                  <a:ea typeface="+mn-ea"/>
                  <a:cs typeface="+mn-cs"/>
                </a:rPr>
                <a:t>, itd... tada za konačnu vrijednost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oMath>
              </a14:m>
              <a:r>
                <a:rPr lang="hr-HR" sz="1100" i="0" baseline="0">
                  <a:solidFill>
                    <a:schemeClr val="dk1"/>
                  </a:solidFill>
                  <a:effectLst/>
                  <a:latin typeface="+mn-lt"/>
                  <a:ea typeface="+mn-ea"/>
                  <a:cs typeface="+mn-cs"/>
                </a:rPr>
                <a:t> koristimo izraz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sSubSup>
                    <m:sSubSupPr>
                      <m:ctrlPr>
                        <a:rPr lang="hr-HR" sz="1100" b="0" i="1">
                          <a:solidFill>
                            <a:schemeClr val="dk1"/>
                          </a:solidFill>
                          <a:effectLst/>
                          <a:latin typeface="Cambria Math" panose="02040503050406030204" pitchFamily="18" charset="0"/>
                          <a:ea typeface="+mn-ea"/>
                          <a:cs typeface="+mn-cs"/>
                        </a:rPr>
                      </m:ctrlPr>
                    </m:sSubSupPr>
                    <m:e>
                      <m:r>
                        <a:rPr lang="hr-HR" sz="1100" b="0" i="1">
                          <a:solidFill>
                            <a:schemeClr val="dk1"/>
                          </a:solidFill>
                          <a:effectLst/>
                          <a:latin typeface="Cambria Math" panose="02040503050406030204" pitchFamily="18" charset="0"/>
                          <a:ea typeface="+mn-ea"/>
                          <a:cs typeface="+mn-cs"/>
                        </a:rPr>
                        <m:t>𝑟</m:t>
                      </m:r>
                    </m:e>
                    <m:sub>
                      <m:r>
                        <a:rPr lang="hr-HR" sz="1100" b="0" i="1">
                          <a:solidFill>
                            <a:schemeClr val="dk1"/>
                          </a:solidFill>
                          <a:effectLst/>
                          <a:latin typeface="Cambria Math" panose="02040503050406030204" pitchFamily="18" charset="0"/>
                          <a:ea typeface="+mn-ea"/>
                          <a:cs typeface="+mn-cs"/>
                        </a:rPr>
                        <m:t>1</m:t>
                      </m:r>
                    </m:sub>
                    <m:sup>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𝑛</m:t>
                          </m:r>
                        </m:e>
                        <m:sub>
                          <m:r>
                            <a:rPr lang="hr-HR" sz="1100" b="0" i="1">
                              <a:solidFill>
                                <a:schemeClr val="dk1"/>
                              </a:solidFill>
                              <a:effectLst/>
                              <a:latin typeface="Cambria Math" panose="02040503050406030204" pitchFamily="18" charset="0"/>
                              <a:ea typeface="+mn-ea"/>
                              <a:cs typeface="+mn-cs"/>
                            </a:rPr>
                            <m:t>1</m:t>
                          </m:r>
                        </m:sub>
                      </m:sSub>
                    </m:sup>
                  </m:sSubSup>
                  <m:r>
                    <a:rPr lang="hr-HR" sz="1100" b="0" i="1">
                      <a:solidFill>
                        <a:schemeClr val="dk1"/>
                      </a:solidFill>
                      <a:effectLst/>
                      <a:latin typeface="Cambria Math" panose="02040503050406030204" pitchFamily="18" charset="0"/>
                      <a:ea typeface="+mn-ea"/>
                      <a:cs typeface="+mn-cs"/>
                    </a:rPr>
                    <m:t>∙</m:t>
                  </m:r>
                  <m:sSubSup>
                    <m:sSubSupPr>
                      <m:ctrlPr>
                        <a:rPr lang="hr-HR" sz="1100" b="0" i="1">
                          <a:solidFill>
                            <a:schemeClr val="dk1"/>
                          </a:solidFill>
                          <a:effectLst/>
                          <a:latin typeface="Cambria Math" panose="02040503050406030204" pitchFamily="18" charset="0"/>
                          <a:ea typeface="+mn-ea"/>
                          <a:cs typeface="+mn-cs"/>
                        </a:rPr>
                      </m:ctrlPr>
                    </m:sSubSupPr>
                    <m:e>
                      <m:r>
                        <a:rPr lang="hr-HR" sz="1100" b="0" i="1">
                          <a:solidFill>
                            <a:schemeClr val="dk1"/>
                          </a:solidFill>
                          <a:effectLst/>
                          <a:latin typeface="Cambria Math" panose="02040503050406030204" pitchFamily="18" charset="0"/>
                          <a:ea typeface="+mn-ea"/>
                          <a:cs typeface="+mn-cs"/>
                        </a:rPr>
                        <m:t>𝑟</m:t>
                      </m:r>
                    </m:e>
                    <m:sub>
                      <m:r>
                        <a:rPr lang="hr-HR" sz="1100" b="0" i="1">
                          <a:solidFill>
                            <a:schemeClr val="dk1"/>
                          </a:solidFill>
                          <a:effectLst/>
                          <a:latin typeface="Cambria Math" panose="02040503050406030204" pitchFamily="18" charset="0"/>
                          <a:ea typeface="+mn-ea"/>
                          <a:cs typeface="+mn-cs"/>
                        </a:rPr>
                        <m:t>2</m:t>
                      </m:r>
                    </m:sub>
                    <m:sup>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𝑛</m:t>
                          </m:r>
                        </m:e>
                        <m:sub>
                          <m:r>
                            <a:rPr lang="hr-HR" sz="1100" b="0" i="1">
                              <a:solidFill>
                                <a:schemeClr val="dk1"/>
                              </a:solidFill>
                              <a:effectLst/>
                              <a:latin typeface="Cambria Math" panose="02040503050406030204" pitchFamily="18" charset="0"/>
                              <a:ea typeface="+mn-ea"/>
                              <a:cs typeface="+mn-cs"/>
                            </a:rPr>
                            <m:t>2</m:t>
                          </m:r>
                        </m:sub>
                      </m:sSub>
                    </m:sup>
                  </m:sSubSup>
                  <m:r>
                    <a:rPr lang="hr-HR" sz="1100" b="0" i="1">
                      <a:solidFill>
                        <a:schemeClr val="dk1"/>
                      </a:solidFill>
                      <a:effectLst/>
                      <a:latin typeface="Cambria Math" panose="02040503050406030204" pitchFamily="18" charset="0"/>
                      <a:ea typeface="+mn-ea"/>
                      <a:cs typeface="+mn-cs"/>
                    </a:rPr>
                    <m:t>∙</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b="1">
                  <a:effectLst/>
                </a:rPr>
                <a:t>Vrste kamatnjaka</a:t>
              </a:r>
            </a:p>
            <a:p>
              <a:r>
                <a:rPr lang="hr-HR" sz="1100" baseline="0">
                  <a:solidFill>
                    <a:schemeClr val="dk1"/>
                  </a:solidFill>
                  <a:effectLst/>
                  <a:latin typeface="+mn-lt"/>
                  <a:ea typeface="+mn-ea"/>
                  <a:cs typeface="+mn-cs"/>
                </a:rPr>
                <a:t>Kapitalizacija:</a:t>
              </a:r>
              <a:endParaRPr lang="hr-HR">
                <a:effectLst/>
              </a:endParaRPr>
            </a:p>
            <a:p>
              <a:r>
                <a:rPr lang="hr-HR" sz="1100" baseline="0">
                  <a:solidFill>
                    <a:schemeClr val="dk1"/>
                  </a:solidFill>
                  <a:effectLst/>
                  <a:latin typeface="+mn-lt"/>
                  <a:ea typeface="+mn-ea"/>
                  <a:cs typeface="+mn-cs"/>
                </a:rPr>
                <a:t>a) mjesečno m=12</a:t>
              </a:r>
              <a:endParaRPr lang="hr-HR">
                <a:effectLst/>
              </a:endParaRPr>
            </a:p>
            <a:p>
              <a:r>
                <a:rPr lang="hr-HR" sz="1100" baseline="0">
                  <a:solidFill>
                    <a:schemeClr val="dk1"/>
                  </a:solidFill>
                  <a:effectLst/>
                  <a:latin typeface="+mn-lt"/>
                  <a:ea typeface="+mn-ea"/>
                  <a:cs typeface="+mn-cs"/>
                </a:rPr>
                <a:t>b) kvartalno/tromjesečno m=4</a:t>
              </a:r>
              <a:endParaRPr lang="hr-HR">
                <a:effectLst/>
              </a:endParaRPr>
            </a:p>
            <a:p>
              <a:r>
                <a:rPr lang="hr-HR" sz="1100" baseline="0">
                  <a:solidFill>
                    <a:schemeClr val="dk1"/>
                  </a:solidFill>
                  <a:effectLst/>
                  <a:latin typeface="+mn-lt"/>
                  <a:ea typeface="+mn-ea"/>
                  <a:cs typeface="+mn-cs"/>
                </a:rPr>
                <a:t>c) polugodišnje m=2</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r>
                <a:rPr lang="hr-HR" sz="1100" baseline="0">
                  <a:solidFill>
                    <a:schemeClr val="dk1"/>
                  </a:solidFill>
                  <a:effectLst/>
                  <a:latin typeface="+mn-lt"/>
                  <a:ea typeface="+mn-ea"/>
                  <a:cs typeface="+mn-cs"/>
                </a:rPr>
                <a:t>1. proporcionalni obračun (relativna kamatna stopa) (koristi se kad mi dugujemo banci)</a:t>
              </a:r>
              <a:endParaRPr lang="hr-HR">
                <a:effectLst/>
              </a:endParaRPr>
            </a:p>
            <a:p>
              <a14:m>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r>
                        <a:rPr lang="hr-HR" sz="1100" b="0" i="1" baseline="0">
                          <a:solidFill>
                            <a:schemeClr val="dk1"/>
                          </a:solidFill>
                          <a:effectLst/>
                          <a:latin typeface="Cambria Math" panose="02040503050406030204" pitchFamily="18" charset="0"/>
                          <a:ea typeface="+mn-ea"/>
                          <a:cs typeface="+mn-cs"/>
                        </a:rPr>
                        <m:t>𝑝</m:t>
                      </m:r>
                    </m:num>
                    <m:den>
                      <m:r>
                        <a:rPr lang="hr-HR" sz="1100" b="0" i="1" baseline="0">
                          <a:solidFill>
                            <a:schemeClr val="dk1"/>
                          </a:solidFill>
                          <a:effectLst/>
                          <a:latin typeface="Cambria Math" panose="02040503050406030204" pitchFamily="18" charset="0"/>
                          <a:ea typeface="+mn-ea"/>
                          <a:cs typeface="+mn-cs"/>
                        </a:rPr>
                        <m:t>𝑚</m:t>
                      </m:r>
                    </m:den>
                  </m:f>
                </m:oMath>
              </a14:m>
              <a:r>
                <a:rPr lang="hr-HR" sz="1100" b="0" baseline="0">
                  <a:solidFill>
                    <a:schemeClr val="dk1"/>
                  </a:solidFill>
                  <a:effectLst/>
                  <a:latin typeface="+mn-lt"/>
                  <a:ea typeface="+mn-ea"/>
                  <a:cs typeface="+mn-cs"/>
                </a:rPr>
                <a:t> </a:t>
              </a:r>
              <a:endParaRPr lang="hr-HR">
                <a:effectLst/>
              </a:endParaRPr>
            </a:p>
            <a:p>
              <a:pPr/>
              <a14:m>
                <m:oMathPara xmlns:m="http://schemas.openxmlformats.org/officeDocument/2006/math">
                  <m:oMathParaPr>
                    <m:jc m:val="left"/>
                  </m:oMathParaPr>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=1+</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oMath>
                </m:oMathPara>
              </a14:m>
              <a:endParaRPr lang="hr-HR">
                <a:effectLst/>
              </a:endParaRPr>
            </a:p>
            <a:p>
              <a:pPr/>
              <a14:m>
                <m:oMathPara xmlns:m="http://schemas.openxmlformats.org/officeDocument/2006/math">
                  <m:oMathParaPr>
                    <m:jc m:val="left"/>
                  </m:oMathParaPr>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𝑛</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𝑚</m:t>
                    </m:r>
                  </m:oMath>
                </m:oMathPara>
              </a14:m>
              <a:endParaRPr lang="hr-HR">
                <a:effectLst/>
              </a:endParaRPr>
            </a:p>
            <a:p>
              <a:endParaRPr lang="hr-HR" sz="1100" b="0" baseline="0">
                <a:solidFill>
                  <a:schemeClr val="dk1"/>
                </a:solidFill>
                <a:effectLst/>
                <a:latin typeface="+mn-lt"/>
                <a:ea typeface="+mn-ea"/>
                <a:cs typeface="+mn-cs"/>
              </a:endParaRPr>
            </a:p>
            <a:p>
              <a:r>
                <a:rPr lang="hr-HR" sz="1100" b="0" baseline="0">
                  <a:solidFill>
                    <a:schemeClr val="dk1"/>
                  </a:solidFill>
                  <a:effectLst/>
                  <a:latin typeface="+mn-lt"/>
                  <a:ea typeface="+mn-ea"/>
                  <a:cs typeface="+mn-cs"/>
                </a:rPr>
                <a:t>2. konformni obračun (koristi se kad štedimo)</a:t>
              </a:r>
              <a:endParaRPr lang="hr-HR">
                <a:effectLst/>
              </a:endParaRPr>
            </a:p>
            <a:p>
              <a14:m>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a:rPr lang="hr-HR" sz="110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m:t>
                      </m:r>
                    </m:sup>
                  </m:sSup>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ad>
                    <m:radPr>
                      <m:ctrlPr>
                        <a:rPr lang="hr-HR" sz="1100" b="0" i="1" baseline="0">
                          <a:solidFill>
                            <a:schemeClr val="dk1"/>
                          </a:solidFill>
                          <a:effectLst/>
                          <a:latin typeface="Cambria Math" panose="02040503050406030204" pitchFamily="18" charset="0"/>
                          <a:ea typeface="+mn-ea"/>
                          <a:cs typeface="+mn-cs"/>
                        </a:rPr>
                      </m:ctrlPr>
                    </m:radPr>
                    <m:deg>
                      <m:r>
                        <m:rPr>
                          <m:brk m:alnAt="7"/>
                        </m:rPr>
                        <a:rPr lang="hr-HR" sz="1100" b="0" i="1" baseline="0">
                          <a:solidFill>
                            <a:schemeClr val="dk1"/>
                          </a:solidFill>
                          <a:effectLst/>
                          <a:latin typeface="Cambria Math" panose="02040503050406030204" pitchFamily="18" charset="0"/>
                          <a:ea typeface="+mn-ea"/>
                          <a:cs typeface="+mn-cs"/>
                        </a:rPr>
                        <m:t>𝑚</m:t>
                      </m:r>
                    </m:deg>
                    <m:e>
                      <m:r>
                        <a:rPr lang="hr-HR" sz="1100" b="0" i="1" baseline="0">
                          <a:solidFill>
                            <a:schemeClr val="dk1"/>
                          </a:solidFill>
                          <a:effectLst/>
                          <a:latin typeface="Cambria Math" panose="02040503050406030204" pitchFamily="18" charset="0"/>
                          <a:ea typeface="+mn-ea"/>
                          <a:cs typeface="+mn-cs"/>
                        </a:rPr>
                        <m:t>𝑟</m:t>
                      </m:r>
                    </m:e>
                  </m:rad>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r>
                        <a:rPr lang="hr-HR" sz="1100" b="0" i="1" baseline="0">
                          <a:solidFill>
                            <a:schemeClr val="dk1"/>
                          </a:solidFill>
                          <a:effectLst/>
                          <a:latin typeface="Cambria Math" panose="02040503050406030204" pitchFamily="18" charset="0"/>
                          <a:ea typeface="+mn-ea"/>
                          <a:cs typeface="+mn-cs"/>
                        </a:rPr>
                        <m:t>1</m:t>
                      </m:r>
                    </m:num>
                    <m:den>
                      <m:r>
                        <a:rPr lang="hr-HR" sz="1100" b="0" i="1" baseline="0">
                          <a:solidFill>
                            <a:schemeClr val="dk1"/>
                          </a:solidFill>
                          <a:effectLst/>
                          <a:latin typeface="Cambria Math" panose="02040503050406030204" pitchFamily="18" charset="0"/>
                          <a:ea typeface="+mn-ea"/>
                          <a:cs typeface="+mn-cs"/>
                        </a:rPr>
                        <m:t>𝑚</m:t>
                      </m:r>
                    </m:den>
                  </m:f>
                  <m:r>
                    <a:rPr lang="hr-HR" sz="1100" b="0" i="1" baseline="0">
                      <a:solidFill>
                        <a:schemeClr val="dk1"/>
                      </a:solidFill>
                      <a:effectLst/>
                      <a:latin typeface="Cambria Math" panose="02040503050406030204" pitchFamily="18" charset="0"/>
                      <a:ea typeface="+mn-ea"/>
                      <a:cs typeface="+mn-cs"/>
                    </a:rPr>
                    <m:t>)</m:t>
                  </m:r>
                </m:oMath>
              </a14:m>
              <a:r>
                <a:rPr lang="hr-HR" sz="1100" baseline="0">
                  <a:solidFill>
                    <a:schemeClr val="dk1"/>
                  </a:solidFill>
                  <a:effectLst/>
                  <a:latin typeface="+mn-lt"/>
                  <a:ea typeface="+mn-ea"/>
                  <a:cs typeface="+mn-cs"/>
                </a:rPr>
                <a:t> </a:t>
              </a:r>
            </a:p>
            <a:p>
              <a14:m>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m:rPr>
                          <m:sty m:val="p"/>
                        </m:rPr>
                        <a:rPr lang="hr-HR" sz="1100" b="0" i="0" baseline="0">
                          <a:solidFill>
                            <a:schemeClr val="dk1"/>
                          </a:solidFill>
                          <a:effectLst/>
                          <a:latin typeface="Cambria Math" panose="02040503050406030204" pitchFamily="18" charset="0"/>
                          <a:ea typeface="+mn-ea"/>
                          <a:cs typeface="+mn-cs"/>
                        </a:rPr>
                        <m:t>p</m:t>
                      </m:r>
                    </m:e>
                    <m:sup>
                      <m:r>
                        <a:rPr lang="hr-HR" sz="1100" b="0" i="0" baseline="0">
                          <a:solidFill>
                            <a:schemeClr val="dk1"/>
                          </a:solidFill>
                          <a:effectLst/>
                          <a:latin typeface="Cambria Math" panose="02040503050406030204" pitchFamily="18" charset="0"/>
                          <a:ea typeface="+mn-ea"/>
                          <a:cs typeface="+mn-cs"/>
                        </a:rPr>
                        <m:t>′</m:t>
                      </m:r>
                    </m:sup>
                  </m:sSup>
                  <m:r>
                    <a:rPr lang="hr-HR" sz="1100" b="0" i="0"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oMath>
              </a14:m>
              <a:r>
                <a:rPr lang="hr-HR" sz="1100" b="0" baseline="0">
                  <a:solidFill>
                    <a:schemeClr val="dk1"/>
                  </a:solidFill>
                  <a:effectLst/>
                  <a:latin typeface="+mn-lt"/>
                  <a:ea typeface="+mn-ea"/>
                  <a:cs typeface="+mn-cs"/>
                </a:rPr>
                <a:t>    (prikazati u obliku postotka)</a:t>
              </a:r>
              <a:endParaRPr lang="hr-HR">
                <a:effectLst/>
              </a:endParaRPr>
            </a:p>
            <a:p>
              <a:pPr eaLnBrk="1" fontAlgn="auto" latinLnBrk="0" hangingPunct="1"/>
              <a14:m>
                <m:oMathPara xmlns:m="http://schemas.openxmlformats.org/officeDocument/2006/math">
                  <m:oMathParaPr>
                    <m:jc m:val="left"/>
                  </m:oMathParaPr>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𝑛</m:t>
                        </m:r>
                      </m:e>
                      <m:sup>
                        <m:r>
                          <a:rPr lang="hr-HR" sz="1100" b="0" i="1" baseline="0">
                            <a:solidFill>
                              <a:schemeClr val="dk1"/>
                            </a:solidFill>
                            <a:effectLst/>
                            <a:latin typeface="Cambria Math" panose="02040503050406030204" pitchFamily="18" charset="0"/>
                            <a:ea typeface="+mn-ea"/>
                            <a:cs typeface="+mn-cs"/>
                          </a:rPr>
                          <m:t>′</m:t>
                        </m:r>
                      </m:sup>
                    </m:sSup>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𝑛</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𝑚</m:t>
                    </m:r>
                  </m:oMath>
                </m:oMathPara>
              </a14:m>
              <a:endParaRPr lang="hr-HR">
                <a:effectLst/>
              </a:endParaRPr>
            </a:p>
            <a:p>
              <a:endParaRPr lang="hr-HR" sz="110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Konačna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uplata</a:t>
              </a:r>
            </a:p>
            <a:p>
              <a:pPr eaLnBrk="1" fontAlgn="auto" latinLnBrk="0" hangingPunct="1"/>
              <a:r>
                <a:rPr lang="hr-HR" sz="1100" i="0" baseline="0">
                  <a:solidFill>
                    <a:schemeClr val="dk1"/>
                  </a:solidFill>
                  <a:effectLst/>
                  <a:latin typeface="+mn-lt"/>
                  <a:ea typeface="+mn-ea"/>
                  <a:cs typeface="+mn-cs"/>
                </a:rPr>
                <a:t>Konačna vrijednost </a:t>
              </a:r>
            </a:p>
            <a:p>
              <a:pPr eaLnBrk="1" fontAlgn="auto" latinLnBrk="0" hangingPunct="1"/>
              <a:r>
                <a:rPr lang="hr-HR" sz="1100" baseline="0">
                  <a:solidFill>
                    <a:schemeClr val="dk1"/>
                  </a:solidFill>
                  <a:effectLst/>
                  <a:latin typeface="+mn-lt"/>
                  <a:ea typeface="+mn-ea"/>
                  <a:cs typeface="+mn-cs"/>
                </a:rPr>
                <a:t>a) prenumerando (uplate početkom razdoblja)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𝑆</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b) postnumerando (uplate krajem razdoblja)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𝑆</m:t>
                      </m:r>
                      <m:r>
                        <a:rPr lang="hr-HR" sz="1100" b="0" i="1" baseline="0">
                          <a:solidFill>
                            <a:schemeClr val="dk1"/>
                          </a:solidFill>
                          <a:effectLst/>
                          <a:latin typeface="Cambria Math" panose="02040503050406030204" pitchFamily="18" charset="0"/>
                          <a:ea typeface="+mn-ea"/>
                          <a:cs typeface="+mn-cs"/>
                        </a:rPr>
                        <m:t>′</m:t>
                      </m:r>
                    </m:e>
                    <m:sub>
                      <m:r>
                        <a:rPr lang="hr-HR" sz="1100" b="0" i="1" baseline="0">
                          <a:solidFill>
                            <a:schemeClr val="dk1"/>
                          </a:solidFill>
                          <a:effectLst/>
                          <a:latin typeface="Cambria Math" panose="02040503050406030204" pitchFamily="18" charset="0"/>
                          <a:ea typeface="+mn-ea"/>
                          <a:cs typeface="+mn-cs"/>
                        </a:rPr>
                        <m:t>𝑛</m:t>
                      </m:r>
                    </m:sub>
                  </m:sSub>
                </m:oMath>
              </a14:m>
              <a:endParaRPr lang="hr-HR">
                <a:effectLst/>
              </a:endParaRPr>
            </a:p>
            <a:p>
              <a:pPr eaLnBrk="1" fontAlgn="auto" latinLnBrk="0" hangingPunct="1"/>
              <a:endParaRPr lang="hr-HR">
                <a:effectLst/>
              </a:endParaRPr>
            </a:p>
            <a:p>
              <a:pPr eaLnBrk="1" fontAlgn="auto" latinLnBrk="0" hangingPunct="1"/>
              <a:r>
                <a:rPr lang="hr-HR">
                  <a:effectLst/>
                </a:rPr>
                <a:t>Konačna vrijednost:</a:t>
              </a:r>
              <a:r>
                <a:rPr lang="hr-HR" baseline="0">
                  <a:effectLst/>
                </a:rPr>
                <a:t> </a:t>
              </a:r>
              <a:r>
                <a:rPr lang="hr-HR" sz="1100" baseline="0">
                  <a:solidFill>
                    <a:schemeClr val="dk1"/>
                  </a:solidFill>
                  <a:effectLst/>
                  <a:latin typeface="+mn-lt"/>
                  <a:ea typeface="+mn-ea"/>
                  <a:cs typeface="+mn-cs"/>
                </a:rPr>
                <a:t>=FV(kamatna stopa %; broj razdoblja; rata koju uplaćujemo; [eventualna velika početna uplata ili ulazna naknada (treba biti suprotnog predznaka od rata)]; 0 ili 1 ovisno o tome uplaćujemo li uplate/rate krajem (postnumerando) ili početkom (prenumarando) razdoblja)</a:t>
              </a:r>
              <a:endParaRPr lang="hr-HR">
                <a:effectLst/>
              </a:endParaRPr>
            </a:p>
            <a:p>
              <a:pPr eaLnBrk="1" fontAlgn="auto" latinLnBrk="0" hangingPunct="1"/>
              <a:r>
                <a:rPr lang="hr-HR" sz="1100" baseline="0">
                  <a:solidFill>
                    <a:schemeClr val="dk1"/>
                  </a:solidFill>
                  <a:effectLst/>
                  <a:latin typeface="+mn-lt"/>
                  <a:ea typeface="+mn-ea"/>
                  <a:cs typeface="+mn-cs"/>
                </a:rPr>
                <a:t>Napomena: uplate se uobičajemo označavaju negativnom vrijednošću.</a:t>
              </a:r>
            </a:p>
            <a:p>
              <a:pPr eaLnBrk="1" fontAlgn="auto" latinLnBrk="0" hangingPunct="1"/>
              <a:endParaRPr lang="hr-HR">
                <a:effectLst/>
              </a:endParaRPr>
            </a:p>
            <a:p>
              <a:pPr eaLnBrk="1" fontAlgn="auto" latinLnBrk="0" hangingPunct="1"/>
              <a:r>
                <a:rPr lang="hr-HR" sz="1100" baseline="0">
                  <a:solidFill>
                    <a:schemeClr val="dk1"/>
                  </a:solidFill>
                  <a:effectLst/>
                  <a:latin typeface="+mn-lt"/>
                  <a:ea typeface="+mn-ea"/>
                  <a:cs typeface="+mn-cs"/>
                </a:rPr>
                <a:t>rata R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ako postoji; FV = konačna vrijednost, tj. iznos koji želimo uštedjeti; 0 ili 1 ovisno o tome uplaćujemo li rate krajem ili početkom razdoblja)</a:t>
              </a:r>
              <a:endParaRPr lang="hr-HR">
                <a:effectLst/>
              </a:endParaRPr>
            </a:p>
            <a:p>
              <a:pPr eaLnBrk="1" fontAlgn="auto" latinLnBrk="0" hangingPunct="1"/>
              <a:r>
                <a:rPr lang="hr-HR" sz="1100" baseline="0">
                  <a:solidFill>
                    <a:schemeClr val="dk1"/>
                  </a:solidFill>
                  <a:effectLst/>
                  <a:latin typeface="+mn-lt"/>
                  <a:ea typeface="+mn-ea"/>
                  <a:cs typeface="+mn-cs"/>
                </a:rPr>
                <a:t>Napomena: konačni iznos koji želimo dobiti upisujemo kao pozitivnu vrijednost, a rezultat R će biti negativan.</a:t>
              </a:r>
              <a:endParaRPr lang="hr-HR">
                <a:effectLst/>
              </a:endParaRPr>
            </a:p>
            <a:p>
              <a:endParaRPr lang="hr-HR" sz="1100" b="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Početna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rata</a:t>
              </a:r>
              <a:endParaRPr lang="hr-HR">
                <a:effectLst/>
              </a:endParaRPr>
            </a:p>
            <a:p>
              <a:pPr eaLnBrk="1" fontAlgn="auto" latinLnBrk="0" hangingPunct="1"/>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a) prenumerando (isplate početkom);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r>
                <a:rPr lang="hr-HR" sz="1100" baseline="0">
                  <a:solidFill>
                    <a:schemeClr val="dk1"/>
                  </a:solidFill>
                  <a:effectLst/>
                  <a:latin typeface="+mn-lt"/>
                  <a:ea typeface="+mn-ea"/>
                  <a:cs typeface="+mn-cs"/>
                </a:rPr>
                <a:t>b) postnumerando (isplate krajem);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endParaRPr lang="hr-HR" sz="1100" baseline="0">
                <a:solidFill>
                  <a:schemeClr val="dk1"/>
                </a:solidFill>
                <a:effectLst/>
                <a:latin typeface="+mn-lt"/>
                <a:ea typeface="+mn-ea"/>
                <a:cs typeface="+mn-cs"/>
              </a:endParaRPr>
            </a:p>
            <a:p>
              <a:pPr eaLnBrk="1" fontAlgn="auto" latinLnBrk="0" hangingPunct="1"/>
              <a:r>
                <a:rPr lang="hr-HR" sz="1100" baseline="0">
                  <a:solidFill>
                    <a:schemeClr val="dk1"/>
                  </a:solidFill>
                  <a:effectLst/>
                  <a:latin typeface="+mn-lt"/>
                  <a:ea typeface="+mn-ea"/>
                  <a:cs typeface="+mn-cs"/>
                </a:rPr>
                <a:t>Početni iznos =PV(kamatna stopa %; broj razdoblja; rata koju uplaćujemo;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vrijednost ako postoji, to je iznos koji želimo da ostane na kraju; 0 ili 1 ovisno o tome primamo li isplate/rate krajem (postnumerando) ili početkom (prenumarando)  razdoblja)</a:t>
              </a:r>
            </a:p>
            <a:p>
              <a:pPr eaLnBrk="1" fontAlgn="auto" latinLnBrk="0" hangingPunct="1"/>
              <a:endParaRPr lang="hr-HR">
                <a:effectLst/>
              </a:endParaRPr>
            </a:p>
            <a:p>
              <a:r>
                <a:rPr lang="hr-HR" sz="1100" baseline="0">
                  <a:solidFill>
                    <a:schemeClr val="dk1"/>
                  </a:solidFill>
                  <a:effectLst/>
                  <a:latin typeface="+mn-lt"/>
                  <a:ea typeface="+mn-ea"/>
                  <a:cs typeface="+mn-cs"/>
                </a:rPr>
                <a:t>Napomena: uplate se uobičajemo označavaju negativnom vrijednošću, a dobivene isplate pozitivno</a:t>
              </a:r>
            </a:p>
            <a:p>
              <a:pPr eaLnBrk="1" fontAlgn="auto" latinLnBrk="0" hangingPunct="1"/>
              <a:r>
                <a:rPr lang="hr-HR" sz="1100" baseline="0">
                  <a:solidFill>
                    <a:schemeClr val="dk1"/>
                  </a:solidFill>
                  <a:effectLst/>
                  <a:latin typeface="+mn-lt"/>
                  <a:ea typeface="+mn-ea"/>
                  <a:cs typeface="+mn-cs"/>
                </a:rPr>
                <a:t>Rata R=PMT(kamatna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i="1" baseline="0">
                  <a:solidFill>
                    <a:schemeClr val="dk1"/>
                  </a:solidFill>
                  <a:effectLst/>
                  <a:latin typeface="+mn-lt"/>
                  <a:ea typeface="+mn-ea"/>
                  <a:cs typeface="+mn-cs"/>
                </a:rPr>
                <a:t>An</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postoji, to je iznos koji želimo da ostane na kraju; 0 ili 1 ovisno o tome uplaćujemo li rate krajem ili početkom razdoblja)</a:t>
              </a:r>
            </a:p>
            <a:p>
              <a:pPr eaLnBrk="1" fontAlgn="auto" latinLnBrk="0" hangingPunct="1"/>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ako govorimo</a:t>
              </a:r>
              <a:r>
                <a:rPr lang="hr-HR" sz="1100" baseline="0">
                  <a:solidFill>
                    <a:schemeClr val="dk1"/>
                  </a:solidFill>
                  <a:effectLst/>
                  <a:latin typeface="+mn-lt"/>
                  <a:ea typeface="+mn-ea"/>
                  <a:cs typeface="+mn-cs"/>
                </a:rPr>
                <a:t> o </a:t>
              </a:r>
              <a:r>
                <a:rPr lang="hr-HR" sz="1100" b="1" baseline="0">
                  <a:solidFill>
                    <a:schemeClr val="dk1"/>
                  </a:solidFill>
                  <a:effectLst/>
                  <a:latin typeface="+mn-lt"/>
                  <a:ea typeface="+mn-ea"/>
                  <a:cs typeface="+mn-cs"/>
                </a:rPr>
                <a:t>vječnoj renti (isplate do kraja života) </a:t>
              </a:r>
              <a:r>
                <a:rPr lang="hr-HR" sz="1100" baseline="0">
                  <a:solidFill>
                    <a:schemeClr val="dk1"/>
                  </a:solidFill>
                  <a:effectLst/>
                  <a:latin typeface="+mn-lt"/>
                  <a:ea typeface="+mn-ea"/>
                  <a:cs typeface="+mn-cs"/>
                </a:rPr>
                <a:t>tada je za broj godina uobičajeno staviti 9999 godina.</a:t>
              </a:r>
              <a:endParaRPr lang="hr-HR">
                <a:effectLst/>
              </a:endParaRPr>
            </a:p>
            <a:p>
              <a:endParaRPr lang="hr-HR" sz="1100" b="0" baseline="0">
                <a:solidFill>
                  <a:schemeClr val="dk1"/>
                </a:solidFill>
                <a:effectLst/>
                <a:latin typeface="+mn-lt"/>
                <a:ea typeface="+mn-ea"/>
                <a:cs typeface="+mn-cs"/>
              </a:endParaRPr>
            </a:p>
            <a:p>
              <a:endParaRPr lang="hr-HR" b="0">
                <a:effectLst/>
              </a:endParaRPr>
            </a:p>
          </xdr:txBody>
        </xdr:sp>
      </mc:Choice>
      <mc:Fallback xmlns="">
        <xdr:sp macro="" textlink="">
          <xdr:nvSpPr>
            <xdr:cNvPr id="2" name="TekstniOkvir 1">
              <a:extLst>
                <a:ext uri="{FF2B5EF4-FFF2-40B4-BE49-F238E27FC236}">
                  <a16:creationId xmlns:a16="http://schemas.microsoft.com/office/drawing/2014/main" id="{9C757211-C63C-49C9-A24A-B3539F15884C}"/>
                </a:ext>
              </a:extLst>
            </xdr:cNvPr>
            <xdr:cNvSpPr txBox="1"/>
          </xdr:nvSpPr>
          <xdr:spPr>
            <a:xfrm>
              <a:off x="609600" y="4787901"/>
              <a:ext cx="6454140" cy="1179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Uvijek je preporučljivo napisati</a:t>
              </a:r>
              <a:r>
                <a:rPr lang="hr-HR" sz="1100" baseline="0"/>
                <a:t> </a:t>
              </a:r>
              <a:r>
                <a:rPr lang="hr-HR" sz="1100"/>
                <a:t>svaki</a:t>
              </a:r>
              <a:r>
                <a:rPr lang="hr-HR" sz="1100" baseline="0"/>
                <a:t> zadani podatak u svoju ćeliju.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i="0" baseline="0">
                  <a:solidFill>
                    <a:schemeClr val="dk1"/>
                  </a:solidFill>
                  <a:effectLst/>
                  <a:latin typeface="+mn-lt"/>
                  <a:ea typeface="+mn-ea"/>
                  <a:cs typeface="+mn-cs"/>
                </a:rPr>
                <a:t>Jednostavni kamatni račun</a:t>
              </a:r>
              <a:r>
                <a:rPr lang="hr-HR"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a:solidFill>
                    <a:schemeClr val="dk1"/>
                  </a:solidFill>
                  <a:effectLst/>
                  <a:latin typeface="Cambria Math" panose="02040503050406030204" pitchFamily="18" charset="0"/>
                  <a:ea typeface="+mn-ea"/>
                  <a:cs typeface="+mn-cs"/>
                </a:rPr>
                <a:t>𝐾=𝐶_0∙𝑛∙𝑝</a:t>
              </a:r>
              <a:r>
                <a:rPr lang="hr-HR" sz="1100" i="0" baseline="0">
                  <a:solidFill>
                    <a:schemeClr val="dk1"/>
                  </a:solidFill>
                  <a:effectLst/>
                  <a:latin typeface="+mn-lt"/>
                  <a:ea typeface="+mn-ea"/>
                  <a:cs typeface="+mn-cs"/>
                </a:rPr>
                <a:t>. </a:t>
              </a:r>
              <a:endParaRPr lang="hr-HR">
                <a:effectLst/>
              </a:endParaRPr>
            </a:p>
            <a:p>
              <a:pPr eaLnBrk="1" fontAlgn="auto" latinLnBrk="0" hangingPunct="1"/>
              <a:r>
                <a:rPr lang="hr-HR" sz="1100">
                  <a:solidFill>
                    <a:schemeClr val="dk1"/>
                  </a:solidFill>
                  <a:effectLst/>
                  <a:latin typeface="+mn-lt"/>
                  <a:ea typeface="+mn-ea"/>
                  <a:cs typeface="+mn-cs"/>
                </a:rPr>
                <a:t>Konačna vrijednost </a:t>
              </a:r>
              <a:r>
                <a:rPr lang="hr-HR" sz="1100" b="0" i="0">
                  <a:solidFill>
                    <a:schemeClr val="dk1"/>
                  </a:solidFill>
                  <a:effectLst/>
                  <a:latin typeface="Cambria Math" panose="02040503050406030204" pitchFamily="18" charset="0"/>
                  <a:ea typeface="+mn-ea"/>
                  <a:cs typeface="+mn-cs"/>
                </a:rPr>
                <a:t>𝐶_𝑛</a:t>
              </a:r>
              <a:r>
                <a:rPr lang="hr-HR" sz="1100">
                  <a:solidFill>
                    <a:schemeClr val="dk1"/>
                  </a:solidFill>
                  <a:effectLst/>
                  <a:latin typeface="+mn-lt"/>
                  <a:ea typeface="+mn-ea"/>
                  <a:cs typeface="+mn-cs"/>
                </a:rPr>
                <a:t> je jednaka </a:t>
              </a:r>
              <a:r>
                <a:rPr lang="hr-HR" sz="1100" b="0" i="0">
                  <a:solidFill>
                    <a:schemeClr val="dk1"/>
                  </a:solidFill>
                  <a:effectLst/>
                  <a:latin typeface="Cambria Math" panose="02040503050406030204" pitchFamily="18" charset="0"/>
                  <a:ea typeface="+mn-ea"/>
                  <a:cs typeface="+mn-cs"/>
                </a:rPr>
                <a:t>〖𝐶_𝑛=𝐶〗_0+𝐾</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Složeni kamatni račun </a:t>
              </a:r>
              <a:endParaRPr lang="hr-HR" sz="1100" b="0" i="1">
                <a:solidFill>
                  <a:schemeClr val="dk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𝑟=1+𝑝</a:t>
              </a:r>
              <a:r>
                <a:rPr lang="hr-HR" sz="1100">
                  <a:solidFill>
                    <a:schemeClr val="dk1"/>
                  </a:solidFill>
                  <a:effectLst/>
                  <a:latin typeface="+mn-lt"/>
                  <a:ea typeface="+mn-ea"/>
                  <a:cs typeface="+mn-cs"/>
                </a:rPr>
                <a:t>. </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a:solidFill>
                    <a:schemeClr val="dk1"/>
                  </a:solidFill>
                  <a:effectLst/>
                  <a:latin typeface="Cambria Math" panose="02040503050406030204" pitchFamily="18" charset="0"/>
                  <a:ea typeface="+mn-ea"/>
                  <a:cs typeface="+mn-cs"/>
                </a:rPr>
                <a:t>〖𝐶_𝑛=𝐶〗_0∙𝑟^𝑛</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Ako je došlo do promjene kamatne stope pa je tijekom </a:t>
              </a:r>
              <a:r>
                <a:rPr lang="hr-HR" sz="1100" b="0" i="0" baseline="0">
                  <a:solidFill>
                    <a:schemeClr val="dk1"/>
                  </a:solidFill>
                  <a:effectLst/>
                  <a:latin typeface="Cambria Math" panose="02040503050406030204" pitchFamily="18" charset="0"/>
                  <a:ea typeface="+mn-ea"/>
                  <a:cs typeface="+mn-cs"/>
                </a:rPr>
                <a:t>𝑛_1</a:t>
              </a:r>
              <a:r>
                <a:rPr lang="hr-HR" sz="1100" i="0" baseline="0">
                  <a:solidFill>
                    <a:schemeClr val="dk1"/>
                  </a:solidFill>
                  <a:effectLst/>
                  <a:latin typeface="+mn-lt"/>
                  <a:ea typeface="+mn-ea"/>
                  <a:cs typeface="+mn-cs"/>
                </a:rPr>
                <a:t> godina kamatna stopa iznosila </a:t>
              </a:r>
              <a:r>
                <a:rPr lang="hr-HR" sz="1100" b="0" i="0" baseline="0">
                  <a:solidFill>
                    <a:schemeClr val="dk1"/>
                  </a:solidFill>
                  <a:effectLst/>
                  <a:latin typeface="Cambria Math" panose="02040503050406030204" pitchFamily="18" charset="0"/>
                  <a:ea typeface="+mn-ea"/>
                  <a:cs typeface="+mn-cs"/>
                </a:rPr>
                <a:t>𝑝_1</a:t>
              </a:r>
              <a:r>
                <a:rPr lang="hr-HR" sz="1100" i="0" baseline="0">
                  <a:solidFill>
                    <a:schemeClr val="dk1"/>
                  </a:solidFill>
                  <a:effectLst/>
                  <a:latin typeface="+mn-lt"/>
                  <a:ea typeface="+mn-ea"/>
                  <a:cs typeface="+mn-cs"/>
                </a:rPr>
                <a:t>, tj. kamatni faktor </a:t>
              </a:r>
              <a:r>
                <a:rPr lang="hr-HR" sz="1100" b="0" i="0" baseline="0">
                  <a:solidFill>
                    <a:schemeClr val="dk1"/>
                  </a:solidFill>
                  <a:effectLst/>
                  <a:latin typeface="Cambria Math" panose="02040503050406030204" pitchFamily="18" charset="0"/>
                  <a:ea typeface="+mn-ea"/>
                  <a:cs typeface="+mn-cs"/>
                </a:rPr>
                <a:t>𝑟_1</a:t>
              </a:r>
              <a:r>
                <a:rPr lang="hr-HR" sz="1100" i="0" baseline="0">
                  <a:solidFill>
                    <a:schemeClr val="dk1"/>
                  </a:solidFill>
                  <a:effectLst/>
                  <a:latin typeface="+mn-lt"/>
                  <a:ea typeface="+mn-ea"/>
                  <a:cs typeface="+mn-cs"/>
                </a:rPr>
                <a:t>, potom </a:t>
              </a:r>
              <a:r>
                <a:rPr lang="hr-HR" sz="1100" b="0" i="0" baseline="0">
                  <a:solidFill>
                    <a:schemeClr val="dk1"/>
                  </a:solidFill>
                  <a:effectLst/>
                  <a:latin typeface="Cambria Math" panose="02040503050406030204" pitchFamily="18" charset="0"/>
                  <a:ea typeface="+mn-ea"/>
                  <a:cs typeface="+mn-cs"/>
                </a:rPr>
                <a:t>𝑛_2</a:t>
              </a:r>
              <a:r>
                <a:rPr lang="hr-HR" sz="1100" i="0" baseline="0">
                  <a:solidFill>
                    <a:schemeClr val="dk1"/>
                  </a:solidFill>
                  <a:effectLst/>
                  <a:latin typeface="+mn-lt"/>
                  <a:ea typeface="+mn-ea"/>
                  <a:cs typeface="+mn-cs"/>
                </a:rPr>
                <a:t> godina kamatna stopa bila </a:t>
              </a:r>
              <a:r>
                <a:rPr lang="hr-HR" sz="1100" b="0" i="0" baseline="0">
                  <a:solidFill>
                    <a:schemeClr val="dk1"/>
                  </a:solidFill>
                  <a:effectLst/>
                  <a:latin typeface="Cambria Math" panose="02040503050406030204" pitchFamily="18" charset="0"/>
                  <a:ea typeface="+mn-ea"/>
                  <a:cs typeface="+mn-cs"/>
                </a:rPr>
                <a:t>𝑝_2</a:t>
              </a:r>
              <a:r>
                <a:rPr lang="hr-HR" sz="1100" i="0" baseline="0">
                  <a:solidFill>
                    <a:schemeClr val="dk1"/>
                  </a:solidFill>
                  <a:effectLst/>
                  <a:latin typeface="+mn-lt"/>
                  <a:ea typeface="+mn-ea"/>
                  <a:cs typeface="+mn-cs"/>
                </a:rPr>
                <a:t>, itd... tada za konačnu vrijednost </a:t>
              </a:r>
              <a:r>
                <a:rPr lang="hr-HR" sz="1100" b="0" i="0">
                  <a:solidFill>
                    <a:schemeClr val="dk1"/>
                  </a:solidFill>
                  <a:effectLst/>
                  <a:latin typeface="Cambria Math" panose="02040503050406030204" pitchFamily="18" charset="0"/>
                  <a:ea typeface="+mn-ea"/>
                  <a:cs typeface="+mn-cs"/>
                </a:rPr>
                <a:t>𝐶_𝑛</a:t>
              </a:r>
              <a:r>
                <a:rPr lang="hr-HR" sz="1100" i="0" baseline="0">
                  <a:solidFill>
                    <a:schemeClr val="dk1"/>
                  </a:solidFill>
                  <a:effectLst/>
                  <a:latin typeface="+mn-lt"/>
                  <a:ea typeface="+mn-ea"/>
                  <a:cs typeface="+mn-cs"/>
                </a:rPr>
                <a:t> koristimo izraz </a:t>
              </a:r>
              <a:r>
                <a:rPr lang="hr-HR" sz="1100" b="0" i="0">
                  <a:solidFill>
                    <a:schemeClr val="dk1"/>
                  </a:solidFill>
                  <a:effectLst/>
                  <a:latin typeface="Cambria Math" panose="02040503050406030204" pitchFamily="18" charset="0"/>
                  <a:ea typeface="+mn-ea"/>
                  <a:cs typeface="+mn-cs"/>
                </a:rPr>
                <a:t>𝐶_𝑛=𝐶_0∙𝑟_1^(𝑛_1 )∙𝑟_2^(𝑛_2 )∙</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b="1">
                  <a:effectLst/>
                </a:rPr>
                <a:t>Vrste kamatnjaka</a:t>
              </a:r>
            </a:p>
            <a:p>
              <a:r>
                <a:rPr lang="hr-HR" sz="1100" baseline="0">
                  <a:solidFill>
                    <a:schemeClr val="dk1"/>
                  </a:solidFill>
                  <a:effectLst/>
                  <a:latin typeface="+mn-lt"/>
                  <a:ea typeface="+mn-ea"/>
                  <a:cs typeface="+mn-cs"/>
                </a:rPr>
                <a:t>Kapitalizacija:</a:t>
              </a:r>
              <a:endParaRPr lang="hr-HR">
                <a:effectLst/>
              </a:endParaRPr>
            </a:p>
            <a:p>
              <a:r>
                <a:rPr lang="hr-HR" sz="1100" baseline="0">
                  <a:solidFill>
                    <a:schemeClr val="dk1"/>
                  </a:solidFill>
                  <a:effectLst/>
                  <a:latin typeface="+mn-lt"/>
                  <a:ea typeface="+mn-ea"/>
                  <a:cs typeface="+mn-cs"/>
                </a:rPr>
                <a:t>a) mjesečno m=12</a:t>
              </a:r>
              <a:endParaRPr lang="hr-HR">
                <a:effectLst/>
              </a:endParaRPr>
            </a:p>
            <a:p>
              <a:r>
                <a:rPr lang="hr-HR" sz="1100" baseline="0">
                  <a:solidFill>
                    <a:schemeClr val="dk1"/>
                  </a:solidFill>
                  <a:effectLst/>
                  <a:latin typeface="+mn-lt"/>
                  <a:ea typeface="+mn-ea"/>
                  <a:cs typeface="+mn-cs"/>
                </a:rPr>
                <a:t>b) kvartalno/tromjesečno m=4</a:t>
              </a:r>
              <a:endParaRPr lang="hr-HR">
                <a:effectLst/>
              </a:endParaRPr>
            </a:p>
            <a:p>
              <a:r>
                <a:rPr lang="hr-HR" sz="1100" baseline="0">
                  <a:solidFill>
                    <a:schemeClr val="dk1"/>
                  </a:solidFill>
                  <a:effectLst/>
                  <a:latin typeface="+mn-lt"/>
                  <a:ea typeface="+mn-ea"/>
                  <a:cs typeface="+mn-cs"/>
                </a:rPr>
                <a:t>c) polugodišnje m=2</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r>
                <a:rPr lang="hr-HR" sz="1100" baseline="0">
                  <a:solidFill>
                    <a:schemeClr val="dk1"/>
                  </a:solidFill>
                  <a:effectLst/>
                  <a:latin typeface="+mn-lt"/>
                  <a:ea typeface="+mn-ea"/>
                  <a:cs typeface="+mn-cs"/>
                </a:rPr>
                <a:t>1. proporcionalni obračun (relativna kamatna stopa) (koristi se kad mi dugujemo banci)</a:t>
              </a:r>
              <a:endParaRPr lang="hr-HR">
                <a:effectLst/>
              </a:endParaRPr>
            </a:p>
            <a:p>
              <a:r>
                <a:rPr lang="hr-HR" sz="1100" b="0" i="0" baseline="0">
                  <a:solidFill>
                    <a:schemeClr val="dk1"/>
                  </a:solidFill>
                  <a:effectLst/>
                  <a:latin typeface="Cambria Math" panose="02040503050406030204" pitchFamily="18" charset="0"/>
                  <a:ea typeface="+mn-ea"/>
                  <a:cs typeface="+mn-cs"/>
                </a:rPr>
                <a:t>𝑝_𝑟=𝑝/𝑚</a:t>
              </a:r>
              <a:r>
                <a:rPr lang="hr-HR" sz="1100" b="0" baseline="0">
                  <a:solidFill>
                    <a:schemeClr val="dk1"/>
                  </a:solidFill>
                  <a:effectLst/>
                  <a:latin typeface="+mn-lt"/>
                  <a:ea typeface="+mn-ea"/>
                  <a:cs typeface="+mn-cs"/>
                </a:rPr>
                <a:t> </a:t>
              </a:r>
              <a:endParaRPr lang="hr-HR">
                <a:effectLst/>
              </a:endParaRPr>
            </a:p>
            <a:p>
              <a:pPr/>
              <a:r>
                <a:rPr lang="hr-HR" sz="1100" b="0" i="0" baseline="0">
                  <a:solidFill>
                    <a:schemeClr val="dk1"/>
                  </a:solidFill>
                  <a:effectLst/>
                  <a:latin typeface="Cambria Math" panose="02040503050406030204" pitchFamily="18" charset="0"/>
                  <a:ea typeface="+mn-ea"/>
                  <a:cs typeface="+mn-cs"/>
                </a:rPr>
                <a:t>𝑟_𝑟=1+𝑝_𝑟</a:t>
              </a:r>
              <a:endParaRPr lang="hr-HR">
                <a:effectLst/>
              </a:endParaRPr>
            </a:p>
            <a:p>
              <a:pPr/>
              <a:r>
                <a:rPr lang="hr-HR" sz="1100" b="0" i="0" baseline="0">
                  <a:solidFill>
                    <a:schemeClr val="dk1"/>
                  </a:solidFill>
                  <a:effectLst/>
                  <a:latin typeface="Cambria Math" panose="02040503050406030204" pitchFamily="18" charset="0"/>
                  <a:ea typeface="+mn-ea"/>
                  <a:cs typeface="+mn-cs"/>
                </a:rPr>
                <a:t>𝑛_𝑟=𝑛∙𝑚</a:t>
              </a:r>
              <a:endParaRPr lang="hr-HR">
                <a:effectLst/>
              </a:endParaRPr>
            </a:p>
            <a:p>
              <a:endParaRPr lang="hr-HR" sz="1100" b="0" baseline="0">
                <a:solidFill>
                  <a:schemeClr val="dk1"/>
                </a:solidFill>
                <a:effectLst/>
                <a:latin typeface="+mn-lt"/>
                <a:ea typeface="+mn-ea"/>
                <a:cs typeface="+mn-cs"/>
              </a:endParaRPr>
            </a:p>
            <a:p>
              <a:r>
                <a:rPr lang="hr-HR" sz="1100" b="0" baseline="0">
                  <a:solidFill>
                    <a:schemeClr val="dk1"/>
                  </a:solidFill>
                  <a:effectLst/>
                  <a:latin typeface="+mn-lt"/>
                  <a:ea typeface="+mn-ea"/>
                  <a:cs typeface="+mn-cs"/>
                </a:rPr>
                <a:t>2. konformni obračun (koristi se kad štedimo)</a:t>
              </a:r>
              <a:endParaRPr lang="hr-HR">
                <a:effectLst/>
              </a:endParaRPr>
            </a:p>
            <a:p>
              <a:r>
                <a:rPr lang="hr-HR" sz="1100" i="0" baseline="0">
                  <a:solidFill>
                    <a:schemeClr val="dk1"/>
                  </a:solidFill>
                  <a:effectLst/>
                  <a:latin typeface="Cambria Math" panose="02040503050406030204" pitchFamily="18" charset="0"/>
                  <a:ea typeface="+mn-ea"/>
                  <a:cs typeface="+mn-cs"/>
                </a:rPr>
                <a:t>𝑟</a:t>
              </a:r>
              <a:r>
                <a:rPr lang="hr-HR" sz="1100" b="0" i="0" baseline="0">
                  <a:solidFill>
                    <a:schemeClr val="dk1"/>
                  </a:solidFill>
                  <a:effectLst/>
                  <a:latin typeface="Cambria Math" panose="02040503050406030204" pitchFamily="18" charset="0"/>
                  <a:ea typeface="+mn-ea"/>
                  <a:cs typeface="+mn-cs"/>
                </a:rPr>
                <a:t>^′=𝑟_𝑘=√(𝑚&amp;𝑟)=𝑟^(1/𝑚)</a:t>
              </a:r>
              <a:r>
                <a:rPr lang="hr-HR" sz="1100" baseline="0">
                  <a:solidFill>
                    <a:schemeClr val="dk1"/>
                  </a:solidFill>
                  <a:effectLst/>
                  <a:latin typeface="+mn-lt"/>
                  <a:ea typeface="+mn-ea"/>
                  <a:cs typeface="+mn-cs"/>
                </a:rPr>
                <a:t> </a:t>
              </a:r>
            </a:p>
            <a:p>
              <a:r>
                <a:rPr lang="hr-HR" sz="1100" b="0" i="0" baseline="0">
                  <a:solidFill>
                    <a:schemeClr val="dk1"/>
                  </a:solidFill>
                  <a:effectLst/>
                  <a:latin typeface="Cambria Math" panose="02040503050406030204" pitchFamily="18" charset="0"/>
                  <a:ea typeface="+mn-ea"/>
                  <a:cs typeface="+mn-cs"/>
                </a:rPr>
                <a:t>p^′=𝑝_𝑘=𝑟′−1</a:t>
              </a:r>
              <a:r>
                <a:rPr lang="hr-HR" sz="1100" b="0" baseline="0">
                  <a:solidFill>
                    <a:schemeClr val="dk1"/>
                  </a:solidFill>
                  <a:effectLst/>
                  <a:latin typeface="+mn-lt"/>
                  <a:ea typeface="+mn-ea"/>
                  <a:cs typeface="+mn-cs"/>
                </a:rPr>
                <a:t>    (prikazati u obliku postotka)</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𝑛^′=𝑛_𝑘=𝑛∙𝑚</a:t>
              </a:r>
              <a:endParaRPr lang="hr-HR">
                <a:effectLst/>
              </a:endParaRPr>
            </a:p>
            <a:p>
              <a:endParaRPr lang="hr-HR" sz="110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Konačna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uplata</a:t>
              </a:r>
            </a:p>
            <a:p>
              <a:pPr eaLnBrk="1" fontAlgn="auto" latinLnBrk="0" hangingPunct="1"/>
              <a:r>
                <a:rPr lang="hr-HR" sz="1100" i="0" baseline="0">
                  <a:solidFill>
                    <a:schemeClr val="dk1"/>
                  </a:solidFill>
                  <a:effectLst/>
                  <a:latin typeface="+mn-lt"/>
                  <a:ea typeface="+mn-ea"/>
                  <a:cs typeface="+mn-cs"/>
                </a:rPr>
                <a:t>Konačna vrijednost </a:t>
              </a:r>
            </a:p>
            <a:p>
              <a:pPr eaLnBrk="1" fontAlgn="auto" latinLnBrk="0" hangingPunct="1"/>
              <a:r>
                <a:rPr lang="hr-HR" sz="1100" baseline="0">
                  <a:solidFill>
                    <a:schemeClr val="dk1"/>
                  </a:solidFill>
                  <a:effectLst/>
                  <a:latin typeface="+mn-lt"/>
                  <a:ea typeface="+mn-ea"/>
                  <a:cs typeface="+mn-cs"/>
                </a:rPr>
                <a:t>a) prenumerando (uplate početkom razdoblja) </a:t>
              </a:r>
              <a:r>
                <a:rPr lang="hr-HR" sz="1100" b="0" i="0" baseline="0">
                  <a:solidFill>
                    <a:schemeClr val="dk1"/>
                  </a:solidFill>
                  <a:effectLst/>
                  <a:latin typeface="Cambria Math" panose="02040503050406030204" pitchFamily="18" charset="0"/>
                  <a:ea typeface="+mn-ea"/>
                  <a:cs typeface="+mn-cs"/>
                </a:rPr>
                <a:t>𝑆_𝑛</a:t>
              </a:r>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b) postnumerando (uplate krajem razdoblja)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𝑆′〗_𝑛</a:t>
              </a:r>
              <a:endParaRPr lang="hr-HR">
                <a:effectLst/>
              </a:endParaRPr>
            </a:p>
            <a:p>
              <a:pPr eaLnBrk="1" fontAlgn="auto" latinLnBrk="0" hangingPunct="1"/>
              <a:endParaRPr lang="hr-HR">
                <a:effectLst/>
              </a:endParaRPr>
            </a:p>
            <a:p>
              <a:pPr eaLnBrk="1" fontAlgn="auto" latinLnBrk="0" hangingPunct="1"/>
              <a:r>
                <a:rPr lang="hr-HR">
                  <a:effectLst/>
                </a:rPr>
                <a:t>Konačna vrijednost:</a:t>
              </a:r>
              <a:r>
                <a:rPr lang="hr-HR" baseline="0">
                  <a:effectLst/>
                </a:rPr>
                <a:t> </a:t>
              </a:r>
              <a:r>
                <a:rPr lang="hr-HR" sz="1100" baseline="0">
                  <a:solidFill>
                    <a:schemeClr val="dk1"/>
                  </a:solidFill>
                  <a:effectLst/>
                  <a:latin typeface="+mn-lt"/>
                  <a:ea typeface="+mn-ea"/>
                  <a:cs typeface="+mn-cs"/>
                </a:rPr>
                <a:t>=FV(kamatna stopa %; broj razdoblja; rata koju uplaćujemo; [eventualna velika početna uplata ili ulazna naknada (treba biti suprotnog predznaka od rata)]; 0 ili 1 ovisno o tome uplaćujemo li uplate/rate krajem (postnumerando) ili početkom (prenumarando) razdoblja)</a:t>
              </a:r>
              <a:endParaRPr lang="hr-HR">
                <a:effectLst/>
              </a:endParaRPr>
            </a:p>
            <a:p>
              <a:pPr eaLnBrk="1" fontAlgn="auto" latinLnBrk="0" hangingPunct="1"/>
              <a:r>
                <a:rPr lang="hr-HR" sz="1100" baseline="0">
                  <a:solidFill>
                    <a:schemeClr val="dk1"/>
                  </a:solidFill>
                  <a:effectLst/>
                  <a:latin typeface="+mn-lt"/>
                  <a:ea typeface="+mn-ea"/>
                  <a:cs typeface="+mn-cs"/>
                </a:rPr>
                <a:t>Napomena: uplate se uobičajemo označavaju negativnom vrijednošću.</a:t>
              </a:r>
            </a:p>
            <a:p>
              <a:pPr eaLnBrk="1" fontAlgn="auto" latinLnBrk="0" hangingPunct="1"/>
              <a:endParaRPr lang="hr-HR">
                <a:effectLst/>
              </a:endParaRPr>
            </a:p>
            <a:p>
              <a:pPr eaLnBrk="1" fontAlgn="auto" latinLnBrk="0" hangingPunct="1"/>
              <a:r>
                <a:rPr lang="hr-HR" sz="1100" baseline="0">
                  <a:solidFill>
                    <a:schemeClr val="dk1"/>
                  </a:solidFill>
                  <a:effectLst/>
                  <a:latin typeface="+mn-lt"/>
                  <a:ea typeface="+mn-ea"/>
                  <a:cs typeface="+mn-cs"/>
                </a:rPr>
                <a:t>rata R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ako postoji; FV = konačna vrijednost, tj. iznos koji želimo uštedjeti; 0 ili 1 ovisno o tome uplaćujemo li rate krajem ili početkom razdoblja)</a:t>
              </a:r>
              <a:endParaRPr lang="hr-HR">
                <a:effectLst/>
              </a:endParaRPr>
            </a:p>
            <a:p>
              <a:pPr eaLnBrk="1" fontAlgn="auto" latinLnBrk="0" hangingPunct="1"/>
              <a:r>
                <a:rPr lang="hr-HR" sz="1100" baseline="0">
                  <a:solidFill>
                    <a:schemeClr val="dk1"/>
                  </a:solidFill>
                  <a:effectLst/>
                  <a:latin typeface="+mn-lt"/>
                  <a:ea typeface="+mn-ea"/>
                  <a:cs typeface="+mn-cs"/>
                </a:rPr>
                <a:t>Napomena: konačni iznos koji želimo dobiti upisujemo kao pozitivnu vrijednost, a rezultat R će biti negativan.</a:t>
              </a:r>
              <a:endParaRPr lang="hr-HR">
                <a:effectLst/>
              </a:endParaRPr>
            </a:p>
            <a:p>
              <a:endParaRPr lang="hr-HR" sz="1100" b="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Početna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rata</a:t>
              </a:r>
              <a:endParaRPr lang="hr-HR">
                <a:effectLst/>
              </a:endParaRPr>
            </a:p>
            <a:p>
              <a:pPr eaLnBrk="1" fontAlgn="auto" latinLnBrk="0" hangingPunct="1"/>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a) prenumerando (isplate početkom);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r>
                <a:rPr lang="hr-HR" sz="1100" baseline="0">
                  <a:solidFill>
                    <a:schemeClr val="dk1"/>
                  </a:solidFill>
                  <a:effectLst/>
                  <a:latin typeface="+mn-lt"/>
                  <a:ea typeface="+mn-ea"/>
                  <a:cs typeface="+mn-cs"/>
                </a:rPr>
                <a:t>b) postnumerando (isplate krajem);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endParaRPr lang="hr-HR" sz="1100" baseline="0">
                <a:solidFill>
                  <a:schemeClr val="dk1"/>
                </a:solidFill>
                <a:effectLst/>
                <a:latin typeface="+mn-lt"/>
                <a:ea typeface="+mn-ea"/>
                <a:cs typeface="+mn-cs"/>
              </a:endParaRPr>
            </a:p>
            <a:p>
              <a:pPr eaLnBrk="1" fontAlgn="auto" latinLnBrk="0" hangingPunct="1"/>
              <a:r>
                <a:rPr lang="hr-HR" sz="1100" baseline="0">
                  <a:solidFill>
                    <a:schemeClr val="dk1"/>
                  </a:solidFill>
                  <a:effectLst/>
                  <a:latin typeface="+mn-lt"/>
                  <a:ea typeface="+mn-ea"/>
                  <a:cs typeface="+mn-cs"/>
                </a:rPr>
                <a:t>Početni iznos =PV(kamatna stopa %; broj razdoblja; rata koju uplaćujemo;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vrijednost ako postoji, to je iznos koji želimo da ostane na kraju; 0 ili 1 ovisno o tome primamo li isplate/rate krajem (postnumerando) ili početkom (prenumarando)  razdoblja)</a:t>
              </a:r>
            </a:p>
            <a:p>
              <a:pPr eaLnBrk="1" fontAlgn="auto" latinLnBrk="0" hangingPunct="1"/>
              <a:endParaRPr lang="hr-HR">
                <a:effectLst/>
              </a:endParaRPr>
            </a:p>
            <a:p>
              <a:r>
                <a:rPr lang="hr-HR" sz="1100" baseline="0">
                  <a:solidFill>
                    <a:schemeClr val="dk1"/>
                  </a:solidFill>
                  <a:effectLst/>
                  <a:latin typeface="+mn-lt"/>
                  <a:ea typeface="+mn-ea"/>
                  <a:cs typeface="+mn-cs"/>
                </a:rPr>
                <a:t>Napomena: uplate se uobičajemo označavaju negativnom vrijednošću, a dobivene isplate pozitivno</a:t>
              </a:r>
            </a:p>
            <a:p>
              <a:pPr eaLnBrk="1" fontAlgn="auto" latinLnBrk="0" hangingPunct="1"/>
              <a:r>
                <a:rPr lang="hr-HR" sz="1100" baseline="0">
                  <a:solidFill>
                    <a:schemeClr val="dk1"/>
                  </a:solidFill>
                  <a:effectLst/>
                  <a:latin typeface="+mn-lt"/>
                  <a:ea typeface="+mn-ea"/>
                  <a:cs typeface="+mn-cs"/>
                </a:rPr>
                <a:t>Rata R=PMT(kamatna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i="1" baseline="0">
                  <a:solidFill>
                    <a:schemeClr val="dk1"/>
                  </a:solidFill>
                  <a:effectLst/>
                  <a:latin typeface="+mn-lt"/>
                  <a:ea typeface="+mn-ea"/>
                  <a:cs typeface="+mn-cs"/>
                </a:rPr>
                <a:t>An</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postoji, to je iznos koji želimo da ostane na kraju; 0 ili 1 ovisno o tome uplaćujemo li rate krajem ili početkom razdoblja)</a:t>
              </a:r>
            </a:p>
            <a:p>
              <a:pPr eaLnBrk="1" fontAlgn="auto" latinLnBrk="0" hangingPunct="1"/>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ako govorimo</a:t>
              </a:r>
              <a:r>
                <a:rPr lang="hr-HR" sz="1100" baseline="0">
                  <a:solidFill>
                    <a:schemeClr val="dk1"/>
                  </a:solidFill>
                  <a:effectLst/>
                  <a:latin typeface="+mn-lt"/>
                  <a:ea typeface="+mn-ea"/>
                  <a:cs typeface="+mn-cs"/>
                </a:rPr>
                <a:t> o </a:t>
              </a:r>
              <a:r>
                <a:rPr lang="hr-HR" sz="1100" b="1" baseline="0">
                  <a:solidFill>
                    <a:schemeClr val="dk1"/>
                  </a:solidFill>
                  <a:effectLst/>
                  <a:latin typeface="+mn-lt"/>
                  <a:ea typeface="+mn-ea"/>
                  <a:cs typeface="+mn-cs"/>
                </a:rPr>
                <a:t>vječnoj renti (isplate do kraja života) </a:t>
              </a:r>
              <a:r>
                <a:rPr lang="hr-HR" sz="1100" baseline="0">
                  <a:solidFill>
                    <a:schemeClr val="dk1"/>
                  </a:solidFill>
                  <a:effectLst/>
                  <a:latin typeface="+mn-lt"/>
                  <a:ea typeface="+mn-ea"/>
                  <a:cs typeface="+mn-cs"/>
                </a:rPr>
                <a:t>tada je za broj godina uobičajeno staviti 9999 godina.</a:t>
              </a:r>
              <a:endParaRPr lang="hr-HR">
                <a:effectLst/>
              </a:endParaRPr>
            </a:p>
            <a:p>
              <a:endParaRPr lang="hr-HR" sz="1100" b="0" baseline="0">
                <a:solidFill>
                  <a:schemeClr val="dk1"/>
                </a:solidFill>
                <a:effectLst/>
                <a:latin typeface="+mn-lt"/>
                <a:ea typeface="+mn-ea"/>
                <a:cs typeface="+mn-cs"/>
              </a:endParaRPr>
            </a:p>
            <a:p>
              <a:endParaRPr lang="hr-HR" b="0">
                <a:effectLst/>
              </a:endParaRPr>
            </a:p>
          </xdr:txBody>
        </xdr:sp>
      </mc:Fallback>
    </mc:AlternateContent>
    <xdr:clientData/>
  </xdr:twoCellAnchor>
  <xdr:twoCellAnchor>
    <xdr:from>
      <xdr:col>0</xdr:col>
      <xdr:colOff>577850</xdr:colOff>
      <xdr:row>0</xdr:row>
      <xdr:rowOff>101600</xdr:rowOff>
    </xdr:from>
    <xdr:to>
      <xdr:col>12</xdr:col>
      <xdr:colOff>0</xdr:colOff>
      <xdr:row>22</xdr:row>
      <xdr:rowOff>44450</xdr:rowOff>
    </xdr:to>
    <mc:AlternateContent xmlns:mc="http://schemas.openxmlformats.org/markup-compatibility/2006" xmlns:a14="http://schemas.microsoft.com/office/drawing/2010/main">
      <mc:Choice Requires="a14">
        <xdr:sp macro="" textlink="">
          <xdr:nvSpPr>
            <xdr:cNvPr id="3" name="TekstniOkvir 2">
              <a:extLst>
                <a:ext uri="{FF2B5EF4-FFF2-40B4-BE49-F238E27FC236}">
                  <a16:creationId xmlns:a16="http://schemas.microsoft.com/office/drawing/2014/main" id="{8E92582F-10F2-447B-9A5F-3F5B7916810A}"/>
                </a:ext>
              </a:extLst>
            </xdr:cNvPr>
            <xdr:cNvSpPr txBox="1"/>
          </xdr:nvSpPr>
          <xdr:spPr>
            <a:xfrm>
              <a:off x="577850" y="101600"/>
              <a:ext cx="67373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200"/>
                <a:t>click</a:t>
              </a:r>
              <a:r>
                <a:rPr lang="hr-HR" sz="1200" baseline="0"/>
                <a:t> through rate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𝐶𝑇𝑅</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𝑖𝑚𝑝𝑟𝑒𝑠𝑖𝑗𝑎</m:t>
                      </m:r>
                    </m:den>
                  </m:f>
                </m:oMath>
              </a14:m>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Average Cost per Click</a:t>
              </a:r>
              <a:r>
                <a:rPr lang="en-US" sz="1200">
                  <a:solidFill>
                    <a:schemeClr val="dk1"/>
                  </a:solidFill>
                  <a:effectLst/>
                  <a:latin typeface="+mn-lt"/>
                  <a:ea typeface="+mn-ea"/>
                  <a:cs typeface="+mn-cs"/>
                </a:rPr>
                <a:t>	</a:t>
              </a:r>
              <a:r>
                <a:rPr lang="hr-HR" sz="1200">
                  <a:solidFill>
                    <a:schemeClr val="dk1"/>
                  </a:solidFill>
                  <a:effectLst/>
                  <a:latin typeface="+mn-lt"/>
                  <a:ea typeface="+mn-ea"/>
                  <a:cs typeface="+mn-cs"/>
                </a:rPr>
                <a:t>	</a:t>
              </a:r>
              <a14:m>
                <m:oMath xmlns:m="http://schemas.openxmlformats.org/officeDocument/2006/math">
                  <m:r>
                    <a:rPr lang="hr-HR" sz="1200" i="1">
                      <a:solidFill>
                        <a:schemeClr val="dk1"/>
                      </a:solidFill>
                      <a:effectLst/>
                      <a:latin typeface="Cambria Math" panose="02040503050406030204" pitchFamily="18" charset="0"/>
                      <a:ea typeface="+mn-ea"/>
                      <a:cs typeface="+mn-cs"/>
                    </a:rPr>
                    <m:t>𝐴𝑣𝑔</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𝐶𝑃𝐶</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en-US" sz="1200" b="0" i="1">
                          <a:solidFill>
                            <a:schemeClr val="dk1"/>
                          </a:solidFill>
                          <a:effectLst/>
                          <a:latin typeface="Cambria Math" panose="02040503050406030204" pitchFamily="18" charset="0"/>
                          <a:ea typeface="+mn-ea"/>
                          <a:cs typeface="+mn-cs"/>
                        </a:rPr>
                        <m:t> </m:t>
                      </m:r>
                      <m:r>
                        <a:rPr lang="en-US" sz="1200" b="0" i="1">
                          <a:solidFill>
                            <a:schemeClr val="dk1"/>
                          </a:solidFill>
                          <a:effectLst/>
                          <a:latin typeface="Cambria Math" panose="02040503050406030204" pitchFamily="18" charset="0"/>
                          <a:ea typeface="+mn-ea"/>
                          <a:cs typeface="+mn-cs"/>
                        </a:rPr>
                        <m:t>𝑜𝑔𝑙𝑎</m:t>
                      </m:r>
                      <m:r>
                        <a:rPr lang="en-US" sz="1200" b="0" i="1">
                          <a:solidFill>
                            <a:schemeClr val="dk1"/>
                          </a:solidFill>
                          <a:effectLst/>
                          <a:latin typeface="Cambria Math" panose="02040503050406030204" pitchFamily="18" charset="0"/>
                          <a:ea typeface="+mn-ea"/>
                          <a:cs typeface="+mn-cs"/>
                        </a:rPr>
                        <m:t>š</m:t>
                      </m:r>
                      <m:r>
                        <a:rPr lang="en-US" sz="1200" b="0" i="1">
                          <a:solidFill>
                            <a:schemeClr val="dk1"/>
                          </a:solidFill>
                          <a:effectLst/>
                          <a:latin typeface="Cambria Math" panose="02040503050406030204" pitchFamily="18" charset="0"/>
                          <a:ea typeface="+mn-ea"/>
                          <a:cs typeface="+mn-cs"/>
                        </a:rPr>
                        <m:t>𝑎𝑣𝑎𝑛𝑗𝑎</m:t>
                      </m:r>
                      <m:r>
                        <a:rPr lang="hr-HR" sz="1200" i="1">
                          <a:solidFill>
                            <a:schemeClr val="dk1"/>
                          </a:solidFill>
                          <a:effectLst/>
                          <a:latin typeface="Cambria Math" panose="02040503050406030204" pitchFamily="18" charset="0"/>
                          <a:ea typeface="+mn-ea"/>
                          <a:cs typeface="+mn-cs"/>
                        </a:rPr>
                        <m:t> </m:t>
                      </m:r>
                      <m:r>
                        <a:rPr lang="en-US" sz="1200" b="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𝑛𝑎</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𝑘𝑙𝑖𝑘𝑜𝑣𝑒</m:t>
                      </m:r>
                      <m:r>
                        <a:rPr lang="en-US" sz="12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Stopa konverzije (conversion rate)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𝐶𝑉𝑅</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𝑘𝑜𝑛𝑣𝑒𝑟𝑧𝑖𝑗𝑎</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Customer aquisition cost		</a:t>
              </a:r>
              <a14:m>
                <m:oMath xmlns:m="http://schemas.openxmlformats.org/officeDocument/2006/math">
                  <m:r>
                    <a:rPr lang="hr-HR" sz="1200" i="1">
                      <a:solidFill>
                        <a:schemeClr val="dk1"/>
                      </a:solidFill>
                      <a:effectLst/>
                      <a:latin typeface="Cambria Math" panose="02040503050406030204" pitchFamily="18" charset="0"/>
                      <a:ea typeface="+mn-ea"/>
                      <a:cs typeface="+mn-cs"/>
                    </a:rPr>
                    <m:t>𝐶𝐴𝐶</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𝑡𝑟𝑜</m:t>
                      </m:r>
                      <m:r>
                        <a:rPr lang="hr-HR" sz="1100" i="1">
                          <a:solidFill>
                            <a:schemeClr val="dk1"/>
                          </a:solidFill>
                          <a:effectLst/>
                          <a:latin typeface="Cambria Math" panose="02040503050406030204" pitchFamily="18" charset="0"/>
                          <a:ea typeface="+mn-ea"/>
                          <a:cs typeface="+mn-cs"/>
                        </a:rPr>
                        <m:t>š</m:t>
                      </m:r>
                      <m:r>
                        <a:rPr lang="hr-HR" sz="1100" i="1">
                          <a:solidFill>
                            <a:schemeClr val="dk1"/>
                          </a:solidFill>
                          <a:effectLst/>
                          <a:latin typeface="Cambria Math" panose="02040503050406030204" pitchFamily="18" charset="0"/>
                          <a:ea typeface="+mn-ea"/>
                          <a:cs typeface="+mn-cs"/>
                        </a:rPr>
                        <m:t>𝑎𝑘</m:t>
                      </m:r>
                      <m:r>
                        <a:rPr lang="en-US" sz="1100" b="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𝑜𝑔𝑙𝑎</m:t>
                      </m:r>
                      <m:r>
                        <a:rPr lang="en-US" sz="1100" b="0" i="1">
                          <a:solidFill>
                            <a:schemeClr val="dk1"/>
                          </a:solidFill>
                          <a:effectLst/>
                          <a:latin typeface="Cambria Math" panose="02040503050406030204" pitchFamily="18" charset="0"/>
                          <a:ea typeface="+mn-ea"/>
                          <a:cs typeface="+mn-cs"/>
                        </a:rPr>
                        <m:t>š</m:t>
                      </m:r>
                      <m:r>
                        <a:rPr lang="en-US" sz="1100" b="0" i="1">
                          <a:solidFill>
                            <a:schemeClr val="dk1"/>
                          </a:solidFill>
                          <a:effectLst/>
                          <a:latin typeface="Cambria Math" panose="02040503050406030204" pitchFamily="18" charset="0"/>
                          <a:ea typeface="+mn-ea"/>
                          <a:cs typeface="+mn-cs"/>
                        </a:rPr>
                        <m:t>𝑎𝑣𝑎𝑛𝑗𝑎</m:t>
                      </m:r>
                      <m:r>
                        <a:rPr lang="hr-HR" sz="110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𝑛𝑎</m:t>
                      </m:r>
                      <m:r>
                        <a:rPr lang="hr-HR" sz="1100" i="1">
                          <a:solidFill>
                            <a:schemeClr val="dk1"/>
                          </a:solidFill>
                          <a:effectLst/>
                          <a:latin typeface="Cambria Math" panose="02040503050406030204" pitchFamily="18" charset="0"/>
                          <a:ea typeface="+mn-ea"/>
                          <a:cs typeface="+mn-cs"/>
                        </a:rPr>
                        <m:t> </m:t>
                      </m:r>
                      <m:r>
                        <a:rPr lang="hr-HR" sz="1100" i="1">
                          <a:solidFill>
                            <a:schemeClr val="dk1"/>
                          </a:solidFill>
                          <a:effectLst/>
                          <a:latin typeface="Cambria Math" panose="02040503050406030204" pitchFamily="18" charset="0"/>
                          <a:ea typeface="+mn-ea"/>
                          <a:cs typeface="+mn-cs"/>
                        </a:rPr>
                        <m:t>𝑘𝑙𝑖𝑘𝑜𝑣𝑒</m:t>
                      </m:r>
                      <m:r>
                        <a:rPr lang="en-US" sz="11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𝑛𝑜𝑣𝑖h</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𝑘𝑙𝑖𝑗𝑒𝑛𝑎𝑡𝑎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Cost per conversion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𝐶𝑃𝐶</m:t>
                  </m:r>
                  <m:r>
                    <a:rPr lang="en-US" sz="1200" b="0" i="1">
                      <a:solidFill>
                        <a:schemeClr val="dk1"/>
                      </a:solidFill>
                      <a:effectLst/>
                      <a:latin typeface="Cambria Math" panose="02040503050406030204" pitchFamily="18" charset="0"/>
                      <a:ea typeface="+mn-ea"/>
                      <a:cs typeface="+mn-cs"/>
                    </a:rPr>
                    <m:t>𝑜𝑛</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𝑡𝑟𝑜</m:t>
                      </m:r>
                      <m:r>
                        <a:rPr lang="hr-HR" sz="1100" i="1">
                          <a:solidFill>
                            <a:schemeClr val="dk1"/>
                          </a:solidFill>
                          <a:effectLst/>
                          <a:latin typeface="Cambria Math" panose="02040503050406030204" pitchFamily="18" charset="0"/>
                          <a:ea typeface="+mn-ea"/>
                          <a:cs typeface="+mn-cs"/>
                        </a:rPr>
                        <m:t>š</m:t>
                      </m:r>
                      <m:r>
                        <a:rPr lang="hr-HR" sz="1100" i="1">
                          <a:solidFill>
                            <a:schemeClr val="dk1"/>
                          </a:solidFill>
                          <a:effectLst/>
                          <a:latin typeface="Cambria Math" panose="02040503050406030204" pitchFamily="18" charset="0"/>
                          <a:ea typeface="+mn-ea"/>
                          <a:cs typeface="+mn-cs"/>
                        </a:rPr>
                        <m:t>𝑎𝑘</m:t>
                      </m:r>
                      <m:r>
                        <a:rPr lang="en-US" sz="1100" b="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𝑜𝑔𝑙𝑎</m:t>
                      </m:r>
                      <m:r>
                        <a:rPr lang="en-US" sz="1100" b="0" i="1">
                          <a:solidFill>
                            <a:schemeClr val="dk1"/>
                          </a:solidFill>
                          <a:effectLst/>
                          <a:latin typeface="Cambria Math" panose="02040503050406030204" pitchFamily="18" charset="0"/>
                          <a:ea typeface="+mn-ea"/>
                          <a:cs typeface="+mn-cs"/>
                        </a:rPr>
                        <m:t>š</m:t>
                      </m:r>
                      <m:r>
                        <a:rPr lang="en-US" sz="1100" b="0" i="1">
                          <a:solidFill>
                            <a:schemeClr val="dk1"/>
                          </a:solidFill>
                          <a:effectLst/>
                          <a:latin typeface="Cambria Math" panose="02040503050406030204" pitchFamily="18" charset="0"/>
                          <a:ea typeface="+mn-ea"/>
                          <a:cs typeface="+mn-cs"/>
                        </a:rPr>
                        <m:t>𝑎𝑣𝑎𝑛𝑗𝑎</m:t>
                      </m:r>
                      <m:r>
                        <a:rPr lang="hr-HR" sz="110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𝑛𝑎</m:t>
                      </m:r>
                      <m:r>
                        <a:rPr lang="hr-HR" sz="1100" i="1">
                          <a:solidFill>
                            <a:schemeClr val="dk1"/>
                          </a:solidFill>
                          <a:effectLst/>
                          <a:latin typeface="Cambria Math" panose="02040503050406030204" pitchFamily="18" charset="0"/>
                          <a:ea typeface="+mn-ea"/>
                          <a:cs typeface="+mn-cs"/>
                        </a:rPr>
                        <m:t> </m:t>
                      </m:r>
                      <m:r>
                        <a:rPr lang="hr-HR" sz="1100" i="1">
                          <a:solidFill>
                            <a:schemeClr val="dk1"/>
                          </a:solidFill>
                          <a:effectLst/>
                          <a:latin typeface="Cambria Math" panose="02040503050406030204" pitchFamily="18" charset="0"/>
                          <a:ea typeface="+mn-ea"/>
                          <a:cs typeface="+mn-cs"/>
                        </a:rPr>
                        <m:t>𝑘𝑙𝑖𝑘𝑜𝑣𝑒</m:t>
                      </m:r>
                      <m:r>
                        <a:rPr lang="en-US" sz="11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𝑘𝑜𝑛𝑣𝑒𝑟𝑧𝑖𝑗𝑎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return on ad spend		</a:t>
              </a:r>
              <a14:m>
                <m:oMath xmlns:m="http://schemas.openxmlformats.org/officeDocument/2006/math">
                  <m:r>
                    <a:rPr lang="hr-HR" sz="1200" i="1">
                      <a:solidFill>
                        <a:schemeClr val="dk1"/>
                      </a:solidFill>
                      <a:effectLst/>
                      <a:latin typeface="Cambria Math" panose="02040503050406030204" pitchFamily="18" charset="0"/>
                      <a:ea typeface="+mn-ea"/>
                      <a:cs typeface="+mn-cs"/>
                    </a:rPr>
                    <m:t>𝑅𝑂𝐴𝑆</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𝑝𝑟𝑖h𝑜𝑑</m:t>
                      </m:r>
                      <m:r>
                        <a:rPr lang="hr-HR" sz="120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𝑜𝑔𝑙𝑎</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𝑎𝑣𝑎𝑛𝑗𝑎</m:t>
                      </m:r>
                    </m:num>
                    <m:den>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𝑜𝑔𝑙𝑎</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𝑎𝑣𝑎𝑛𝑗𝑎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return on investment, povrat ulaganja	</a:t>
              </a:r>
              <a14:m>
                <m:oMath xmlns:m="http://schemas.openxmlformats.org/officeDocument/2006/math">
                  <m:r>
                    <a:rPr lang="hr-HR" sz="1200" i="1">
                      <a:solidFill>
                        <a:schemeClr val="dk1"/>
                      </a:solidFill>
                      <a:effectLst/>
                      <a:latin typeface="Cambria Math" panose="02040503050406030204" pitchFamily="18" charset="0"/>
                      <a:ea typeface="+mn-ea"/>
                      <a:cs typeface="+mn-cs"/>
                    </a:rPr>
                    <m:t>𝑅𝑂𝐼</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𝑝𝑟𝑖h𝑜𝑑</m:t>
                      </m:r>
                      <m:r>
                        <a:rPr lang="hr-HR" sz="120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num>
                    <m:den>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den>
                  </m:f>
                </m:oMath>
              </a14:m>
              <a:r>
                <a:rPr lang="hr-HR" sz="1200">
                  <a:solidFill>
                    <a:schemeClr val="dk1"/>
                  </a:solidFill>
                  <a:effectLst/>
                  <a:latin typeface="+mn-lt"/>
                  <a:ea typeface="+mn-ea"/>
                  <a:cs typeface="+mn-cs"/>
                </a:rPr>
                <a:t> </a:t>
              </a:r>
            </a:p>
            <a:p>
              <a:endParaRPr lang="hr-HR" sz="1200"/>
            </a:p>
          </xdr:txBody>
        </xdr:sp>
      </mc:Choice>
      <mc:Fallback xmlns="">
        <xdr:sp macro="" textlink="">
          <xdr:nvSpPr>
            <xdr:cNvPr id="3" name="TekstniOkvir 2">
              <a:extLst>
                <a:ext uri="{FF2B5EF4-FFF2-40B4-BE49-F238E27FC236}">
                  <a16:creationId xmlns:a16="http://schemas.microsoft.com/office/drawing/2014/main" id="{8E92582F-10F2-447B-9A5F-3F5B7916810A}"/>
                </a:ext>
              </a:extLst>
            </xdr:cNvPr>
            <xdr:cNvSpPr txBox="1"/>
          </xdr:nvSpPr>
          <xdr:spPr>
            <a:xfrm>
              <a:off x="577850" y="101600"/>
              <a:ext cx="67373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200"/>
                <a:t>click</a:t>
              </a:r>
              <a:r>
                <a:rPr lang="hr-HR" sz="1200" baseline="0"/>
                <a:t> through rate		</a:t>
              </a:r>
              <a:r>
                <a:rPr lang="hr-HR" sz="1200" i="0">
                  <a:solidFill>
                    <a:schemeClr val="dk1"/>
                  </a:solidFill>
                  <a:effectLst/>
                  <a:latin typeface="Cambria Math" panose="02040503050406030204" pitchFamily="18" charset="0"/>
                  <a:ea typeface="+mn-ea"/>
                  <a:cs typeface="+mn-cs"/>
                </a:rPr>
                <a:t>𝐶𝑇𝑅=(𝑏𝑟𝑜𝑗 𝑘𝑙𝑖𝑘𝑜𝑣𝑎)/(𝑏𝑟𝑜𝑗 𝑖𝑚𝑝𝑟𝑒𝑠𝑖𝑗𝑎)</a:t>
              </a:r>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Average Cost per Click</a:t>
              </a:r>
              <a:r>
                <a:rPr lang="en-US" sz="1200">
                  <a:solidFill>
                    <a:schemeClr val="dk1"/>
                  </a:solidFill>
                  <a:effectLst/>
                  <a:latin typeface="+mn-lt"/>
                  <a:ea typeface="+mn-ea"/>
                  <a:cs typeface="+mn-cs"/>
                </a:rPr>
                <a:t>	</a:t>
              </a:r>
              <a:r>
                <a:rPr lang="hr-HR" sz="1200">
                  <a:solidFill>
                    <a:schemeClr val="dk1"/>
                  </a:solidFill>
                  <a:effectLst/>
                  <a:latin typeface="+mn-lt"/>
                  <a:ea typeface="+mn-ea"/>
                  <a:cs typeface="+mn-cs"/>
                </a:rPr>
                <a:t>	</a:t>
              </a:r>
              <a:r>
                <a:rPr lang="hr-HR" sz="1200" i="0">
                  <a:solidFill>
                    <a:schemeClr val="dk1"/>
                  </a:solidFill>
                  <a:effectLst/>
                  <a:latin typeface="Cambria Math" panose="02040503050406030204" pitchFamily="18" charset="0"/>
                  <a:ea typeface="+mn-ea"/>
                  <a:cs typeface="+mn-cs"/>
                </a:rPr>
                <a:t>𝐴𝑣𝑔. 𝐶𝑃𝐶=( 𝑡𝑟𝑜š𝑎𝑘</a:t>
              </a:r>
              <a:r>
                <a:rPr lang="en-US" sz="1200" b="0" i="0">
                  <a:solidFill>
                    <a:schemeClr val="dk1"/>
                  </a:solidFill>
                  <a:effectLst/>
                  <a:latin typeface="Cambria Math" panose="02040503050406030204" pitchFamily="18" charset="0"/>
                  <a:ea typeface="+mn-ea"/>
                  <a:cs typeface="+mn-cs"/>
                </a:rPr>
                <a:t> 𝑜𝑔𝑙𝑎š𝑎𝑣𝑎𝑛𝑗𝑎</a:t>
              </a:r>
              <a:r>
                <a:rPr lang="hr-HR" sz="1200" i="0">
                  <a:solidFill>
                    <a:schemeClr val="dk1"/>
                  </a:solidFill>
                  <a:effectLst/>
                  <a:latin typeface="Cambria Math" panose="02040503050406030204" pitchFamily="18" charset="0"/>
                  <a:ea typeface="+mn-ea"/>
                  <a:cs typeface="+mn-cs"/>
                </a:rPr>
                <a:t> </a:t>
              </a:r>
              <a:r>
                <a:rPr lang="en-US"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𝑛𝑎 𝑘𝑙𝑖𝑘𝑜𝑣𝑒</a:t>
              </a:r>
              <a:r>
                <a:rPr lang="en-US" sz="12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𝑘𝑙𝑖𝑘𝑜𝑣𝑎)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Stopa konverzije (conversion rate)	</a:t>
              </a:r>
              <a:r>
                <a:rPr lang="hr-HR" sz="1200" i="0">
                  <a:solidFill>
                    <a:schemeClr val="dk1"/>
                  </a:solidFill>
                  <a:effectLst/>
                  <a:latin typeface="Cambria Math" panose="02040503050406030204" pitchFamily="18" charset="0"/>
                  <a:ea typeface="+mn-ea"/>
                  <a:cs typeface="+mn-cs"/>
                </a:rPr>
                <a:t>𝐶𝑉𝑅=(𝑏𝑟𝑜𝑗 𝑘𝑜𝑛𝑣𝑒𝑟𝑧𝑖𝑗𝑎)/(𝑏𝑟𝑜𝑗 𝑘𝑙𝑖𝑘𝑜𝑣𝑎)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Customer aquisition cost		</a:t>
              </a:r>
              <a:r>
                <a:rPr lang="hr-HR" sz="1200" i="0">
                  <a:solidFill>
                    <a:schemeClr val="dk1"/>
                  </a:solidFill>
                  <a:effectLst/>
                  <a:latin typeface="Cambria Math" panose="02040503050406030204" pitchFamily="18" charset="0"/>
                  <a:ea typeface="+mn-ea"/>
                  <a:cs typeface="+mn-cs"/>
                </a:rPr>
                <a:t>𝐶𝐴𝐶=(</a:t>
              </a:r>
              <a:r>
                <a:rPr lang="hr-HR" sz="1100" i="0">
                  <a:solidFill>
                    <a:schemeClr val="dk1"/>
                  </a:solidFill>
                  <a:effectLst/>
                  <a:latin typeface="Cambria Math" panose="02040503050406030204" pitchFamily="18" charset="0"/>
                  <a:ea typeface="+mn-ea"/>
                  <a:cs typeface="+mn-cs"/>
                </a:rPr>
                <a:t>𝑡𝑟𝑜š𝑎𝑘</a:t>
              </a:r>
              <a:r>
                <a:rPr lang="en-US" sz="1100" b="0" i="0">
                  <a:solidFill>
                    <a:schemeClr val="dk1"/>
                  </a:solidFill>
                  <a:effectLst/>
                  <a:latin typeface="Cambria Math" panose="02040503050406030204" pitchFamily="18" charset="0"/>
                  <a:ea typeface="+mn-ea"/>
                  <a:cs typeface="+mn-cs"/>
                </a:rPr>
                <a:t> 𝑜𝑔𝑙𝑎š𝑎𝑣𝑎𝑛𝑗𝑎</a:t>
              </a:r>
              <a:r>
                <a:rPr lang="hr-HR" sz="110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𝑛𝑎 𝑘𝑙𝑖𝑘𝑜𝑣𝑒</a:t>
              </a:r>
              <a:r>
                <a:rPr lang="en-US" sz="11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𝑛𝑜𝑣𝑖ℎ 𝑘𝑙𝑖𝑗𝑒𝑛𝑎𝑡𝑎)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Cost per conversion		</a:t>
              </a:r>
              <a:r>
                <a:rPr lang="hr-HR" sz="1200" i="0">
                  <a:solidFill>
                    <a:schemeClr val="dk1"/>
                  </a:solidFill>
                  <a:effectLst/>
                  <a:latin typeface="Cambria Math" panose="02040503050406030204" pitchFamily="18" charset="0"/>
                  <a:ea typeface="+mn-ea"/>
                  <a:cs typeface="+mn-cs"/>
                </a:rPr>
                <a:t>𝐶𝑃𝐶</a:t>
              </a:r>
              <a:r>
                <a:rPr lang="en-US" sz="1200" b="0" i="0">
                  <a:solidFill>
                    <a:schemeClr val="dk1"/>
                  </a:solidFill>
                  <a:effectLst/>
                  <a:latin typeface="Cambria Math" panose="02040503050406030204" pitchFamily="18" charset="0"/>
                  <a:ea typeface="+mn-ea"/>
                  <a:cs typeface="+mn-cs"/>
                </a:rPr>
                <a:t>𝑜𝑛</a:t>
              </a:r>
              <a:r>
                <a:rPr lang="hr-HR" sz="12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𝑡𝑟𝑜š𝑎𝑘</a:t>
              </a:r>
              <a:r>
                <a:rPr lang="en-US" sz="1100" b="0" i="0">
                  <a:solidFill>
                    <a:schemeClr val="dk1"/>
                  </a:solidFill>
                  <a:effectLst/>
                  <a:latin typeface="Cambria Math" panose="02040503050406030204" pitchFamily="18" charset="0"/>
                  <a:ea typeface="+mn-ea"/>
                  <a:cs typeface="+mn-cs"/>
                </a:rPr>
                <a:t> 𝑜𝑔𝑙𝑎š𝑎𝑣𝑎𝑛𝑗𝑎</a:t>
              </a:r>
              <a:r>
                <a:rPr lang="hr-HR" sz="110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𝑛𝑎 𝑘𝑙𝑖𝑘𝑜𝑣𝑒</a:t>
              </a:r>
              <a:r>
                <a:rPr lang="en-US" sz="11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𝑘𝑜𝑛𝑣𝑒𝑟𝑧𝑖𝑗𝑎)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return on ad spend		</a:t>
              </a:r>
              <a:r>
                <a:rPr lang="hr-HR" sz="1200" i="0">
                  <a:solidFill>
                    <a:schemeClr val="dk1"/>
                  </a:solidFill>
                  <a:effectLst/>
                  <a:latin typeface="Cambria Math" panose="02040503050406030204" pitchFamily="18" charset="0"/>
                  <a:ea typeface="+mn-ea"/>
                  <a:cs typeface="+mn-cs"/>
                </a:rPr>
                <a:t>𝑅𝑂𝐴𝑆=(𝑢𝑘𝑢𝑝𝑎𝑛 𝑝𝑟𝑖ℎ𝑜𝑑−𝑡𝑟𝑜š𝑎𝑘 𝑜𝑔𝑙𝑎š𝑎𝑣𝑎𝑛𝑗𝑎)/(𝑡𝑟𝑜š𝑎𝑘 𝑜𝑔𝑙𝑎š𝑎𝑣𝑎𝑛𝑗𝑎)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return on investment, povrat ulaganja	</a:t>
              </a:r>
              <a:r>
                <a:rPr lang="hr-HR" sz="1200" i="0">
                  <a:solidFill>
                    <a:schemeClr val="dk1"/>
                  </a:solidFill>
                  <a:effectLst/>
                  <a:latin typeface="Cambria Math" panose="02040503050406030204" pitchFamily="18" charset="0"/>
                  <a:ea typeface="+mn-ea"/>
                  <a:cs typeface="+mn-cs"/>
                </a:rPr>
                <a:t>𝑅𝑂𝐼=(𝑢𝑘𝑢𝑝𝑎𝑛 𝑝𝑟𝑖ℎ𝑜𝑑−𝑢𝑘𝑢𝑝𝑎𝑛 𝑡𝑟𝑜š𝑎𝑘)/(𝑢𝑘𝑢𝑝𝑎𝑛 𝑡𝑟𝑜š𝑎𝑘)</a:t>
              </a:r>
              <a:r>
                <a:rPr lang="hr-HR" sz="1200">
                  <a:solidFill>
                    <a:schemeClr val="dk1"/>
                  </a:solidFill>
                  <a:effectLst/>
                  <a:latin typeface="+mn-lt"/>
                  <a:ea typeface="+mn-ea"/>
                  <a:cs typeface="+mn-cs"/>
                </a:rPr>
                <a:t> </a:t>
              </a:r>
            </a:p>
            <a:p>
              <a:endParaRPr lang="hr-HR" sz="1200"/>
            </a:p>
          </xdr:txBody>
        </xdr:sp>
      </mc:Fallback>
    </mc:AlternateContent>
    <xdr:clientData/>
  </xdr:twoCellAnchor>
  <xdr:twoCellAnchor>
    <xdr:from>
      <xdr:col>1</xdr:col>
      <xdr:colOff>0</xdr:colOff>
      <xdr:row>91</xdr:row>
      <xdr:rowOff>0</xdr:rowOff>
    </xdr:from>
    <xdr:to>
      <xdr:col>12</xdr:col>
      <xdr:colOff>47798</xdr:colOff>
      <xdr:row>129</xdr:row>
      <xdr:rowOff>0</xdr:rowOff>
    </xdr:to>
    <mc:AlternateContent xmlns:mc="http://schemas.openxmlformats.org/markup-compatibility/2006" xmlns:a14="http://schemas.microsoft.com/office/drawing/2010/main">
      <mc:Choice Requires="a14">
        <xdr:sp macro="" textlink="">
          <xdr:nvSpPr>
            <xdr:cNvPr id="4" name="TekstniOkvir 2">
              <a:extLst>
                <a:ext uri="{FF2B5EF4-FFF2-40B4-BE49-F238E27FC236}">
                  <a16:creationId xmlns:a16="http://schemas.microsoft.com/office/drawing/2014/main" id="{80EC3445-AC24-4D14-B49A-DE544E56B37E}"/>
                </a:ext>
              </a:extLst>
            </xdr:cNvPr>
            <xdr:cNvSpPr txBox="1"/>
          </xdr:nvSpPr>
          <xdr:spPr>
            <a:xfrm>
              <a:off x="609600" y="16757650"/>
              <a:ext cx="6753398" cy="699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za 3. ishod:</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Razlika zajam i kredit: Kredit je posudba </a:t>
              </a:r>
              <a:r>
                <a:rPr lang="hr-HR" sz="1100" b="1" i="0" baseline="0">
                  <a:solidFill>
                    <a:schemeClr val="dk1"/>
                  </a:solidFill>
                  <a:effectLst/>
                  <a:latin typeface="+mn-lt"/>
                  <a:ea typeface="+mn-ea"/>
                  <a:cs typeface="+mn-cs"/>
                </a:rPr>
                <a:t>novca</a:t>
              </a:r>
              <a:r>
                <a:rPr lang="hr-HR" sz="1100" i="0" baseline="0">
                  <a:solidFill>
                    <a:schemeClr val="dk1"/>
                  </a:solidFill>
                  <a:effectLst/>
                  <a:latin typeface="+mn-lt"/>
                  <a:ea typeface="+mn-ea"/>
                  <a:cs typeface="+mn-cs"/>
                </a:rPr>
                <a:t> od </a:t>
              </a:r>
              <a:r>
                <a:rPr lang="hr-HR" sz="1100" b="1" i="0" baseline="0">
                  <a:solidFill>
                    <a:schemeClr val="dk1"/>
                  </a:solidFill>
                  <a:effectLst/>
                  <a:latin typeface="+mn-lt"/>
                  <a:ea typeface="+mn-ea"/>
                  <a:cs typeface="+mn-cs"/>
                </a:rPr>
                <a:t>banke</a:t>
              </a:r>
              <a:r>
                <a:rPr lang="hr-HR" sz="1100" i="0" baseline="0">
                  <a:solidFill>
                    <a:schemeClr val="dk1"/>
                  </a:solidFill>
                  <a:effectLst/>
                  <a:latin typeface="+mn-lt"/>
                  <a:ea typeface="+mn-ea"/>
                  <a:cs typeface="+mn-cs"/>
                </a:rPr>
                <a:t> uz </a:t>
              </a:r>
              <a:r>
                <a:rPr lang="hr-HR" sz="1100" b="1" i="0" baseline="0">
                  <a:solidFill>
                    <a:schemeClr val="dk1"/>
                  </a:solidFill>
                  <a:effectLst/>
                  <a:latin typeface="+mn-lt"/>
                  <a:ea typeface="+mn-ea"/>
                  <a:cs typeface="+mn-cs"/>
                </a:rPr>
                <a:t>određenu kamatu</a:t>
              </a:r>
              <a:r>
                <a:rPr lang="hr-HR" sz="1100" i="0" baseline="0">
                  <a:solidFill>
                    <a:schemeClr val="dk1"/>
                  </a:solidFill>
                  <a:effectLst/>
                  <a:latin typeface="+mn-lt"/>
                  <a:ea typeface="+mn-ea"/>
                  <a:cs typeface="+mn-cs"/>
                </a:rPr>
                <a:t>. Zajam je bilo kakva pozajmica, npr. posudba novca od osiguravajuće kuće ili nekog predmeta od bilo koje fizičke ili pravne osobe. Zajam može biti vraćen uz kamatu, ali i ne mora. Svaki kredit je zajam, ali obrnuto ne vrijedi.</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Mi nećemo raditi razliku između zajma i kredita, već ćemo se baviti načinom njihove otplate.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Najčešća metoda otplate je </a:t>
              </a:r>
              <a:r>
                <a:rPr lang="hr-HR" sz="1100" b="1" i="0" baseline="0">
                  <a:solidFill>
                    <a:schemeClr val="dk1"/>
                  </a:solidFill>
                  <a:effectLst/>
                  <a:latin typeface="+mn-lt"/>
                  <a:ea typeface="+mn-ea"/>
                  <a:cs typeface="+mn-cs"/>
                </a:rPr>
                <a:t>metoda jednakim anuitetima</a:t>
              </a:r>
              <a:r>
                <a:rPr lang="hr-HR" sz="1100" i="0" baseline="0">
                  <a:solidFill>
                    <a:schemeClr val="dk1"/>
                  </a:solidFill>
                  <a:effectLst/>
                  <a:latin typeface="+mn-lt"/>
                  <a:ea typeface="+mn-ea"/>
                  <a:cs typeface="+mn-cs"/>
                </a:rPr>
                <a:t>/obrocima.</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𝑟</m:t>
                  </m:r>
                </m:oMath>
              </a14:m>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Svaki anuitet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sastoji se od 2 dijela: otplate kamate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i otplatne kvote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Za posuđen iznos zajma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zadanu kamatnu stopu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broj razdoblja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anuitet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računa se izrazom</a:t>
              </a:r>
            </a:p>
            <a:p>
              <a:pPr marL="0" marR="0" lvl="0" indent="0" defTabSz="914400" eaLnBrk="1" fontAlgn="auto" latinLnBrk="0" hangingPunct="1">
                <a:lnSpc>
                  <a:spcPct val="100000"/>
                </a:lnSpc>
                <a:spcBef>
                  <a:spcPts val="0"/>
                </a:spcBef>
                <a:spcAft>
                  <a:spcPts val="0"/>
                </a:spcAft>
                <a:buClrTx/>
                <a:buSzTx/>
                <a:buFontTx/>
                <a:buNone/>
                <a:tabLst/>
                <a:defRPr/>
              </a:pPr>
              <a:r>
                <a:rPr lang="hr-HR" sz="1100" b="0" baseline="0">
                  <a:solidFill>
                    <a:schemeClr val="dk1"/>
                  </a:solidFill>
                  <a:effectLst/>
                  <a:ea typeface="+mn-ea"/>
                  <a:cs typeface="+mn-cs"/>
                </a:rPr>
                <a:t>a</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den>
                  </m:f>
                </m:oMath>
              </a14:m>
              <a:r>
                <a:rPr lang="hr-HR" sz="1100" i="0" baseline="0">
                  <a:solidFill>
                    <a:schemeClr val="dk1"/>
                  </a:solidFill>
                  <a:effectLst/>
                  <a:latin typeface="+mn-lt"/>
                  <a:ea typeface="+mn-ea"/>
                  <a:cs typeface="+mn-cs"/>
                </a:rPr>
                <a:t>. Uočite identičan izraz za početnu vrijednost više uplata/isplata postnumerando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𝐴</m:t>
                      </m:r>
                    </m:e>
                    <m:sub>
                      <m:r>
                        <a:rPr lang="hr-HR" sz="1100" b="0" i="1" baseline="0">
                          <a:solidFill>
                            <a:schemeClr val="dk1"/>
                          </a:solidFill>
                          <a:effectLst/>
                          <a:latin typeface="Cambria Math" panose="02040503050406030204" pitchFamily="18" charset="0"/>
                          <a:ea typeface="+mn-ea"/>
                          <a:cs typeface="+mn-cs"/>
                        </a:rPr>
                        <m:t>𝑛</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den>
                  </m:f>
                </m:oMath>
              </a14:m>
              <a:r>
                <a:rPr lang="hr-HR" sz="1100" i="0" baseline="0">
                  <a:solidFill>
                    <a:schemeClr val="dk1"/>
                  </a:solidFill>
                  <a:effectLst/>
                  <a:latin typeface="+mn-lt"/>
                  <a:ea typeface="+mn-ea"/>
                  <a:cs typeface="+mn-cs"/>
                </a:rPr>
                <a:t>. I kod zajma također imamo veliki početni iznos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koji vraćamo u više jednakih obroka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U excelu se vrijednost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računa baš poput iznosa jednake rate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u prethodnoj lekciji.</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Koristimo naredbu PAYMENT i i upisujemo 5 podataka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oMath>
              </a14:m>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anuiteti trebaju računati na 2 decimale pa prilagodimo formulu i pišemo </a:t>
              </a:r>
              <a:r>
                <a:rPr lang="hr-HR" sz="1100" b="1" baseline="0">
                  <a:solidFill>
                    <a:schemeClr val="dk1"/>
                  </a:solidFill>
                  <a:effectLst/>
                  <a:latin typeface="+mn-lt"/>
                  <a:ea typeface="+mn-ea"/>
                  <a:cs typeface="+mn-cs"/>
                </a:rPr>
                <a:t>=ROUND(PMT(kamatna stopa (%); broj razdoblja; iznos kredita </a:t>
              </a:r>
              <a14:m>
                <m:oMath xmlns:m="http://schemas.openxmlformats.org/officeDocument/2006/math">
                  <m:sSub>
                    <m:sSubPr>
                      <m:ctrlPr>
                        <a:rPr lang="hr-HR" sz="1100" b="1" i="1" baseline="0">
                          <a:solidFill>
                            <a:schemeClr val="dk1"/>
                          </a:solidFill>
                          <a:effectLst/>
                          <a:latin typeface="Cambria Math" panose="02040503050406030204" pitchFamily="18" charset="0"/>
                          <a:ea typeface="+mn-ea"/>
                          <a:cs typeface="+mn-cs"/>
                        </a:rPr>
                      </m:ctrlPr>
                    </m:sSubPr>
                    <m:e>
                      <m:r>
                        <a:rPr lang="hr-HR" sz="1100" b="1" i="1" baseline="0">
                          <a:solidFill>
                            <a:schemeClr val="dk1"/>
                          </a:solidFill>
                          <a:effectLst/>
                          <a:latin typeface="Cambria Math" panose="02040503050406030204" pitchFamily="18" charset="0"/>
                          <a:ea typeface="+mn-ea"/>
                          <a:cs typeface="+mn-cs"/>
                        </a:rPr>
                        <m:t>𝑪</m:t>
                      </m:r>
                    </m:e>
                    <m:sub>
                      <m:r>
                        <a:rPr lang="hr-HR" sz="1100" b="1" i="1" baseline="0">
                          <a:solidFill>
                            <a:schemeClr val="dk1"/>
                          </a:solidFill>
                          <a:effectLst/>
                          <a:latin typeface="Cambria Math" panose="02040503050406030204" pitchFamily="18" charset="0"/>
                          <a:ea typeface="+mn-ea"/>
                          <a:cs typeface="+mn-cs"/>
                        </a:rPr>
                        <m:t>𝟎</m:t>
                      </m:r>
                    </m:sub>
                  </m:sSub>
                  <m:r>
                    <m:rPr>
                      <m:nor/>
                    </m:rPr>
                    <a:rPr lang="hr-HR" sz="1100" b="1" i="0" baseline="0">
                      <a:solidFill>
                        <a:schemeClr val="dk1"/>
                      </a:solidFill>
                      <a:effectLst/>
                      <a:latin typeface="+mn-lt"/>
                      <a:ea typeface="+mn-ea"/>
                      <a:cs typeface="+mn-cs"/>
                    </a:rPr>
                    <m:t> </m:t>
                  </m:r>
                </m:oMath>
              </a14:m>
              <a:r>
                <a:rPr lang="hr-HR" sz="1100" b="1" baseline="0">
                  <a:solidFill>
                    <a:schemeClr val="dk1"/>
                  </a:solidFill>
                  <a:effectLst/>
                  <a:latin typeface="+mn-lt"/>
                  <a:ea typeface="+mn-ea"/>
                  <a:cs typeface="+mn-cs"/>
                </a:rPr>
                <a:t>; mogući ostatak duga; 0);2)</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Ako je poznat iznos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a:effectLst/>
                </a:rPr>
                <a:t> tada iznos zajma</a:t>
              </a:r>
              <a:r>
                <a:rPr lang="hr-HR" baseline="0">
                  <a:effectLst/>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oMath>
              </a14:m>
              <a:r>
                <a:rPr lang="hr-HR">
                  <a:effectLst/>
                </a:rPr>
                <a:t>možemo izračunati</a:t>
              </a:r>
              <a:r>
                <a:rPr lang="hr-HR" baseline="0">
                  <a:effectLst/>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den>
                  </m:f>
                </m:oMath>
              </a14:m>
              <a:r>
                <a:rPr lang="hr-HR">
                  <a:effectLst/>
                </a:rPr>
                <a:t>, a u excelu</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=PV(kamatna stopa %; broj razdoblja; iznos obroka;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iznos kredita treba računati na 2 decimale pa prilagodimo formulu i pišemo</a:t>
              </a:r>
            </a:p>
            <a:p>
              <a:pPr marL="0" marR="0" lvl="0" indent="0" defTabSz="914400" eaLnBrk="1" fontAlgn="auto" latinLnBrk="0" hangingPunct="1">
                <a:lnSpc>
                  <a:spcPct val="100000"/>
                </a:lnSpc>
                <a:spcBef>
                  <a:spcPts val="0"/>
                </a:spcBef>
                <a:spcAft>
                  <a:spcPts val="0"/>
                </a:spcAft>
                <a:buClrTx/>
                <a:buSzTx/>
                <a:buFontTx/>
                <a:buNone/>
                <a:tabLst/>
                <a:defRPr/>
              </a:pPr>
              <a:r>
                <a:rPr lang="hr-HR" sz="1100" b="1" baseline="0">
                  <a:solidFill>
                    <a:schemeClr val="dk1"/>
                  </a:solidFill>
                  <a:effectLst/>
                  <a:latin typeface="+mn-lt"/>
                  <a:ea typeface="+mn-ea"/>
                  <a:cs typeface="+mn-cs"/>
                </a:rPr>
                <a:t>=ROUND(PV(kamatna stopa %; broj razdoblja; iznos obroka; eventualni ostatak duga;0);2)</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iznose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a:effectLst/>
                </a:rPr>
                <a:t> upisujemo s negativnim</a:t>
              </a:r>
              <a:r>
                <a:rPr lang="hr-HR" baseline="0">
                  <a:effectLst/>
                </a:rPr>
                <a:t> predznakom, jer ga mi plaćamo, a iznos zajma/kredita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baseline="0">
                  <a:effectLst/>
                </a:rPr>
                <a:t> pozitivnim jer taj iznos dobivamo.</a:t>
              </a:r>
            </a:p>
          </xdr:txBody>
        </xdr:sp>
      </mc:Choice>
      <mc:Fallback xmlns="">
        <xdr:sp macro="" textlink="">
          <xdr:nvSpPr>
            <xdr:cNvPr id="4" name="TekstniOkvir 2">
              <a:extLst>
                <a:ext uri="{FF2B5EF4-FFF2-40B4-BE49-F238E27FC236}">
                  <a16:creationId xmlns:a16="http://schemas.microsoft.com/office/drawing/2014/main" id="{80EC3445-AC24-4D14-B49A-DE544E56B37E}"/>
                </a:ext>
              </a:extLst>
            </xdr:cNvPr>
            <xdr:cNvSpPr txBox="1"/>
          </xdr:nvSpPr>
          <xdr:spPr>
            <a:xfrm>
              <a:off x="609600" y="16757650"/>
              <a:ext cx="6753398" cy="699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za 3. ishod:</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Razlika zajam i kredit: Kredit je posudba </a:t>
              </a:r>
              <a:r>
                <a:rPr lang="hr-HR" sz="1100" b="1" i="0" baseline="0">
                  <a:solidFill>
                    <a:schemeClr val="dk1"/>
                  </a:solidFill>
                  <a:effectLst/>
                  <a:latin typeface="+mn-lt"/>
                  <a:ea typeface="+mn-ea"/>
                  <a:cs typeface="+mn-cs"/>
                </a:rPr>
                <a:t>novca</a:t>
              </a:r>
              <a:r>
                <a:rPr lang="hr-HR" sz="1100" i="0" baseline="0">
                  <a:solidFill>
                    <a:schemeClr val="dk1"/>
                  </a:solidFill>
                  <a:effectLst/>
                  <a:latin typeface="+mn-lt"/>
                  <a:ea typeface="+mn-ea"/>
                  <a:cs typeface="+mn-cs"/>
                </a:rPr>
                <a:t> od </a:t>
              </a:r>
              <a:r>
                <a:rPr lang="hr-HR" sz="1100" b="1" i="0" baseline="0">
                  <a:solidFill>
                    <a:schemeClr val="dk1"/>
                  </a:solidFill>
                  <a:effectLst/>
                  <a:latin typeface="+mn-lt"/>
                  <a:ea typeface="+mn-ea"/>
                  <a:cs typeface="+mn-cs"/>
                </a:rPr>
                <a:t>banke</a:t>
              </a:r>
              <a:r>
                <a:rPr lang="hr-HR" sz="1100" i="0" baseline="0">
                  <a:solidFill>
                    <a:schemeClr val="dk1"/>
                  </a:solidFill>
                  <a:effectLst/>
                  <a:latin typeface="+mn-lt"/>
                  <a:ea typeface="+mn-ea"/>
                  <a:cs typeface="+mn-cs"/>
                </a:rPr>
                <a:t> uz </a:t>
              </a:r>
              <a:r>
                <a:rPr lang="hr-HR" sz="1100" b="1" i="0" baseline="0">
                  <a:solidFill>
                    <a:schemeClr val="dk1"/>
                  </a:solidFill>
                  <a:effectLst/>
                  <a:latin typeface="+mn-lt"/>
                  <a:ea typeface="+mn-ea"/>
                  <a:cs typeface="+mn-cs"/>
                </a:rPr>
                <a:t>određenu kamatu</a:t>
              </a:r>
              <a:r>
                <a:rPr lang="hr-HR" sz="1100" i="0" baseline="0">
                  <a:solidFill>
                    <a:schemeClr val="dk1"/>
                  </a:solidFill>
                  <a:effectLst/>
                  <a:latin typeface="+mn-lt"/>
                  <a:ea typeface="+mn-ea"/>
                  <a:cs typeface="+mn-cs"/>
                </a:rPr>
                <a:t>. Zajam je bilo kakva pozajmica, npr. posudba novca od osiguravajuće kuće ili nekog predmeta od bilo koje fizičke ili pravne osobe. Zajam može biti vraćen uz kamatu, ali i ne mora. Svaki kredit je zajam, ali obrnuto ne vrijedi.</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Mi nećemo raditi razliku između zajma i kredita, već ćemo se baviti načinom njihove otplate.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Najčešća metoda otplate je </a:t>
              </a:r>
              <a:r>
                <a:rPr lang="hr-HR" sz="1100" b="1" i="0" baseline="0">
                  <a:solidFill>
                    <a:schemeClr val="dk1"/>
                  </a:solidFill>
                  <a:effectLst/>
                  <a:latin typeface="+mn-lt"/>
                  <a:ea typeface="+mn-ea"/>
                  <a:cs typeface="+mn-cs"/>
                </a:rPr>
                <a:t>metoda jednakim anuitetima</a:t>
              </a:r>
              <a:r>
                <a:rPr lang="hr-HR" sz="1100" i="0" baseline="0">
                  <a:solidFill>
                    <a:schemeClr val="dk1"/>
                  </a:solidFill>
                  <a:effectLst/>
                  <a:latin typeface="+mn-lt"/>
                  <a:ea typeface="+mn-ea"/>
                  <a:cs typeface="+mn-cs"/>
                </a:rPr>
                <a:t>/obrocima.</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𝑟</a:t>
              </a:r>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Svaki anuitet </a:t>
              </a: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sastoji se od 2 dijela: otplate kamate </a:t>
              </a: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i otplatne kvote </a:t>
              </a: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Za posuđen iznos zajma </a:t>
              </a: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zadanu kamatnu stopu </a:t>
              </a: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broj razdoblja </a:t>
              </a: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anuitet </a:t>
              </a:r>
              <a:r>
                <a:rPr lang="hr-HR" sz="1100" b="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računa se izrazom</a:t>
              </a:r>
            </a:p>
            <a:p>
              <a:pPr marL="0" marR="0" lvl="0" indent="0" defTabSz="914400" eaLnBrk="1" fontAlgn="auto" latinLnBrk="0" hangingPunct="1">
                <a:lnSpc>
                  <a:spcPct val="100000"/>
                </a:lnSpc>
                <a:spcBef>
                  <a:spcPts val="0"/>
                </a:spcBef>
                <a:spcAft>
                  <a:spcPts val="0"/>
                </a:spcAft>
                <a:buClrTx/>
                <a:buSzTx/>
                <a:buFontTx/>
                <a:buNone/>
                <a:tabLst/>
                <a:defRPr/>
              </a:pPr>
              <a:r>
                <a:rPr lang="hr-HR" sz="1100" b="0" baseline="0">
                  <a:solidFill>
                    <a:schemeClr val="dk1"/>
                  </a:solidFill>
                  <a:effectLst/>
                  <a:ea typeface="+mn-ea"/>
                  <a:cs typeface="+mn-cs"/>
                </a:rPr>
                <a:t>a</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"∙(𝑟^𝑛∙(𝑟−1))/(𝑟^𝑛−1)</a:t>
              </a:r>
              <a:r>
                <a:rPr lang="hr-HR" sz="1100" i="0" baseline="0">
                  <a:solidFill>
                    <a:schemeClr val="dk1"/>
                  </a:solidFill>
                  <a:effectLst/>
                  <a:latin typeface="+mn-lt"/>
                  <a:ea typeface="+mn-ea"/>
                  <a:cs typeface="+mn-cs"/>
                </a:rPr>
                <a:t>. Uočite identičan izraz za početnu vrijednost više uplata/isplata postnumerando </a:t>
              </a:r>
              <a:r>
                <a:rPr lang="hr-HR" sz="1100" b="0" i="0" baseline="0">
                  <a:solidFill>
                    <a:schemeClr val="dk1"/>
                  </a:solidFill>
                  <a:effectLst/>
                  <a:latin typeface="Cambria Math" panose="02040503050406030204" pitchFamily="18" charset="0"/>
                  <a:ea typeface="+mn-ea"/>
                  <a:cs typeface="+mn-cs"/>
                </a:rPr>
                <a:t>𝑅=𝐴_𝑛∙(𝑟^𝑛∙(𝑟−1))/(𝑟^𝑛−1)</a:t>
              </a:r>
              <a:r>
                <a:rPr lang="hr-HR" sz="1100" i="0" baseline="0">
                  <a:solidFill>
                    <a:schemeClr val="dk1"/>
                  </a:solidFill>
                  <a:effectLst/>
                  <a:latin typeface="+mn-lt"/>
                  <a:ea typeface="+mn-ea"/>
                  <a:cs typeface="+mn-cs"/>
                </a:rPr>
                <a:t>. I kod zajma također imamo veliki početni iznos </a:t>
              </a: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koji vraćamo u više jednakih obroka </a:t>
              </a:r>
              <a:r>
                <a:rPr lang="hr-HR" sz="1100" b="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U excelu se vrijednost anuiteta </a:t>
              </a: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računa baš poput iznosa jednake rate </a:t>
              </a:r>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u prethodnoj lekciji.</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Koristimo naredbu PAYMENT i i upisujemo 5 podataka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anuiteti trebaju računati na 2 decimale pa prilagodimo formulu i pišemo </a:t>
              </a:r>
              <a:r>
                <a:rPr lang="hr-HR" sz="1100" b="1" baseline="0">
                  <a:solidFill>
                    <a:schemeClr val="dk1"/>
                  </a:solidFill>
                  <a:effectLst/>
                  <a:latin typeface="+mn-lt"/>
                  <a:ea typeface="+mn-ea"/>
                  <a:cs typeface="+mn-cs"/>
                </a:rPr>
                <a:t>=ROUND(PMT(kamatna stopa (%); broj razdoblja; iznos kredita </a:t>
              </a:r>
              <a:r>
                <a:rPr lang="hr-HR" sz="1100" b="1" i="0" baseline="0">
                  <a:solidFill>
                    <a:schemeClr val="dk1"/>
                  </a:solidFill>
                  <a:effectLst/>
                  <a:latin typeface="Cambria Math" panose="02040503050406030204" pitchFamily="18" charset="0"/>
                  <a:ea typeface="+mn-ea"/>
                  <a:cs typeface="+mn-cs"/>
                </a:rPr>
                <a:t>𝑪_𝟎</a:t>
              </a:r>
              <a:r>
                <a:rPr lang="hr-HR" sz="1100" b="1" i="0" baseline="0">
                  <a:solidFill>
                    <a:schemeClr val="dk1"/>
                  </a:solidFill>
                  <a:effectLst/>
                  <a:latin typeface="+mn-lt"/>
                  <a:ea typeface="+mn-ea"/>
                  <a:cs typeface="+mn-cs"/>
                </a:rPr>
                <a:t> </a:t>
              </a:r>
              <a:r>
                <a:rPr lang="hr-HR" sz="1100" b="1" i="0" baseline="0">
                  <a:solidFill>
                    <a:schemeClr val="dk1"/>
                  </a:solidFill>
                  <a:effectLst/>
                  <a:latin typeface="Cambria Math" panose="02040503050406030204" pitchFamily="18" charset="0"/>
                  <a:ea typeface="+mn-ea"/>
                  <a:cs typeface="+mn-cs"/>
                </a:rPr>
                <a:t>" </a:t>
              </a:r>
              <a:r>
                <a:rPr lang="en-US" sz="1100" b="1" i="0" baseline="0">
                  <a:solidFill>
                    <a:schemeClr val="dk1"/>
                  </a:solidFill>
                  <a:effectLst/>
                  <a:latin typeface="+mn-lt"/>
                  <a:ea typeface="+mn-ea"/>
                  <a:cs typeface="+mn-cs"/>
                </a:rPr>
                <a:t>"</a:t>
              </a:r>
              <a:r>
                <a:rPr lang="hr-HR" sz="1100" b="1" baseline="0">
                  <a:solidFill>
                    <a:schemeClr val="dk1"/>
                  </a:solidFill>
                  <a:effectLst/>
                  <a:latin typeface="+mn-lt"/>
                  <a:ea typeface="+mn-ea"/>
                  <a:cs typeface="+mn-cs"/>
                </a:rPr>
                <a:t>; mogući ostatak duga; 0);2)</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Ako je poznat iznos anuiteta </a:t>
              </a:r>
              <a:r>
                <a:rPr lang="hr-HR" sz="1100" i="0" baseline="0">
                  <a:solidFill>
                    <a:schemeClr val="dk1"/>
                  </a:solidFill>
                  <a:effectLst/>
                  <a:latin typeface="Cambria Math" panose="02040503050406030204" pitchFamily="18" charset="0"/>
                  <a:ea typeface="+mn-ea"/>
                  <a:cs typeface="+mn-cs"/>
                </a:rPr>
                <a:t>𝑎</a:t>
              </a:r>
              <a:r>
                <a:rPr lang="hr-HR">
                  <a:effectLst/>
                </a:rPr>
                <a:t> tada iznos zajma</a:t>
              </a:r>
              <a:r>
                <a:rPr lang="hr-HR" baseline="0">
                  <a:effectLst/>
                </a:rPr>
                <a:t> </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a:effectLst/>
                </a:rPr>
                <a:t>možemo izračunati</a:t>
              </a:r>
              <a:r>
                <a:rPr lang="hr-HR" baseline="0">
                  <a:effectLst/>
                </a:rPr>
                <a:t> </a:t>
              </a:r>
              <a:r>
                <a:rPr lang="hr-HR" sz="1100" b="0" i="0" baseline="0">
                  <a:solidFill>
                    <a:schemeClr val="dk1"/>
                  </a:solidFill>
                  <a:effectLst/>
                  <a:latin typeface="Cambria Math" panose="02040503050406030204" pitchFamily="18" charset="0"/>
                  <a:ea typeface="+mn-ea"/>
                  <a:cs typeface="+mn-cs"/>
                </a:rPr>
                <a:t>𝐶_0=𝑎∙(𝑟^𝑛−1)/(𝑟^𝑛∙(𝑟−1) )</a:t>
              </a:r>
              <a:r>
                <a:rPr lang="hr-HR">
                  <a:effectLst/>
                </a:rPr>
                <a:t>, a u excelu</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=PV(kamatna stopa %; broj razdoblja; iznos obroka;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iznos kredita treba računati na 2 decimale pa prilagodimo formulu i pišemo</a:t>
              </a:r>
            </a:p>
            <a:p>
              <a:pPr marL="0" marR="0" lvl="0" indent="0" defTabSz="914400" eaLnBrk="1" fontAlgn="auto" latinLnBrk="0" hangingPunct="1">
                <a:lnSpc>
                  <a:spcPct val="100000"/>
                </a:lnSpc>
                <a:spcBef>
                  <a:spcPts val="0"/>
                </a:spcBef>
                <a:spcAft>
                  <a:spcPts val="0"/>
                </a:spcAft>
                <a:buClrTx/>
                <a:buSzTx/>
                <a:buFontTx/>
                <a:buNone/>
                <a:tabLst/>
                <a:defRPr/>
              </a:pPr>
              <a:r>
                <a:rPr lang="hr-HR" sz="1100" b="1" baseline="0">
                  <a:solidFill>
                    <a:schemeClr val="dk1"/>
                  </a:solidFill>
                  <a:effectLst/>
                  <a:latin typeface="+mn-lt"/>
                  <a:ea typeface="+mn-ea"/>
                  <a:cs typeface="+mn-cs"/>
                </a:rPr>
                <a:t>=ROUND(PV(kamatna stopa %; broj razdoblja; iznos obroka; eventualni ostatak duga;0);2)</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iznose anuiteta </a:t>
              </a:r>
              <a:r>
                <a:rPr lang="hr-HR" sz="1100" i="0" baseline="0">
                  <a:solidFill>
                    <a:schemeClr val="dk1"/>
                  </a:solidFill>
                  <a:effectLst/>
                  <a:latin typeface="Cambria Math" panose="02040503050406030204" pitchFamily="18" charset="0"/>
                  <a:ea typeface="+mn-ea"/>
                  <a:cs typeface="+mn-cs"/>
                </a:rPr>
                <a:t>𝑎</a:t>
              </a:r>
              <a:r>
                <a:rPr lang="hr-HR">
                  <a:effectLst/>
                </a:rPr>
                <a:t> upisujemo s negativnim</a:t>
              </a:r>
              <a:r>
                <a:rPr lang="hr-HR" baseline="0">
                  <a:effectLst/>
                </a:rPr>
                <a:t> predznakom, jer ga mi plaćamo, a iznos zajma/kredita </a:t>
              </a:r>
              <a:r>
                <a:rPr lang="hr-HR" sz="1100" b="0" i="0" baseline="0">
                  <a:solidFill>
                    <a:schemeClr val="dk1"/>
                  </a:solidFill>
                  <a:effectLst/>
                  <a:latin typeface="Cambria Math" panose="02040503050406030204" pitchFamily="18" charset="0"/>
                  <a:ea typeface="+mn-ea"/>
                  <a:cs typeface="+mn-cs"/>
                </a:rPr>
                <a:t>𝐶_0</a:t>
              </a:r>
              <a:r>
                <a:rPr lang="hr-HR" baseline="0">
                  <a:effectLst/>
                </a:rPr>
                <a:t> pozitivnim jer taj iznos dobivamo.</a:t>
              </a:r>
            </a:p>
          </xdr:txBody>
        </xdr:sp>
      </mc:Fallback>
    </mc:AlternateContent>
    <xdr:clientData/>
  </xdr:twoCellAnchor>
  <xdr:twoCellAnchor>
    <xdr:from>
      <xdr:col>1</xdr:col>
      <xdr:colOff>0</xdr:colOff>
      <xdr:row>130</xdr:row>
      <xdr:rowOff>0</xdr:rowOff>
    </xdr:from>
    <xdr:to>
      <xdr:col>12</xdr:col>
      <xdr:colOff>47798</xdr:colOff>
      <xdr:row>163</xdr:row>
      <xdr:rowOff>89536</xdr:rowOff>
    </xdr:to>
    <mc:AlternateContent xmlns:mc="http://schemas.openxmlformats.org/markup-compatibility/2006" xmlns:a14="http://schemas.microsoft.com/office/drawing/2010/main">
      <mc:Choice Requires="a14">
        <xdr:sp macro="" textlink="">
          <xdr:nvSpPr>
            <xdr:cNvPr id="5" name="TekstniOkvir 4">
              <a:extLst>
                <a:ext uri="{FF2B5EF4-FFF2-40B4-BE49-F238E27FC236}">
                  <a16:creationId xmlns:a16="http://schemas.microsoft.com/office/drawing/2014/main" id="{54634525-DE09-488E-BC1B-5A7752A61B9A}"/>
                </a:ext>
              </a:extLst>
            </xdr:cNvPr>
            <xdr:cNvSpPr txBox="1"/>
          </xdr:nvSpPr>
          <xdr:spPr>
            <a:xfrm>
              <a:off x="609600" y="23939500"/>
              <a:ext cx="6753398" cy="616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podsjeća na KAIRO.</a:t>
              </a:r>
            </a:p>
            <a:p>
              <a14:m>
                <m:oMath xmlns:m="http://schemas.openxmlformats.org/officeDocument/2006/math">
                  <m:r>
                    <a:rPr lang="hr-HR" sz="1100" b="0" i="1">
                      <a:latin typeface="Cambria Math" panose="02040503050406030204" pitchFamily="18" charset="0"/>
                    </a:rPr>
                    <m:t>𝑘</m:t>
                  </m:r>
                </m:oMath>
              </a14:m>
              <a:r>
                <a:rPr lang="hr-HR" sz="1100"/>
                <a:t> je redni broj anuiteta, kreće od broja 0</a:t>
              </a:r>
            </a:p>
            <a:p>
              <a14:m>
                <m:oMath xmlns:m="http://schemas.openxmlformats.org/officeDocument/2006/math">
                  <m:r>
                    <a:rPr lang="hr-HR" sz="1100" b="0" i="1">
                      <a:latin typeface="Cambria Math" panose="02040503050406030204" pitchFamily="18" charset="0"/>
                    </a:rPr>
                    <m:t>𝑎</m:t>
                  </m:r>
                </m:oMath>
              </a14:m>
              <a:r>
                <a:rPr lang="hr-HR" sz="1100"/>
                <a:t> iznos</a:t>
              </a:r>
              <a:r>
                <a:rPr lang="hr-HR" sz="1100" baseline="0"/>
                <a:t> anuiteta (unesite s pozitivnim predznakom)</a:t>
              </a: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otplatna kvota (otplata glavnice) u k-tom otplatnom razdoblju</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anuiteta </a:t>
              </a:r>
              <a14:m>
                <m:oMath xmlns:m="http://schemas.openxmlformats.org/officeDocument/2006/math">
                  <m:r>
                    <a:rPr lang="hr-HR" sz="1100" b="0" i="1" baseline="0">
                      <a:latin typeface="Cambria Math" panose="02040503050406030204" pitchFamily="18" charset="0"/>
                    </a:rPr>
                    <m:t>𝑎</m:t>
                  </m:r>
                </m:oMath>
              </a14:m>
              <a:r>
                <a:rPr lang="hr-HR" sz="1100" baseline="0"/>
                <a:t> za sva razdoblja otplate, ali u pozitivnom iznosu.</a:t>
              </a:r>
            </a:p>
            <a:p>
              <a:r>
                <a:rPr lang="hr-HR" sz="1100" baseline="0"/>
                <a:t>Popunjavanje 1. retka:</a:t>
              </a:r>
            </a:p>
            <a:p>
              <a:r>
                <a:rPr lang="hr-HR" sz="1100" baseline="0"/>
                <a:t>Kamata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Cambria Math" panose="02040503050406030204" pitchFamily="18" charset="0"/>
                      <a:cs typeface="+mn-cs"/>
                    </a:rPr>
                    <m:t>∙</m:t>
                  </m:r>
                  <m:r>
                    <a:rPr lang="hr-HR" sz="1100" b="0" i="1" baseline="0">
                      <a:solidFill>
                        <a:schemeClr val="dk1"/>
                      </a:solidFill>
                      <a:effectLst/>
                      <a:latin typeface="Cambria Math" panose="02040503050406030204" pitchFamily="18" charset="0"/>
                      <a:ea typeface="Cambria Math" panose="02040503050406030204" pitchFamily="18" charset="0"/>
                      <a:cs typeface="+mn-cs"/>
                    </a:rPr>
                    <m:t>𝑝</m:t>
                  </m:r>
                  <m:r>
                    <a:rPr lang="en-US" sz="1100" b="0" i="1" baseline="0">
                      <a:solidFill>
                        <a:schemeClr val="dk1"/>
                      </a:solidFill>
                      <a:effectLst/>
                      <a:latin typeface="Cambria Math" panose="02040503050406030204" pitchFamily="18" charset="0"/>
                      <a:ea typeface="Cambria Math" panose="02040503050406030204" pitchFamily="18" charset="0"/>
                      <a:cs typeface="+mn-cs"/>
                    </a:rPr>
                    <m:t>;2)</m:t>
                  </m:r>
                </m:oMath>
              </a14:m>
              <a:r>
                <a:rPr lang="hr-HR" sz="1100" i="0" baseline="0">
                  <a:solidFill>
                    <a:schemeClr val="dk1"/>
                  </a:solidFill>
                  <a:effectLst/>
                  <a:latin typeface="+mn-lt"/>
                  <a:ea typeface="+mn-ea"/>
                  <a:cs typeface="+mn-cs"/>
                </a:rPr>
                <a:t>. (jer je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zapisan kao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=5%</m:t>
                  </m:r>
                </m:oMath>
              </a14:m>
              <a:r>
                <a:rPr lang="hr-HR" sz="1100" i="0" baseline="0">
                  <a:solidFill>
                    <a:schemeClr val="dk1"/>
                  </a:solidFill>
                  <a:effectLst/>
                  <a:latin typeface="+mn-lt"/>
                  <a:ea typeface="+mn-ea"/>
                  <a:cs typeface="+mn-cs"/>
                </a:rPr>
                <a:t> što je jednako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=0,05</m:t>
                  </m:r>
                </m:oMath>
              </a14:m>
              <a:r>
                <a:rPr lang="hr-HR" sz="1100" i="0" baseline="0">
                  <a:solidFill>
                    <a:schemeClr val="dk1"/>
                  </a:solidFill>
                  <a:effectLst/>
                  <a:latin typeface="+mn-lt"/>
                  <a:ea typeface="+mn-ea"/>
                  <a:cs typeface="+mn-cs"/>
                </a:rPr>
                <a:t> pa nema potrebe dijeliti izraz sa 100 i koristiti formulu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100</m:t>
                      </m:r>
                    </m:den>
                  </m:f>
                </m:oMath>
              </a14:m>
              <a:r>
                <a:rPr lang="hr-HR" sz="1100"/>
                <a:t>). Napomena:</a:t>
              </a:r>
              <a:r>
                <a:rPr lang="hr-HR" sz="1100" baseline="0"/>
                <a:t> koristite naredbu </a:t>
              </a:r>
              <a:r>
                <a:rPr lang="hr-HR" sz="1100" b="1" baseline="0"/>
                <a:t>=ROUND(   ;2)</a:t>
              </a:r>
              <a:endParaRPr lang="hr-HR" sz="1100" b="1"/>
            </a:p>
            <a:p>
              <a:r>
                <a:rPr lang="hr-HR" sz="1100"/>
                <a:t>Otplatna kvota je otplata glavnice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r>
                <a:rPr lang="hr-HR" sz="1100"/>
                <a:t>Ostatak duga nakon</a:t>
              </a:r>
              <a:r>
                <a:rPr lang="hr-HR" sz="1100" baseline="0"/>
                <a:t> prvog otplaćenog anuiteta iznosi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endParaRPr lang="hr-HR" sz="1100"/>
            </a:p>
            <a:p>
              <a:r>
                <a:rPr lang="hr-HR" sz="1100"/>
                <a:t>Nakon toga se</a:t>
              </a:r>
              <a:r>
                <a:rPr lang="hr-HR" sz="1100" baseline="0"/>
                <a:t> popunjavaju ostali retci: </a:t>
              </a:r>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a:rPr lang="en-US" sz="1100" b="0" i="1" baseline="0">
                        <a:solidFill>
                          <a:schemeClr val="dk1"/>
                        </a:solidFill>
                        <a:effectLst/>
                        <a:latin typeface="Cambria Math" panose="02040503050406030204" pitchFamily="18" charset="0"/>
                        <a:ea typeface="+mn-ea"/>
                        <a:cs typeface="+mn-cs"/>
                      </a:rPr>
                      <m:t>;2)</m:t>
                    </m:r>
                  </m:oMath>
                </m:oMathPara>
              </a14:m>
              <a:endParaRPr lang="hr-HR" sz="1100"/>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m:oMathPara>
              </a14:m>
              <a:endParaRPr lang="hr-HR" sz="1100"/>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a:t>.</a:t>
              </a:r>
            </a:p>
            <a:p>
              <a:r>
                <a:rPr lang="hr-HR" sz="1100"/>
                <a:t>U excelu je dovoljno popuniti prvi redak</a:t>
              </a:r>
              <a:r>
                <a:rPr lang="hr-HR" sz="1100" baseline="0"/>
                <a:t> i potom kopirati/razvući u ostale retke. Pazite da usidrite s F4 odgovarajuće podatke (kamatnu stopu).</a:t>
              </a:r>
            </a:p>
            <a:p>
              <a:endParaRPr lang="hr-HR" sz="1100" baseline="0"/>
            </a:p>
            <a:p>
              <a:r>
                <a:rPr lang="hr-HR" sz="1100" baseline="0"/>
                <a:t>PROVJERA TABLICE:</a:t>
              </a:r>
            </a:p>
            <a:p>
              <a:r>
                <a:rPr lang="hr-HR" sz="1100" baseline="0"/>
                <a:t>zadnji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t> treba biti jednak nula</a:t>
              </a:r>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latin typeface="Cambria Math" panose="02040503050406030204" pitchFamily="18" charset="0"/>
                          </a:rPr>
                        </m:ctrlPr>
                      </m:naryPr>
                      <m:sub/>
                      <m:sup/>
                      <m:e>
                        <m:sSub>
                          <m:sSubPr>
                            <m:ctrlPr>
                              <a:rPr lang="hr-HR" sz="1100" i="1" baseline="0">
                                <a:latin typeface="Cambria Math" panose="02040503050406030204" pitchFamily="18" charset="0"/>
                              </a:rPr>
                            </m:ctrlPr>
                          </m:sSubPr>
                          <m:e>
                            <m:r>
                              <a:rPr lang="hr-HR" sz="1100" b="0" i="1" baseline="0">
                                <a:latin typeface="Cambria Math" panose="02040503050406030204" pitchFamily="18" charset="0"/>
                              </a:rPr>
                              <m:t>𝑅</m:t>
                            </m:r>
                          </m:e>
                          <m:sub>
                            <m:r>
                              <a:rPr lang="hr-HR" sz="1100" b="0" i="1" baseline="0">
                                <a:latin typeface="Cambria Math" panose="02040503050406030204" pitchFamily="18" charset="0"/>
                              </a:rPr>
                              <m:t>𝑘</m:t>
                            </m:r>
                          </m:sub>
                        </m:sSub>
                      </m:e>
                    </m:nary>
                    <m:r>
                      <a:rPr lang="hr-HR" sz="1100" b="0" i="1" baseline="0">
                        <a:latin typeface="Cambria Math" panose="02040503050406030204" pitchFamily="18" charset="0"/>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m:oMathPara>
              </a14:m>
              <a:endParaRPr lang="hr-HR" sz="1100" baseline="0"/>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r>
                          <a:rPr lang="hr-HR" sz="1100" i="1" baseline="0">
                            <a:solidFill>
                              <a:schemeClr val="dk1"/>
                            </a:solidFill>
                            <a:effectLst/>
                            <a:latin typeface="Cambria Math" panose="02040503050406030204" pitchFamily="18" charset="0"/>
                            <a:ea typeface="+mn-ea"/>
                            <a:cs typeface="+mn-cs"/>
                          </a:rPr>
                          <m:t>𝑎</m:t>
                        </m:r>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e>
                    </m:nary>
                  </m:oMath>
                </m:oMathPara>
              </a14:m>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Choice>
      <mc:Fallback xmlns="">
        <xdr:sp macro="" textlink="">
          <xdr:nvSpPr>
            <xdr:cNvPr id="5" name="TekstniOkvir 4">
              <a:extLst>
                <a:ext uri="{FF2B5EF4-FFF2-40B4-BE49-F238E27FC236}">
                  <a16:creationId xmlns:a16="http://schemas.microsoft.com/office/drawing/2014/main" id="{54634525-DE09-488E-BC1B-5A7752A61B9A}"/>
                </a:ext>
              </a:extLst>
            </xdr:cNvPr>
            <xdr:cNvSpPr txBox="1"/>
          </xdr:nvSpPr>
          <xdr:spPr>
            <a:xfrm>
              <a:off x="609600" y="23939500"/>
              <a:ext cx="6753398" cy="616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podsjeća na KAIRO.</a:t>
              </a:r>
            </a:p>
            <a:p>
              <a:r>
                <a:rPr lang="hr-HR" sz="1100" b="0" i="0">
                  <a:latin typeface="Cambria Math" panose="02040503050406030204" pitchFamily="18" charset="0"/>
                </a:rPr>
                <a:t>𝑘</a:t>
              </a:r>
              <a:r>
                <a:rPr lang="hr-HR" sz="1100"/>
                <a:t> je redni broj anuiteta, kreće od broja 0</a:t>
              </a:r>
            </a:p>
            <a:p>
              <a:r>
                <a:rPr lang="hr-HR" sz="1100" b="0" i="0">
                  <a:latin typeface="Cambria Math" panose="02040503050406030204" pitchFamily="18" charset="0"/>
                </a:rPr>
                <a:t>𝑎</a:t>
              </a:r>
              <a:r>
                <a:rPr lang="hr-HR" sz="1100"/>
                <a:t> iznos</a:t>
              </a:r>
              <a:r>
                <a:rPr lang="hr-HR" sz="1100" baseline="0"/>
                <a:t> anuiteta (unesite s pozitivnim predznakom)</a:t>
              </a:r>
            </a:p>
            <a:p>
              <a:pPr eaLnBrk="1" fontAlgn="auto" latinLnBrk="0" hangingPunct="1"/>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 otplatna kvota (otplata glavnice) u k-tom otplatnom razdoblju</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𝐶_𝑘</a:t>
              </a:r>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anuiteta </a:t>
              </a:r>
              <a:r>
                <a:rPr lang="hr-HR" sz="1100" b="0" i="0" baseline="0">
                  <a:latin typeface="Cambria Math" panose="02040503050406030204" pitchFamily="18" charset="0"/>
                </a:rPr>
                <a:t>𝑎</a:t>
              </a:r>
              <a:r>
                <a:rPr lang="hr-HR" sz="1100" baseline="0"/>
                <a:t> za sva razdoblja otplate, ali u pozitivnom iznosu.</a:t>
              </a:r>
            </a:p>
            <a:p>
              <a:r>
                <a:rPr lang="hr-HR" sz="1100" baseline="0"/>
                <a:t>Popunjavanje 1. retka:</a:t>
              </a:r>
            </a:p>
            <a:p>
              <a:r>
                <a:rPr lang="hr-HR" sz="1100" baseline="0"/>
                <a:t>Kamata </a:t>
              </a:r>
              <a:r>
                <a:rPr lang="hr-HR" sz="1100" b="0" i="0" baseline="0">
                  <a:solidFill>
                    <a:schemeClr val="dk1"/>
                  </a:solidFill>
                  <a:effectLst/>
                  <a:latin typeface="Cambria Math" panose="02040503050406030204" pitchFamily="18" charset="0"/>
                  <a:ea typeface="+mn-ea"/>
                  <a:cs typeface="+mn-cs"/>
                </a:rPr>
                <a:t>𝐼_1=</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Cambria Math" panose="02040503050406030204" pitchFamily="18" charset="0"/>
                  <a:ea typeface="Cambria Math" panose="02040503050406030204" pitchFamily="18" charset="0"/>
                  <a:cs typeface="+mn-cs"/>
                </a:rPr>
                <a:t>∙𝑝</a:t>
              </a:r>
              <a:r>
                <a:rPr lang="en-US" sz="1100" b="0" i="0" baseline="0">
                  <a:solidFill>
                    <a:schemeClr val="dk1"/>
                  </a:solidFill>
                  <a:effectLst/>
                  <a:latin typeface="Cambria Math" panose="02040503050406030204" pitchFamily="18" charset="0"/>
                  <a:ea typeface="Cambria Math" panose="02040503050406030204" pitchFamily="18" charset="0"/>
                  <a:cs typeface="+mn-cs"/>
                </a:rPr>
                <a:t>;2)</a:t>
              </a:r>
              <a:r>
                <a:rPr lang="hr-HR" sz="1100" i="0" baseline="0">
                  <a:solidFill>
                    <a:schemeClr val="dk1"/>
                  </a:solidFill>
                  <a:effectLst/>
                  <a:latin typeface="+mn-lt"/>
                  <a:ea typeface="+mn-ea"/>
                  <a:cs typeface="+mn-cs"/>
                </a:rPr>
                <a:t>. (jer je </a:t>
              </a:r>
              <a:r>
                <a:rPr lang="hr-HR" sz="1100" b="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zapisan kao </a:t>
              </a:r>
              <a:r>
                <a:rPr lang="hr-HR" sz="1100" b="0" i="0" baseline="0">
                  <a:solidFill>
                    <a:schemeClr val="dk1"/>
                  </a:solidFill>
                  <a:effectLst/>
                  <a:latin typeface="Cambria Math" panose="02040503050406030204" pitchFamily="18" charset="0"/>
                  <a:ea typeface="+mn-ea"/>
                  <a:cs typeface="+mn-cs"/>
                </a:rPr>
                <a:t>𝑝=5%</a:t>
              </a:r>
              <a:r>
                <a:rPr lang="hr-HR" sz="1100" i="0" baseline="0">
                  <a:solidFill>
                    <a:schemeClr val="dk1"/>
                  </a:solidFill>
                  <a:effectLst/>
                  <a:latin typeface="+mn-lt"/>
                  <a:ea typeface="+mn-ea"/>
                  <a:cs typeface="+mn-cs"/>
                </a:rPr>
                <a:t> što je jednako </a:t>
              </a:r>
              <a:r>
                <a:rPr lang="hr-HR" sz="1100" b="0" i="0" baseline="0">
                  <a:solidFill>
                    <a:schemeClr val="dk1"/>
                  </a:solidFill>
                  <a:effectLst/>
                  <a:latin typeface="Cambria Math" panose="02040503050406030204" pitchFamily="18" charset="0"/>
                  <a:ea typeface="+mn-ea"/>
                  <a:cs typeface="+mn-cs"/>
                </a:rPr>
                <a:t>𝑝=0,05</a:t>
              </a:r>
              <a:r>
                <a:rPr lang="hr-HR" sz="1100" i="0" baseline="0">
                  <a:solidFill>
                    <a:schemeClr val="dk1"/>
                  </a:solidFill>
                  <a:effectLst/>
                  <a:latin typeface="+mn-lt"/>
                  <a:ea typeface="+mn-ea"/>
                  <a:cs typeface="+mn-cs"/>
                </a:rPr>
                <a:t> pa nema potrebe dijeliti izraz sa 100 i koristiti formulu </a:t>
              </a:r>
              <a:r>
                <a:rPr lang="hr-HR" sz="1100" b="0" i="0" baseline="0">
                  <a:solidFill>
                    <a:schemeClr val="dk1"/>
                  </a:solidFill>
                  <a:effectLst/>
                  <a:latin typeface="Cambria Math" panose="02040503050406030204" pitchFamily="18" charset="0"/>
                  <a:ea typeface="+mn-ea"/>
                  <a:cs typeface="+mn-cs"/>
                </a:rPr>
                <a:t>𝐼_1=(𝐶_0∙𝑝</a:t>
              </a:r>
              <a:r>
                <a:rPr lang="hr-HR" sz="1100" b="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)/100</a:t>
              </a:r>
              <a:r>
                <a:rPr lang="hr-HR" sz="1100"/>
                <a:t>). Napomena:</a:t>
              </a:r>
              <a:r>
                <a:rPr lang="hr-HR" sz="1100" baseline="0"/>
                <a:t> koristite naredbu </a:t>
              </a:r>
              <a:r>
                <a:rPr lang="hr-HR" sz="1100" b="1" baseline="0"/>
                <a:t>=ROUND(   ;2)</a:t>
              </a:r>
              <a:endParaRPr lang="hr-HR" sz="1100" b="1"/>
            </a:p>
            <a:p>
              <a:r>
                <a:rPr lang="hr-HR" sz="1100"/>
                <a:t>Otplatna kvota je otplata glavnice </a:t>
              </a:r>
              <a:r>
                <a:rPr lang="hr-HR" sz="1100" b="0" i="0" baseline="0">
                  <a:solidFill>
                    <a:schemeClr val="dk1"/>
                  </a:solidFill>
                  <a:effectLst/>
                  <a:latin typeface="Cambria Math" panose="02040503050406030204" pitchFamily="18" charset="0"/>
                  <a:ea typeface="+mn-ea"/>
                  <a:cs typeface="+mn-cs"/>
                </a:rPr>
                <a:t>𝑅_1=</a:t>
              </a: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−𝐼_1</a:t>
              </a:r>
              <a:r>
                <a:rPr lang="hr-HR" sz="1100"/>
                <a:t>.</a:t>
              </a:r>
            </a:p>
            <a:p>
              <a:r>
                <a:rPr lang="hr-HR" sz="1100"/>
                <a:t>Ostatak duga nakon</a:t>
              </a:r>
              <a:r>
                <a:rPr lang="hr-HR" sz="1100" baseline="0"/>
                <a:t> prvog otplaćenog anuiteta iznosi </a:t>
              </a:r>
              <a:r>
                <a:rPr lang="hr-HR" sz="1100" b="0" i="0" baseline="0">
                  <a:solidFill>
                    <a:schemeClr val="dk1"/>
                  </a:solidFill>
                  <a:effectLst/>
                  <a:latin typeface="Cambria Math" panose="02040503050406030204" pitchFamily="18" charset="0"/>
                  <a:ea typeface="+mn-ea"/>
                  <a:cs typeface="+mn-cs"/>
                </a:rPr>
                <a:t>𝐶_1=𝐶_0−𝑅_1</a:t>
              </a:r>
              <a:r>
                <a:rPr lang="hr-HR" sz="1100"/>
                <a:t>.</a:t>
              </a:r>
            </a:p>
            <a:p>
              <a:endParaRPr lang="hr-HR" sz="1100"/>
            </a:p>
            <a:p>
              <a:r>
                <a:rPr lang="hr-HR" sz="1100"/>
                <a:t>Nakon toga se</a:t>
              </a:r>
              <a:r>
                <a:rPr lang="hr-HR" sz="1100" baseline="0"/>
                <a:t> popunjavaju ostali retci: </a:t>
              </a:r>
            </a:p>
            <a:p>
              <a:pPr/>
              <a:r>
                <a:rPr lang="hr-HR" sz="1100" b="0" i="0" baseline="0">
                  <a:solidFill>
                    <a:schemeClr val="dk1"/>
                  </a:solidFill>
                  <a:effectLst/>
                  <a:latin typeface="Cambria Math" panose="02040503050406030204" pitchFamily="18" charset="0"/>
                  <a:ea typeface="+mn-ea"/>
                  <a:cs typeface="+mn-cs"/>
                </a:rPr>
                <a:t>𝐼_𝑘=</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𝐶_(𝑘−1)∙𝑝</a:t>
              </a:r>
              <a:r>
                <a:rPr lang="en-US" sz="1100" b="0" i="0" baseline="0">
                  <a:solidFill>
                    <a:schemeClr val="dk1"/>
                  </a:solidFill>
                  <a:effectLst/>
                  <a:latin typeface="Cambria Math" panose="02040503050406030204" pitchFamily="18" charset="0"/>
                  <a:ea typeface="+mn-ea"/>
                  <a:cs typeface="+mn-cs"/>
                </a:rPr>
                <a:t>;2)</a:t>
              </a:r>
              <a:endParaRPr lang="hr-HR" sz="1100"/>
            </a:p>
            <a:p>
              <a:pP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−𝐼_𝑘</a:t>
              </a:r>
              <a:endParaRPr lang="hr-HR" sz="1100"/>
            </a:p>
            <a:p>
              <a:r>
                <a:rPr lang="hr-HR" sz="1100" b="0" i="0" baseline="0">
                  <a:solidFill>
                    <a:schemeClr val="dk1"/>
                  </a:solidFill>
                  <a:effectLst/>
                  <a:latin typeface="Cambria Math" panose="02040503050406030204" pitchFamily="18" charset="0"/>
                  <a:ea typeface="+mn-ea"/>
                  <a:cs typeface="+mn-cs"/>
                </a:rPr>
                <a:t>𝐶_𝑘=𝐶_(𝑘−1)−𝑅_𝑘</a:t>
              </a:r>
              <a:r>
                <a:rPr lang="hr-HR" sz="1100"/>
                <a:t>.</a:t>
              </a:r>
            </a:p>
            <a:p>
              <a:r>
                <a:rPr lang="hr-HR" sz="1100"/>
                <a:t>U excelu je dovoljno popuniti prvi redak</a:t>
              </a:r>
              <a:r>
                <a:rPr lang="hr-HR" sz="1100" baseline="0"/>
                <a:t> i potom kopirati/razvući u ostale retke. Pazite da usidrite s F4 odgovarajuće podatke (kamatnu stopu).</a:t>
              </a:r>
            </a:p>
            <a:p>
              <a:endParaRPr lang="hr-HR" sz="1100" baseline="0"/>
            </a:p>
            <a:p>
              <a:r>
                <a:rPr lang="hr-HR" sz="1100" baseline="0"/>
                <a:t>PROVJERA TABLICE:</a:t>
              </a:r>
            </a:p>
            <a:p>
              <a:r>
                <a:rPr lang="hr-HR" sz="1100" baseline="0"/>
                <a:t>zadnji ostatak duga </a:t>
              </a:r>
              <a:r>
                <a:rPr lang="hr-HR" sz="1100" b="0" i="0" baseline="0">
                  <a:solidFill>
                    <a:schemeClr val="dk1"/>
                  </a:solidFill>
                  <a:effectLst/>
                  <a:latin typeface="Cambria Math" panose="02040503050406030204" pitchFamily="18" charset="0"/>
                  <a:ea typeface="+mn-ea"/>
                  <a:cs typeface="+mn-cs"/>
                </a:rPr>
                <a:t>𝐶_𝑛</a:t>
              </a:r>
              <a:r>
                <a:rPr lang="hr-HR" sz="1100" baseline="0"/>
                <a:t> treba biti jednak nula</a:t>
              </a:r>
            </a:p>
            <a:p>
              <a:pPr/>
              <a:r>
                <a:rPr lang="hr-HR" sz="1100" i="0" baseline="0">
                  <a:latin typeface="Cambria Math" panose="02040503050406030204" pitchFamily="18" charset="0"/>
                </a:rPr>
                <a:t>∑</a:t>
              </a:r>
              <a:r>
                <a:rPr lang="hr-HR" sz="1100" b="0" i="0" baseline="0">
                  <a:latin typeface="Cambria Math" panose="02040503050406030204" pitchFamily="18" charset="0"/>
                </a:rPr>
                <a:t>▒𝑅_𝑘 =</a:t>
              </a:r>
              <a:r>
                <a:rPr lang="hr-HR" sz="1100" b="0" i="0" baseline="0">
                  <a:solidFill>
                    <a:schemeClr val="dk1"/>
                  </a:solidFill>
                  <a:effectLst/>
                  <a:latin typeface="Cambria Math" panose="02040503050406030204" pitchFamily="18" charset="0"/>
                  <a:ea typeface="+mn-ea"/>
                  <a:cs typeface="+mn-cs"/>
                </a:rPr>
                <a:t>𝐶_0</a:t>
              </a:r>
              <a:endParaRPr lang="hr-HR" sz="1100" baseline="0"/>
            </a:p>
            <a:p>
              <a:pP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▒𝐼_𝑘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▒𝑅_𝑘 </a:t>
              </a:r>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Fallback>
    </mc:AlternateContent>
    <xdr:clientData/>
  </xdr:twoCellAnchor>
  <xdr:twoCellAnchor>
    <xdr:from>
      <xdr:col>1</xdr:col>
      <xdr:colOff>0</xdr:colOff>
      <xdr:row>166</xdr:row>
      <xdr:rowOff>0</xdr:rowOff>
    </xdr:from>
    <xdr:to>
      <xdr:col>9</xdr:col>
      <xdr:colOff>587201</xdr:colOff>
      <xdr:row>170</xdr:row>
      <xdr:rowOff>0</xdr:rowOff>
    </xdr:to>
    <mc:AlternateContent xmlns:mc="http://schemas.openxmlformats.org/markup-compatibility/2006" xmlns:a14="http://schemas.microsoft.com/office/drawing/2010/main">
      <mc:Choice Requires="a14">
        <xdr:sp macro="" textlink="">
          <xdr:nvSpPr>
            <xdr:cNvPr id="6" name="TekstniOkvir 5">
              <a:extLst>
                <a:ext uri="{FF2B5EF4-FFF2-40B4-BE49-F238E27FC236}">
                  <a16:creationId xmlns:a16="http://schemas.microsoft.com/office/drawing/2014/main" id="{743FF4E8-4104-4567-8549-12E0D3824CA1}"/>
                </a:ext>
              </a:extLst>
            </xdr:cNvPr>
            <xdr:cNvSpPr txBox="1"/>
          </xdr:nvSpPr>
          <xdr:spPr>
            <a:xfrm>
              <a:off x="609600" y="30568900"/>
              <a:ext cx="5464001"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Ako tijekom otplate dođe do bilo kakve promjene</a:t>
              </a:r>
              <a:r>
                <a:rPr lang="hr-HR" sz="1100" baseline="0"/>
                <a:t> uvjeta kreditiranja tada se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baseline="0"/>
                <a:t> u tom trenutku računa kao novi kredit za preostalo razdoblje.</a:t>
              </a:r>
            </a:p>
            <a:p>
              <a:endParaRPr lang="hr-HR" sz="1100" baseline="0"/>
            </a:p>
            <a:p>
              <a:endParaRPr lang="hr-HR" sz="1100" baseline="0"/>
            </a:p>
          </xdr:txBody>
        </xdr:sp>
      </mc:Choice>
      <mc:Fallback xmlns="">
        <xdr:sp macro="" textlink="">
          <xdr:nvSpPr>
            <xdr:cNvPr id="6" name="TekstniOkvir 5">
              <a:extLst>
                <a:ext uri="{FF2B5EF4-FFF2-40B4-BE49-F238E27FC236}">
                  <a16:creationId xmlns:a16="http://schemas.microsoft.com/office/drawing/2014/main" id="{743FF4E8-4104-4567-8549-12E0D3824CA1}"/>
                </a:ext>
              </a:extLst>
            </xdr:cNvPr>
            <xdr:cNvSpPr txBox="1"/>
          </xdr:nvSpPr>
          <xdr:spPr>
            <a:xfrm>
              <a:off x="609600" y="30568900"/>
              <a:ext cx="5464001"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Ako tijekom otplate dođe do bilo kakve promjene</a:t>
              </a:r>
              <a:r>
                <a:rPr lang="hr-HR" sz="1100" baseline="0"/>
                <a:t> uvjeta kreditiranja tada se ostatak duga </a:t>
              </a:r>
              <a:r>
                <a:rPr lang="hr-HR" sz="1100" b="0" i="0" baseline="0">
                  <a:solidFill>
                    <a:schemeClr val="dk1"/>
                  </a:solidFill>
                  <a:effectLst/>
                  <a:latin typeface="Cambria Math" panose="02040503050406030204" pitchFamily="18" charset="0"/>
                  <a:ea typeface="+mn-ea"/>
                  <a:cs typeface="+mn-cs"/>
                </a:rPr>
                <a:t>𝐶_𝑘</a:t>
              </a:r>
              <a:r>
                <a:rPr lang="hr-HR" sz="1100" baseline="0"/>
                <a:t> u tom trenutku računa kao novi kredit za preostalo razdoblje.</a:t>
              </a:r>
            </a:p>
            <a:p>
              <a:endParaRPr lang="hr-HR" sz="1100" baseline="0"/>
            </a:p>
            <a:p>
              <a:endParaRPr lang="hr-HR" sz="1100" baseline="0"/>
            </a:p>
          </xdr:txBody>
        </xdr:sp>
      </mc:Fallback>
    </mc:AlternateContent>
    <xdr:clientData/>
  </xdr:twoCellAnchor>
  <xdr:twoCellAnchor>
    <xdr:from>
      <xdr:col>1</xdr:col>
      <xdr:colOff>0</xdr:colOff>
      <xdr:row>171</xdr:row>
      <xdr:rowOff>0</xdr:rowOff>
    </xdr:from>
    <xdr:to>
      <xdr:col>14</xdr:col>
      <xdr:colOff>76950</xdr:colOff>
      <xdr:row>187</xdr:row>
      <xdr:rowOff>97155</xdr:rowOff>
    </xdr:to>
    <mc:AlternateContent xmlns:mc="http://schemas.openxmlformats.org/markup-compatibility/2006" xmlns:a14="http://schemas.microsoft.com/office/drawing/2010/main">
      <mc:Choice Requires="a14">
        <xdr:sp macro="" textlink="">
          <xdr:nvSpPr>
            <xdr:cNvPr id="7" name="TekstniOkvir 6">
              <a:extLst>
                <a:ext uri="{FF2B5EF4-FFF2-40B4-BE49-F238E27FC236}">
                  <a16:creationId xmlns:a16="http://schemas.microsoft.com/office/drawing/2014/main" id="{1058A1F5-5B50-4FB5-8F6A-F901AB252DE9}"/>
                </a:ext>
              </a:extLst>
            </xdr:cNvPr>
            <xdr:cNvSpPr txBox="1"/>
          </xdr:nvSpPr>
          <xdr:spPr>
            <a:xfrm>
              <a:off x="609600" y="31489650"/>
              <a:ext cx="8001750" cy="304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Osim metode jednakih anuiteta postoji </a:t>
              </a:r>
              <a:r>
                <a:rPr lang="hr-HR" sz="1100" b="1" i="0" baseline="0">
                  <a:solidFill>
                    <a:schemeClr val="dk1"/>
                  </a:solidFill>
                  <a:effectLst/>
                  <a:latin typeface="+mn-lt"/>
                  <a:ea typeface="+mn-ea"/>
                  <a:cs typeface="+mn-cs"/>
                </a:rPr>
                <a:t>metoda jednakih otplatnih kvota</a:t>
              </a:r>
              <a:r>
                <a:rPr lang="hr-HR" sz="1100" i="0" baseline="0">
                  <a:solidFill>
                    <a:schemeClr val="dk1"/>
                  </a:solidFill>
                  <a:effectLst/>
                  <a:latin typeface="+mn-lt"/>
                  <a:ea typeface="+mn-ea"/>
                  <a:cs typeface="+mn-cs"/>
                </a:rPr>
                <a:t>. Kod te metode prvo se izračuna otplatna kvota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𝑅𝑂𝑈𝑁𝐷</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𝑛</m:t>
                      </m:r>
                    </m:den>
                  </m:f>
                  <m:r>
                    <a:rPr lang="hr-HR" sz="1100" b="0" i="1" baseline="0">
                      <a:solidFill>
                        <a:schemeClr val="dk1"/>
                      </a:solidFill>
                      <a:effectLst/>
                      <a:latin typeface="Cambria Math" panose="02040503050406030204" pitchFamily="18" charset="0"/>
                      <a:ea typeface="+mn-ea"/>
                      <a:cs typeface="+mn-cs"/>
                    </a:rPr>
                    <m:t>;2)</m:t>
                  </m:r>
                </m:oMath>
              </a14:m>
              <a:r>
                <a:rPr lang="hr-HR" sz="1100" i="0" baseline="0">
                  <a:solidFill>
                    <a:schemeClr val="dk1"/>
                  </a:solidFill>
                  <a:effectLst/>
                  <a:latin typeface="+mn-lt"/>
                  <a:ea typeface="+mn-ea"/>
                  <a:cs typeface="+mn-cs"/>
                </a:rPr>
                <a:t>, a potom se za potrebe otplatne tablice računaju anuiteti i kamate u pojedinom razdoblju.</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Važno: kod ove metode anuiteti se smanjuju što se kredit više otplaćuje.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Oznake su vrlo slične metodi jednakih anuiteta: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r>
                    <m:rPr>
                      <m:nor/>
                    </m:rPr>
                    <a:rPr lang="hr-HR" sz="1100" i="0" baseline="0">
                      <a:solidFill>
                        <a:schemeClr val="dk1"/>
                      </a:solidFill>
                      <a:effectLst/>
                      <a:latin typeface="+mn-lt"/>
                      <a:ea typeface="+mn-ea"/>
                      <a:cs typeface="+mn-cs"/>
                    </a:rPr>
                    <m:t> </m:t>
                  </m:r>
                </m:oMath>
              </a14:m>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𝑟</m:t>
                  </m:r>
                </m:oMath>
              </a14:m>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ako se radi o mjesečnim, kvartalnim ili polugodišnjim uplatama anuiteta ne zaboravite odrediti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𝑚</m:t>
                  </m:r>
                </m:oMath>
              </a14:m>
              <a:r>
                <a:rPr lang="hr-HR" sz="1100" baseline="0">
                  <a:solidFill>
                    <a:schemeClr val="dk1"/>
                  </a:solidFill>
                  <a:effectLst/>
                  <a:latin typeface="+mn-lt"/>
                  <a:ea typeface="+mn-ea"/>
                  <a:cs typeface="+mn-cs"/>
                </a:rPr>
                <a:t> i potom odgovarajuće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 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a:t>
              </a:r>
            </a:p>
          </xdr:txBody>
        </xdr:sp>
      </mc:Choice>
      <mc:Fallback xmlns="">
        <xdr:sp macro="" textlink="">
          <xdr:nvSpPr>
            <xdr:cNvPr id="7" name="TekstniOkvir 6">
              <a:extLst>
                <a:ext uri="{FF2B5EF4-FFF2-40B4-BE49-F238E27FC236}">
                  <a16:creationId xmlns:a16="http://schemas.microsoft.com/office/drawing/2014/main" id="{1058A1F5-5B50-4FB5-8F6A-F901AB252DE9}"/>
                </a:ext>
              </a:extLst>
            </xdr:cNvPr>
            <xdr:cNvSpPr txBox="1"/>
          </xdr:nvSpPr>
          <xdr:spPr>
            <a:xfrm>
              <a:off x="609600" y="31489650"/>
              <a:ext cx="8001750" cy="304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Osim metode jednakih anuiteta postoji </a:t>
              </a:r>
              <a:r>
                <a:rPr lang="hr-HR" sz="1100" b="1" i="0" baseline="0">
                  <a:solidFill>
                    <a:schemeClr val="dk1"/>
                  </a:solidFill>
                  <a:effectLst/>
                  <a:latin typeface="+mn-lt"/>
                  <a:ea typeface="+mn-ea"/>
                  <a:cs typeface="+mn-cs"/>
                </a:rPr>
                <a:t>metoda jednakih otplatnih kvota</a:t>
              </a:r>
              <a:r>
                <a:rPr lang="hr-HR" sz="1100" i="0" baseline="0">
                  <a:solidFill>
                    <a:schemeClr val="dk1"/>
                  </a:solidFill>
                  <a:effectLst/>
                  <a:latin typeface="+mn-lt"/>
                  <a:ea typeface="+mn-ea"/>
                  <a:cs typeface="+mn-cs"/>
                </a:rPr>
                <a:t>. Kod te metode prvo se izračuna otplatna kvota </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=𝑅𝑂𝑈𝑁𝐷((𝐶_0</a:t>
              </a:r>
              <a:r>
                <a:rPr lang="hr-HR" sz="1100" b="0" i="0" baseline="0">
                  <a:solidFill>
                    <a:schemeClr val="dk1"/>
                  </a:solidFill>
                  <a:effectLst/>
                  <a:latin typeface="+mn-lt"/>
                  <a:ea typeface="+mn-ea"/>
                  <a:cs typeface="+mn-cs"/>
                </a:rPr>
                <a:t> "</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)/𝑛;2)</a:t>
              </a:r>
              <a:r>
                <a:rPr lang="hr-HR" sz="1100" i="0" baseline="0">
                  <a:solidFill>
                    <a:schemeClr val="dk1"/>
                  </a:solidFill>
                  <a:effectLst/>
                  <a:latin typeface="+mn-lt"/>
                  <a:ea typeface="+mn-ea"/>
                  <a:cs typeface="+mn-cs"/>
                </a:rPr>
                <a:t>, a potom se za potrebe otplatne tablice računaju anuiteti i kamate u pojedinom razdoblju.</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Važno: kod ove metode anuiteti se smanjuju što se kredit više otplaćuje.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Oznake su vrlo slične metodi jednakih anuiteta:</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𝑎_𝑘</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𝑟</a:t>
              </a:r>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ako se radi o mjesečnim, kvartalnim ili polugodišnjim uplatama anuiteta ne zaboravite odrediti </a:t>
              </a:r>
              <a:r>
                <a:rPr lang="hr-HR" sz="1100" b="0" i="0" baseline="0">
                  <a:solidFill>
                    <a:schemeClr val="dk1"/>
                  </a:solidFill>
                  <a:effectLst/>
                  <a:latin typeface="Cambria Math" panose="02040503050406030204" pitchFamily="18" charset="0"/>
                  <a:ea typeface="+mn-ea"/>
                  <a:cs typeface="+mn-cs"/>
                </a:rPr>
                <a:t>𝑚</a:t>
              </a:r>
              <a:r>
                <a:rPr lang="hr-HR" sz="1100" baseline="0">
                  <a:solidFill>
                    <a:schemeClr val="dk1"/>
                  </a:solidFill>
                  <a:effectLst/>
                  <a:latin typeface="+mn-lt"/>
                  <a:ea typeface="+mn-ea"/>
                  <a:cs typeface="+mn-cs"/>
                </a:rPr>
                <a:t> i potom odgovarajuće </a:t>
              </a:r>
              <a:r>
                <a:rPr lang="hr-HR" sz="1100" b="0" i="0" baseline="0">
                  <a:solidFill>
                    <a:schemeClr val="dk1"/>
                  </a:solidFill>
                  <a:effectLst/>
                  <a:latin typeface="Cambria Math" panose="02040503050406030204" pitchFamily="18" charset="0"/>
                  <a:ea typeface="+mn-ea"/>
                  <a:cs typeface="+mn-cs"/>
                </a:rPr>
                <a:t>𝑝_𝑟</a:t>
              </a:r>
              <a:r>
                <a:rPr lang="hr-HR" sz="110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𝑟_𝑟</a:t>
              </a:r>
              <a:r>
                <a:rPr lang="hr-HR" sz="1100" baseline="0">
                  <a:solidFill>
                    <a:schemeClr val="dk1"/>
                  </a:solidFill>
                  <a:effectLst/>
                  <a:latin typeface="+mn-lt"/>
                  <a:ea typeface="+mn-ea"/>
                  <a:cs typeface="+mn-cs"/>
                </a:rPr>
                <a:t> i </a:t>
              </a:r>
              <a:r>
                <a:rPr lang="hr-HR" sz="1100" b="0" i="0" baseline="0">
                  <a:solidFill>
                    <a:schemeClr val="dk1"/>
                  </a:solidFill>
                  <a:effectLst/>
                  <a:latin typeface="Cambria Math" panose="02040503050406030204" pitchFamily="18" charset="0"/>
                  <a:ea typeface="+mn-ea"/>
                  <a:cs typeface="+mn-cs"/>
                </a:rPr>
                <a:t>𝑛_𝑟</a:t>
              </a:r>
              <a:r>
                <a:rPr lang="hr-HR" sz="1100" baseline="0">
                  <a:solidFill>
                    <a:schemeClr val="dk1"/>
                  </a:solidFill>
                  <a:effectLst/>
                  <a:latin typeface="+mn-lt"/>
                  <a:ea typeface="+mn-ea"/>
                  <a:cs typeface="+mn-cs"/>
                </a:rPr>
                <a:t>.</a:t>
              </a:r>
            </a:p>
          </xdr:txBody>
        </xdr:sp>
      </mc:Fallback>
    </mc:AlternateContent>
    <xdr:clientData/>
  </xdr:twoCellAnchor>
  <xdr:twoCellAnchor>
    <xdr:from>
      <xdr:col>1</xdr:col>
      <xdr:colOff>0</xdr:colOff>
      <xdr:row>189</xdr:row>
      <xdr:rowOff>0</xdr:rowOff>
    </xdr:from>
    <xdr:to>
      <xdr:col>14</xdr:col>
      <xdr:colOff>76950</xdr:colOff>
      <xdr:row>220</xdr:row>
      <xdr:rowOff>144780</xdr:rowOff>
    </xdr:to>
    <mc:AlternateContent xmlns:mc="http://schemas.openxmlformats.org/markup-compatibility/2006" xmlns:a14="http://schemas.microsoft.com/office/drawing/2010/main">
      <mc:Choice Requires="a14">
        <xdr:sp macro="" textlink="">
          <xdr:nvSpPr>
            <xdr:cNvPr id="8" name="TekstniOkvir 7">
              <a:extLst>
                <a:ext uri="{FF2B5EF4-FFF2-40B4-BE49-F238E27FC236}">
                  <a16:creationId xmlns:a16="http://schemas.microsoft.com/office/drawing/2014/main" id="{7968363D-BB4E-456F-A28A-430680D860E3}"/>
                </a:ext>
              </a:extLst>
            </xdr:cNvPr>
            <xdr:cNvSpPr txBox="1"/>
          </xdr:nvSpPr>
          <xdr:spPr>
            <a:xfrm>
              <a:off x="609600" y="34804350"/>
              <a:ext cx="8001750" cy="5853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a:t>
              </a:r>
              <a:r>
                <a:rPr lang="hr-HR" sz="1100" baseline="0">
                  <a:solidFill>
                    <a:schemeClr val="dk1"/>
                  </a:solidFill>
                  <a:effectLst/>
                  <a:latin typeface="+mn-lt"/>
                  <a:ea typeface="+mn-ea"/>
                  <a:cs typeface="+mn-cs"/>
                </a:rPr>
                <a:t>podsjeća</a:t>
              </a:r>
              <a:r>
                <a:rPr lang="hr-HR" sz="1100" baseline="0"/>
                <a:t> na KAIRO.</a:t>
              </a:r>
            </a:p>
            <a:p>
              <a14:m>
                <m:oMath xmlns:m="http://schemas.openxmlformats.org/officeDocument/2006/math">
                  <m:r>
                    <a:rPr lang="hr-HR" sz="1100" b="0" i="1">
                      <a:latin typeface="Cambria Math" panose="02040503050406030204" pitchFamily="18" charset="0"/>
                    </a:rPr>
                    <m:t>𝑘</m:t>
                  </m:r>
                </m:oMath>
              </a14:m>
              <a:r>
                <a:rPr lang="hr-HR" sz="1100"/>
                <a:t> je redni broj anuiteta, kreće od 0</a:t>
              </a:r>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a:t> iznos</a:t>
              </a:r>
              <a:r>
                <a:rPr lang="hr-HR" sz="1100" baseline="0"/>
                <a:t> anuiteta u k-tom razdoblju</a:t>
              </a: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otplatna kvota (otplata glavnice)</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otplatnih kvota </a:t>
              </a:r>
              <a14:m>
                <m:oMath xmlns:m="http://schemas.openxmlformats.org/officeDocument/2006/math">
                  <m:r>
                    <a:rPr lang="hr-HR" sz="1100" b="0" i="1" baseline="0">
                      <a:latin typeface="Cambria Math" panose="02040503050406030204" pitchFamily="18" charset="0"/>
                    </a:rPr>
                    <m:t>𝑅</m:t>
                  </m:r>
                </m:oMath>
              </a14:m>
              <a:r>
                <a:rPr lang="hr-HR" sz="1100" baseline="0"/>
                <a:t> za sva razdoblja otplate.</a:t>
              </a:r>
            </a:p>
            <a:p>
              <a:r>
                <a:rPr lang="hr-HR" sz="1100" baseline="0"/>
                <a:t>Popunjavanje 1. retka:</a:t>
              </a:r>
            </a:p>
            <a:p>
              <a:r>
                <a:rPr lang="hr-HR" sz="1100" baseline="0"/>
                <a:t>Kamata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𝑅𝑂𝑈𝑁𝐷</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Cambria Math" panose="02040503050406030204" pitchFamily="18" charset="0"/>
                      <a:cs typeface="+mn-cs"/>
                    </a:rPr>
                    <m:t>∙</m:t>
                  </m:r>
                  <m:r>
                    <a:rPr lang="en-US" sz="1100" b="0" i="1" baseline="0">
                      <a:solidFill>
                        <a:schemeClr val="dk1"/>
                      </a:solidFill>
                      <a:effectLst/>
                      <a:latin typeface="Cambria Math" panose="02040503050406030204" pitchFamily="18" charset="0"/>
                      <a:ea typeface="Cambria Math" panose="02040503050406030204" pitchFamily="18" charset="0"/>
                      <a:cs typeface="+mn-cs"/>
                    </a:rPr>
                    <m:t>𝑝</m:t>
                  </m:r>
                  <m:r>
                    <a:rPr lang="hr-HR" sz="1100" b="0" i="1" baseline="0">
                      <a:solidFill>
                        <a:schemeClr val="dk1"/>
                      </a:solidFill>
                      <a:effectLst/>
                      <a:latin typeface="Cambria Math" panose="02040503050406030204" pitchFamily="18" charset="0"/>
                      <a:ea typeface="Cambria Math" panose="02040503050406030204" pitchFamily="18" charset="0"/>
                      <a:cs typeface="+mn-cs"/>
                    </a:rPr>
                    <m:t>;2)</m:t>
                  </m:r>
                </m:oMath>
              </a14:m>
              <a:r>
                <a:rPr lang="hr-HR" sz="1100" i="0" baseline="0">
                  <a:solidFill>
                    <a:schemeClr val="dk1"/>
                  </a:solidFill>
                  <a:effectLst/>
                  <a:latin typeface="+mn-lt"/>
                  <a:ea typeface="+mn-ea"/>
                  <a:cs typeface="+mn-cs"/>
                </a:rPr>
                <a:t>. (jer je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zapisan kao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=5%</m:t>
                  </m:r>
                </m:oMath>
              </a14:m>
              <a:r>
                <a:rPr lang="hr-HR" sz="1100" i="0" baseline="0">
                  <a:solidFill>
                    <a:schemeClr val="dk1"/>
                  </a:solidFill>
                  <a:effectLst/>
                  <a:latin typeface="+mn-lt"/>
                  <a:ea typeface="+mn-ea"/>
                  <a:cs typeface="+mn-cs"/>
                </a:rPr>
                <a:t> što je jednako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=0,05</m:t>
                  </m:r>
                </m:oMath>
              </a14:m>
              <a:r>
                <a:rPr lang="hr-HR" sz="1100" i="0" baseline="0">
                  <a:solidFill>
                    <a:schemeClr val="dk1"/>
                  </a:solidFill>
                  <a:effectLst/>
                  <a:latin typeface="+mn-lt"/>
                  <a:ea typeface="+mn-ea"/>
                  <a:cs typeface="+mn-cs"/>
                </a:rPr>
                <a:t> pa nema potrebe dijeliti izraz sa 100 i koristiti formulu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100</m:t>
                      </m:r>
                    </m:den>
                  </m:f>
                </m:oMath>
              </a14:m>
              <a:r>
                <a:rPr lang="hr-HR" sz="1100"/>
                <a:t>).</a:t>
              </a:r>
            </a:p>
            <a:p>
              <a:r>
                <a:rPr lang="hr-HR" sz="1100"/>
                <a:t>Anuitet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r>
                <a:rPr lang="hr-HR" sz="1100"/>
                <a:t>Ostatak duga nakon</a:t>
              </a:r>
              <a:r>
                <a:rPr lang="hr-HR" sz="1100" baseline="0"/>
                <a:t> prvog otplaćenog anuiteta iznosi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oMath>
              </a14:m>
              <a:r>
                <a:rPr lang="hr-HR" sz="1100"/>
                <a:t>.</a:t>
              </a:r>
            </a:p>
            <a:p>
              <a:endParaRPr lang="hr-HR" sz="1100"/>
            </a:p>
            <a:p>
              <a:r>
                <a:rPr lang="hr-HR" sz="1100"/>
                <a:t>Nakon toga se</a:t>
              </a:r>
              <a:r>
                <a:rPr lang="hr-HR" sz="1100" baseline="0"/>
                <a:t> popunjavaju ostali retci: </a:t>
              </a:r>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a:rPr lang="en-US" sz="1100" b="0" i="1" baseline="0">
                        <a:solidFill>
                          <a:schemeClr val="dk1"/>
                        </a:solidFill>
                        <a:effectLst/>
                        <a:latin typeface="Cambria Math" panose="02040503050406030204" pitchFamily="18" charset="0"/>
                        <a:ea typeface="+mn-ea"/>
                        <a:cs typeface="+mn-cs"/>
                      </a:rPr>
                      <m:t>;2)</m:t>
                    </m:r>
                  </m:oMath>
                </m:oMathPara>
              </a14:m>
              <a:endParaRPr lang="hr-HR" sz="1100"/>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m:oMathPara>
              </a14:m>
              <a:endParaRPr lang="hr-HR" sz="1100"/>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oMath>
              </a14:m>
              <a:r>
                <a:rPr lang="hr-HR" sz="1100"/>
                <a:t>.</a:t>
              </a:r>
            </a:p>
            <a:p>
              <a:r>
                <a:rPr lang="hr-HR" sz="1100"/>
                <a:t>U excelu je dovoljno popuniti prvi redak</a:t>
              </a:r>
              <a:r>
                <a:rPr lang="hr-HR" sz="1100" baseline="0"/>
                <a:t> i potom kopirati/razvući u ostale retke. Pazite da usidrite s F4 odgovarajuće podatke.</a:t>
              </a:r>
            </a:p>
            <a:p>
              <a:endParaRPr lang="hr-HR" sz="1100" baseline="0"/>
            </a:p>
            <a:p>
              <a:r>
                <a:rPr lang="hr-HR" sz="1100" baseline="0"/>
                <a:t>PROVJERA TABLICE:</a:t>
              </a:r>
            </a:p>
            <a:p>
              <a:r>
                <a:rPr lang="hr-HR" sz="1100" baseline="0"/>
                <a:t>zadnji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t> treba biti jednak nula</a:t>
              </a:r>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latin typeface="Cambria Math" panose="02040503050406030204" pitchFamily="18" charset="0"/>
                          </a:rPr>
                        </m:ctrlPr>
                      </m:naryPr>
                      <m:sub/>
                      <m:sup/>
                      <m:e>
                        <m:r>
                          <a:rPr lang="hr-HR" sz="1100" i="1" baseline="0">
                            <a:latin typeface="Cambria Math" panose="02040503050406030204" pitchFamily="18" charset="0"/>
                          </a:rPr>
                          <m:t>𝑅</m:t>
                        </m:r>
                      </m:e>
                    </m:nary>
                    <m:r>
                      <a:rPr lang="hr-HR" sz="1100" b="0" i="1" baseline="0">
                        <a:latin typeface="Cambria Math" panose="02040503050406030204" pitchFamily="18" charset="0"/>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m:oMathPara>
              </a14:m>
              <a:endParaRPr lang="hr-HR" sz="1100" baseline="0"/>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r>
                          <a:rPr lang="hr-HR" sz="1100" i="1" baseline="0">
                            <a:solidFill>
                              <a:schemeClr val="dk1"/>
                            </a:solidFill>
                            <a:effectLst/>
                            <a:latin typeface="Cambria Math" panose="02040503050406030204" pitchFamily="18" charset="0"/>
                            <a:ea typeface="+mn-ea"/>
                            <a:cs typeface="+mn-cs"/>
                          </a:rPr>
                          <m:t>𝑅</m:t>
                        </m:r>
                      </m:e>
                    </m:nary>
                  </m:oMath>
                </m:oMathPara>
              </a14:m>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Choice>
      <mc:Fallback xmlns="">
        <xdr:sp macro="" textlink="">
          <xdr:nvSpPr>
            <xdr:cNvPr id="8" name="TekstniOkvir 7">
              <a:extLst>
                <a:ext uri="{FF2B5EF4-FFF2-40B4-BE49-F238E27FC236}">
                  <a16:creationId xmlns:a16="http://schemas.microsoft.com/office/drawing/2014/main" id="{7968363D-BB4E-456F-A28A-430680D860E3}"/>
                </a:ext>
              </a:extLst>
            </xdr:cNvPr>
            <xdr:cNvSpPr txBox="1"/>
          </xdr:nvSpPr>
          <xdr:spPr>
            <a:xfrm>
              <a:off x="609600" y="34804350"/>
              <a:ext cx="8001750" cy="5853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a:t>
              </a:r>
              <a:r>
                <a:rPr lang="hr-HR" sz="1100" baseline="0">
                  <a:solidFill>
                    <a:schemeClr val="dk1"/>
                  </a:solidFill>
                  <a:effectLst/>
                  <a:latin typeface="+mn-lt"/>
                  <a:ea typeface="+mn-ea"/>
                  <a:cs typeface="+mn-cs"/>
                </a:rPr>
                <a:t>podsjeća</a:t>
              </a:r>
              <a:r>
                <a:rPr lang="hr-HR" sz="1100" baseline="0"/>
                <a:t> na KAIRO.</a:t>
              </a:r>
            </a:p>
            <a:p>
              <a:r>
                <a:rPr lang="hr-HR" sz="1100" b="0" i="0">
                  <a:latin typeface="Cambria Math" panose="02040503050406030204" pitchFamily="18" charset="0"/>
                </a:rPr>
                <a:t>𝑘</a:t>
              </a:r>
              <a:r>
                <a:rPr lang="hr-HR" sz="1100"/>
                <a:t> je redni broj anuiteta, kreće od 0</a:t>
              </a:r>
            </a:p>
            <a:p>
              <a:r>
                <a:rPr lang="hr-HR" sz="1100" b="0" i="0" baseline="0">
                  <a:solidFill>
                    <a:schemeClr val="dk1"/>
                  </a:solidFill>
                  <a:effectLst/>
                  <a:latin typeface="Cambria Math" panose="02040503050406030204" pitchFamily="18" charset="0"/>
                  <a:ea typeface="+mn-ea"/>
                  <a:cs typeface="+mn-cs"/>
                </a:rPr>
                <a:t>𝑎_𝑘</a:t>
              </a:r>
              <a:r>
                <a:rPr lang="hr-HR" sz="1100"/>
                <a:t> iznos</a:t>
              </a:r>
              <a:r>
                <a:rPr lang="hr-HR" sz="1100" baseline="0"/>
                <a:t> anuiteta u k-tom razdoblju</a:t>
              </a:r>
            </a:p>
            <a:p>
              <a:pPr eaLnBrk="1" fontAlgn="auto" latinLnBrk="0" hangingPunct="1"/>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otplatna kvota (otplata glavnice)</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𝐶_𝑘</a:t>
              </a:r>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otplatnih kvota </a:t>
              </a:r>
              <a:r>
                <a:rPr lang="hr-HR" sz="1100" b="0" i="0" baseline="0">
                  <a:latin typeface="Cambria Math" panose="02040503050406030204" pitchFamily="18" charset="0"/>
                </a:rPr>
                <a:t>𝑅</a:t>
              </a:r>
              <a:r>
                <a:rPr lang="hr-HR" sz="1100" baseline="0"/>
                <a:t> za sva razdoblja otplate.</a:t>
              </a:r>
            </a:p>
            <a:p>
              <a:r>
                <a:rPr lang="hr-HR" sz="1100" baseline="0"/>
                <a:t>Popunjavanje 1. retka:</a:t>
              </a:r>
            </a:p>
            <a:p>
              <a:r>
                <a:rPr lang="hr-HR" sz="1100" baseline="0"/>
                <a:t>Kamata </a:t>
              </a:r>
              <a:r>
                <a:rPr lang="hr-HR" sz="1100" b="0" i="0" baseline="0">
                  <a:solidFill>
                    <a:schemeClr val="dk1"/>
                  </a:solidFill>
                  <a:effectLst/>
                  <a:latin typeface="Cambria Math" panose="02040503050406030204" pitchFamily="18" charset="0"/>
                  <a:ea typeface="+mn-ea"/>
                  <a:cs typeface="+mn-cs"/>
                </a:rPr>
                <a:t>𝐼_1=〖𝑅𝑂𝑈𝑁𝐷(𝐶〗_0</a:t>
              </a:r>
              <a:r>
                <a:rPr lang="hr-HR" sz="1100" b="0" i="0" baseline="0">
                  <a:solidFill>
                    <a:schemeClr val="dk1"/>
                  </a:solidFill>
                  <a:effectLst/>
                  <a:latin typeface="Cambria Math" panose="02040503050406030204" pitchFamily="18" charset="0"/>
                  <a:ea typeface="Cambria Math" panose="02040503050406030204" pitchFamily="18" charset="0"/>
                  <a:cs typeface="+mn-cs"/>
                </a:rPr>
                <a:t>∙</a:t>
              </a:r>
              <a:r>
                <a:rPr lang="en-US" sz="1100" b="0" i="0" baseline="0">
                  <a:solidFill>
                    <a:schemeClr val="dk1"/>
                  </a:solidFill>
                  <a:effectLst/>
                  <a:latin typeface="Cambria Math" panose="02040503050406030204" pitchFamily="18" charset="0"/>
                  <a:ea typeface="Cambria Math" panose="02040503050406030204" pitchFamily="18" charset="0"/>
                  <a:cs typeface="+mn-cs"/>
                </a:rPr>
                <a:t>𝑝</a:t>
              </a:r>
              <a:r>
                <a:rPr lang="hr-HR" sz="1100" b="0" i="0" baseline="0">
                  <a:solidFill>
                    <a:schemeClr val="dk1"/>
                  </a:solidFill>
                  <a:effectLst/>
                  <a:latin typeface="Cambria Math" panose="02040503050406030204" pitchFamily="18" charset="0"/>
                  <a:ea typeface="Cambria Math" panose="02040503050406030204" pitchFamily="18" charset="0"/>
                  <a:cs typeface="+mn-cs"/>
                </a:rPr>
                <a:t>;2)</a:t>
              </a:r>
              <a:r>
                <a:rPr lang="hr-HR" sz="1100" i="0" baseline="0">
                  <a:solidFill>
                    <a:schemeClr val="dk1"/>
                  </a:solidFill>
                  <a:effectLst/>
                  <a:latin typeface="+mn-lt"/>
                  <a:ea typeface="+mn-ea"/>
                  <a:cs typeface="+mn-cs"/>
                </a:rPr>
                <a:t>. (jer je </a:t>
              </a:r>
              <a:r>
                <a:rPr lang="hr-HR" sz="1100" b="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zapisan kao </a:t>
              </a:r>
              <a:r>
                <a:rPr lang="hr-HR" sz="1100" b="0" i="0" baseline="0">
                  <a:solidFill>
                    <a:schemeClr val="dk1"/>
                  </a:solidFill>
                  <a:effectLst/>
                  <a:latin typeface="Cambria Math" panose="02040503050406030204" pitchFamily="18" charset="0"/>
                  <a:ea typeface="+mn-ea"/>
                  <a:cs typeface="+mn-cs"/>
                </a:rPr>
                <a:t>𝑝=5%</a:t>
              </a:r>
              <a:r>
                <a:rPr lang="hr-HR" sz="1100" i="0" baseline="0">
                  <a:solidFill>
                    <a:schemeClr val="dk1"/>
                  </a:solidFill>
                  <a:effectLst/>
                  <a:latin typeface="+mn-lt"/>
                  <a:ea typeface="+mn-ea"/>
                  <a:cs typeface="+mn-cs"/>
                </a:rPr>
                <a:t> što je jednako </a:t>
              </a:r>
              <a:r>
                <a:rPr lang="hr-HR" sz="1100" b="0" i="0" baseline="0">
                  <a:solidFill>
                    <a:schemeClr val="dk1"/>
                  </a:solidFill>
                  <a:effectLst/>
                  <a:latin typeface="Cambria Math" panose="02040503050406030204" pitchFamily="18" charset="0"/>
                  <a:ea typeface="+mn-ea"/>
                  <a:cs typeface="+mn-cs"/>
                </a:rPr>
                <a:t>𝑝=0,05</a:t>
              </a:r>
              <a:r>
                <a:rPr lang="hr-HR" sz="1100" i="0" baseline="0">
                  <a:solidFill>
                    <a:schemeClr val="dk1"/>
                  </a:solidFill>
                  <a:effectLst/>
                  <a:latin typeface="+mn-lt"/>
                  <a:ea typeface="+mn-ea"/>
                  <a:cs typeface="+mn-cs"/>
                </a:rPr>
                <a:t> pa nema potrebe dijeliti izraz sa 100 i koristiti formulu </a:t>
              </a:r>
              <a:r>
                <a:rPr lang="hr-HR" sz="1100" b="0" i="0" baseline="0">
                  <a:solidFill>
                    <a:schemeClr val="dk1"/>
                  </a:solidFill>
                  <a:effectLst/>
                  <a:latin typeface="Cambria Math" panose="02040503050406030204" pitchFamily="18" charset="0"/>
                  <a:ea typeface="+mn-ea"/>
                  <a:cs typeface="+mn-cs"/>
                </a:rPr>
                <a:t>𝐼_1=(𝐶_0∙𝑝</a:t>
              </a:r>
              <a:r>
                <a:rPr lang="hr-HR" sz="1100" b="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)/100</a:t>
              </a:r>
              <a:r>
                <a:rPr lang="hr-HR" sz="1100"/>
                <a:t>).</a:t>
              </a:r>
            </a:p>
            <a:p>
              <a:r>
                <a:rPr lang="hr-HR" sz="1100"/>
                <a:t>Anuitet </a:t>
              </a:r>
              <a:r>
                <a:rPr lang="hr-HR" sz="1100" b="0" i="0" baseline="0">
                  <a:solidFill>
                    <a:schemeClr val="dk1"/>
                  </a:solidFill>
                  <a:effectLst/>
                  <a:latin typeface="Cambria Math" panose="02040503050406030204" pitchFamily="18" charset="0"/>
                  <a:ea typeface="+mn-ea"/>
                  <a:cs typeface="+mn-cs"/>
                </a:rPr>
                <a:t>𝑎_1=</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+𝐼_1</a:t>
              </a:r>
              <a:r>
                <a:rPr lang="hr-HR" sz="1100"/>
                <a:t>.</a:t>
              </a:r>
            </a:p>
            <a:p>
              <a:r>
                <a:rPr lang="hr-HR" sz="1100"/>
                <a:t>Ostatak duga nakon</a:t>
              </a:r>
              <a:r>
                <a:rPr lang="hr-HR" sz="1100" baseline="0"/>
                <a:t> prvog otplaćenog anuiteta iznosi </a:t>
              </a:r>
              <a:r>
                <a:rPr lang="hr-HR" sz="1100" b="0" i="0" baseline="0">
                  <a:solidFill>
                    <a:schemeClr val="dk1"/>
                  </a:solidFill>
                  <a:effectLst/>
                  <a:latin typeface="Cambria Math" panose="02040503050406030204" pitchFamily="18" charset="0"/>
                  <a:ea typeface="+mn-ea"/>
                  <a:cs typeface="+mn-cs"/>
                </a:rPr>
                <a:t>𝐶_1=𝐶_0−</a:t>
              </a:r>
              <a:r>
                <a:rPr lang="hr-HR" sz="1100" i="0" baseline="0">
                  <a:solidFill>
                    <a:schemeClr val="dk1"/>
                  </a:solidFill>
                  <a:effectLst/>
                  <a:latin typeface="Cambria Math" panose="02040503050406030204" pitchFamily="18" charset="0"/>
                  <a:ea typeface="+mn-ea"/>
                  <a:cs typeface="+mn-cs"/>
                </a:rPr>
                <a:t>𝑅</a:t>
              </a:r>
              <a:r>
                <a:rPr lang="hr-HR" sz="1100"/>
                <a:t>.</a:t>
              </a:r>
            </a:p>
            <a:p>
              <a:endParaRPr lang="hr-HR" sz="1100"/>
            </a:p>
            <a:p>
              <a:r>
                <a:rPr lang="hr-HR" sz="1100"/>
                <a:t>Nakon toga se</a:t>
              </a:r>
              <a:r>
                <a:rPr lang="hr-HR" sz="1100" baseline="0"/>
                <a:t> popunjavaju ostali retci: </a:t>
              </a:r>
            </a:p>
            <a:p>
              <a:pPr/>
              <a:r>
                <a:rPr lang="hr-HR" sz="1100" b="0" i="0" baseline="0">
                  <a:solidFill>
                    <a:schemeClr val="dk1"/>
                  </a:solidFill>
                  <a:effectLst/>
                  <a:latin typeface="Cambria Math" panose="02040503050406030204" pitchFamily="18" charset="0"/>
                  <a:ea typeface="+mn-ea"/>
                  <a:cs typeface="+mn-cs"/>
                </a:rPr>
                <a:t>𝐼_𝑘=</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𝐶_(𝑘−1)∙𝑝</a:t>
              </a:r>
              <a:r>
                <a:rPr lang="en-US" sz="1100" b="0" i="0" baseline="0">
                  <a:solidFill>
                    <a:schemeClr val="dk1"/>
                  </a:solidFill>
                  <a:effectLst/>
                  <a:latin typeface="Cambria Math" panose="02040503050406030204" pitchFamily="18" charset="0"/>
                  <a:ea typeface="+mn-ea"/>
                  <a:cs typeface="+mn-cs"/>
                </a:rPr>
                <a:t>;2)</a:t>
              </a:r>
              <a:endParaRPr lang="hr-HR" sz="1100"/>
            </a:p>
            <a:p>
              <a:pPr/>
              <a:r>
                <a:rPr lang="hr-HR" sz="1100" b="0" i="0" baseline="0">
                  <a:solidFill>
                    <a:schemeClr val="dk1"/>
                  </a:solidFill>
                  <a:effectLst/>
                  <a:latin typeface="Cambria Math" panose="02040503050406030204" pitchFamily="18" charset="0"/>
                  <a:ea typeface="+mn-ea"/>
                  <a:cs typeface="+mn-cs"/>
                </a:rPr>
                <a:t>𝑎_𝑘=</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+𝐼_𝑘</a:t>
              </a:r>
              <a:endParaRPr lang="hr-HR" sz="1100"/>
            </a:p>
            <a:p>
              <a:r>
                <a:rPr lang="hr-HR" sz="1100" b="0" i="0" baseline="0">
                  <a:solidFill>
                    <a:schemeClr val="dk1"/>
                  </a:solidFill>
                  <a:effectLst/>
                  <a:latin typeface="Cambria Math" panose="02040503050406030204" pitchFamily="18" charset="0"/>
                  <a:ea typeface="+mn-ea"/>
                  <a:cs typeface="+mn-cs"/>
                </a:rPr>
                <a:t>𝐶_𝑘=𝐶_(𝑘−1)−</a:t>
              </a:r>
              <a:r>
                <a:rPr lang="hr-HR" sz="1100" i="0" baseline="0">
                  <a:solidFill>
                    <a:schemeClr val="dk1"/>
                  </a:solidFill>
                  <a:effectLst/>
                  <a:latin typeface="Cambria Math" panose="02040503050406030204" pitchFamily="18" charset="0"/>
                  <a:ea typeface="+mn-ea"/>
                  <a:cs typeface="+mn-cs"/>
                </a:rPr>
                <a:t>𝑅</a:t>
              </a:r>
              <a:r>
                <a:rPr lang="hr-HR" sz="1100"/>
                <a:t>.</a:t>
              </a:r>
            </a:p>
            <a:p>
              <a:r>
                <a:rPr lang="hr-HR" sz="1100"/>
                <a:t>U excelu je dovoljno popuniti prvi redak</a:t>
              </a:r>
              <a:r>
                <a:rPr lang="hr-HR" sz="1100" baseline="0"/>
                <a:t> i potom kopirati/razvući u ostale retke. Pazite da usidrite s F4 odgovarajuće podatke.</a:t>
              </a:r>
            </a:p>
            <a:p>
              <a:endParaRPr lang="hr-HR" sz="1100" baseline="0"/>
            </a:p>
            <a:p>
              <a:r>
                <a:rPr lang="hr-HR" sz="1100" baseline="0"/>
                <a:t>PROVJERA TABLICE:</a:t>
              </a:r>
            </a:p>
            <a:p>
              <a:r>
                <a:rPr lang="hr-HR" sz="1100" baseline="0"/>
                <a:t>zadnji ostatak duga </a:t>
              </a:r>
              <a:r>
                <a:rPr lang="hr-HR" sz="1100" b="0" i="0" baseline="0">
                  <a:solidFill>
                    <a:schemeClr val="dk1"/>
                  </a:solidFill>
                  <a:effectLst/>
                  <a:latin typeface="Cambria Math" panose="02040503050406030204" pitchFamily="18" charset="0"/>
                  <a:ea typeface="+mn-ea"/>
                  <a:cs typeface="+mn-cs"/>
                </a:rPr>
                <a:t>𝐶_𝑛</a:t>
              </a:r>
              <a:r>
                <a:rPr lang="hr-HR" sz="1100" baseline="0"/>
                <a:t> treba biti jednak nula</a:t>
              </a:r>
            </a:p>
            <a:p>
              <a:pPr/>
              <a:r>
                <a:rPr lang="hr-HR" sz="1100" i="0" baseline="0">
                  <a:latin typeface="Cambria Math" panose="02040503050406030204" pitchFamily="18" charset="0"/>
                </a:rPr>
                <a:t>∑▒𝑅</a:t>
              </a:r>
              <a:r>
                <a:rPr lang="hr-HR" sz="1100" b="0" i="0" baseline="0">
                  <a:latin typeface="Cambria Math" panose="02040503050406030204" pitchFamily="18" charset="0"/>
                </a:rPr>
                <a:t>=</a:t>
              </a:r>
              <a:r>
                <a:rPr lang="hr-HR" sz="1100" b="0" i="0" baseline="0">
                  <a:solidFill>
                    <a:schemeClr val="dk1"/>
                  </a:solidFill>
                  <a:effectLst/>
                  <a:latin typeface="Cambria Math" panose="02040503050406030204" pitchFamily="18" charset="0"/>
                  <a:ea typeface="+mn-ea"/>
                  <a:cs typeface="+mn-cs"/>
                </a:rPr>
                <a:t>𝐶_0</a:t>
              </a:r>
              <a:endParaRPr lang="hr-HR" sz="1100" baseline="0"/>
            </a:p>
            <a:p>
              <a:pP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▒𝑎_𝑘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▒𝐼_𝑘 +</a:t>
              </a:r>
              <a:r>
                <a:rPr lang="hr-HR" sz="1100" i="0" baseline="0">
                  <a:solidFill>
                    <a:schemeClr val="dk1"/>
                  </a:solidFill>
                  <a:effectLst/>
                  <a:latin typeface="Cambria Math" panose="02040503050406030204" pitchFamily="18" charset="0"/>
                  <a:ea typeface="+mn-ea"/>
                  <a:cs typeface="+mn-cs"/>
                </a:rPr>
                <a:t>∑▒𝑅</a:t>
              </a:r>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Fallback>
    </mc:AlternateContent>
    <xdr:clientData/>
  </xdr:twoCellAnchor>
  <xdr:twoCellAnchor>
    <xdr:from>
      <xdr:col>1</xdr:col>
      <xdr:colOff>0</xdr:colOff>
      <xdr:row>222</xdr:row>
      <xdr:rowOff>0</xdr:rowOff>
    </xdr:from>
    <xdr:to>
      <xdr:col>10</xdr:col>
      <xdr:colOff>250074</xdr:colOff>
      <xdr:row>268</xdr:row>
      <xdr:rowOff>1</xdr:rowOff>
    </xdr:to>
    <mc:AlternateContent xmlns:mc="http://schemas.openxmlformats.org/markup-compatibility/2006" xmlns:a14="http://schemas.microsoft.com/office/drawing/2010/main">
      <mc:Choice Requires="a14">
        <xdr:sp macro="" textlink="">
          <xdr:nvSpPr>
            <xdr:cNvPr id="9" name="TekstniOkvir 8">
              <a:extLst>
                <a:ext uri="{FF2B5EF4-FFF2-40B4-BE49-F238E27FC236}">
                  <a16:creationId xmlns:a16="http://schemas.microsoft.com/office/drawing/2014/main" id="{DE42F495-3FBB-46C0-B9AD-7EE790BC3D06}"/>
                </a:ext>
              </a:extLst>
            </xdr:cNvPr>
            <xdr:cNvSpPr txBox="1"/>
          </xdr:nvSpPr>
          <xdr:spPr>
            <a:xfrm>
              <a:off x="609600" y="40881300"/>
              <a:ext cx="5736474" cy="847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uz 4. ishod</a:t>
              </a:r>
            </a:p>
            <a:p>
              <a:endParaRPr lang="hr-HR" sz="1100" b="1"/>
            </a:p>
            <a:p>
              <a:r>
                <a:rPr lang="hr-HR" sz="1100" b="1"/>
                <a:t>Linearna,</a:t>
              </a:r>
              <a:r>
                <a:rPr lang="hr-HR" sz="1100" b="1" baseline="0"/>
                <a:t> kvadratna i eksponencijalna funkcija:</a:t>
              </a:r>
            </a:p>
            <a:p>
              <a:endParaRPr lang="hr-HR" sz="1100" b="1" baseline="0"/>
            </a:p>
            <a:p>
              <a:r>
                <a:rPr lang="hr-HR" sz="1100" b="1">
                  <a:solidFill>
                    <a:schemeClr val="dk1"/>
                  </a:solidFill>
                  <a:effectLst/>
                  <a:latin typeface="+mn-lt"/>
                  <a:ea typeface="+mn-ea"/>
                  <a:cs typeface="+mn-cs"/>
                </a:rPr>
                <a:t>Grafički prikaz podataka:</a:t>
              </a:r>
              <a:endParaRPr lang="hr-HR" b="1">
                <a:effectLst/>
              </a:endParaRPr>
            </a:p>
            <a:p>
              <a:r>
                <a:rPr lang="hr-HR" sz="1100">
                  <a:solidFill>
                    <a:schemeClr val="dk1"/>
                  </a:solidFill>
                  <a:effectLst/>
                  <a:latin typeface="+mn-lt"/>
                  <a:ea typeface="+mn-ea"/>
                  <a:cs typeface="+mn-cs"/>
                </a:rPr>
                <a:t>Označimo podatke iz tablice. U</a:t>
              </a:r>
              <a:r>
                <a:rPr lang="hr-HR" sz="1100" baseline="0">
                  <a:solidFill>
                    <a:schemeClr val="dk1"/>
                  </a:solidFill>
                  <a:effectLst/>
                  <a:latin typeface="+mn-lt"/>
                  <a:ea typeface="+mn-ea"/>
                  <a:cs typeface="+mn-cs"/>
                </a:rPr>
                <a:t> izborniku odaberemo </a:t>
              </a:r>
              <a:r>
                <a:rPr lang="hr-HR" sz="1100" i="1" baseline="0">
                  <a:solidFill>
                    <a:schemeClr val="dk1"/>
                  </a:solidFill>
                  <a:effectLst/>
                  <a:latin typeface="+mn-lt"/>
                  <a:ea typeface="+mn-ea"/>
                  <a:cs typeface="+mn-cs"/>
                </a:rPr>
                <a:t>Umetanje</a:t>
              </a:r>
              <a:r>
                <a:rPr lang="hr-HR" sz="1100" baseline="0">
                  <a:solidFill>
                    <a:schemeClr val="dk1"/>
                  </a:solidFill>
                  <a:effectLst/>
                  <a:latin typeface="+mn-lt"/>
                  <a:ea typeface="+mn-ea"/>
                  <a:cs typeface="+mn-cs"/>
                </a:rPr>
                <a:t>, potom jedan od ponuđenih grafikona: najbolje </a:t>
              </a:r>
              <a:r>
                <a:rPr lang="hr-HR" sz="1100" i="1" baseline="0">
                  <a:solidFill>
                    <a:schemeClr val="dk1"/>
                  </a:solidFill>
                  <a:effectLst/>
                  <a:latin typeface="+mn-lt"/>
                  <a:ea typeface="+mn-ea"/>
                  <a:cs typeface="+mn-cs"/>
                </a:rPr>
                <a:t>raspršeni</a:t>
              </a:r>
              <a:r>
                <a:rPr lang="hr-HR" sz="1100" baseline="0">
                  <a:solidFill>
                    <a:schemeClr val="dk1"/>
                  </a:solidFill>
                  <a:effectLst/>
                  <a:latin typeface="+mn-lt"/>
                  <a:ea typeface="+mn-ea"/>
                  <a:cs typeface="+mn-cs"/>
                </a:rPr>
                <a:t>.</a:t>
              </a:r>
              <a:endParaRPr lang="hr-HR">
                <a:effectLst/>
              </a:endParaRPr>
            </a:p>
            <a:p>
              <a:r>
                <a:rPr lang="hr-HR" sz="1100" b="1" baseline="0">
                  <a:solidFill>
                    <a:schemeClr val="dk1"/>
                  </a:solidFill>
                  <a:effectLst/>
                  <a:latin typeface="+mn-lt"/>
                  <a:ea typeface="+mn-ea"/>
                  <a:cs typeface="+mn-cs"/>
                </a:rPr>
                <a:t>Uređivanje grafa:</a:t>
              </a:r>
              <a:endParaRPr lang="hr-HR" b="1">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Brzi raspored</a:t>
              </a:r>
              <a:r>
                <a:rPr lang="hr-HR" sz="1100" baseline="0">
                  <a:solidFill>
                    <a:schemeClr val="dk1"/>
                  </a:solidFill>
                  <a:effectLst/>
                  <a:latin typeface="+mn-lt"/>
                  <a:ea typeface="+mn-ea"/>
                  <a:cs typeface="+mn-cs"/>
                </a:rPr>
                <a:t> i odaberemo onaj koji ima naslov i oznake za os x i os y. Upišemo ih.</a:t>
              </a:r>
              <a:endParaRPr lang="hr-HR">
                <a:effectLst/>
              </a:endParaRPr>
            </a:p>
            <a:p>
              <a:r>
                <a:rPr lang="hr-HR" sz="1100" baseline="0">
                  <a:solidFill>
                    <a:schemeClr val="dk1"/>
                  </a:solidFill>
                  <a:effectLst/>
                  <a:latin typeface="+mn-lt"/>
                  <a:ea typeface="+mn-ea"/>
                  <a:cs typeface="+mn-cs"/>
                </a:rPr>
                <a:t>Dobivanje jednadžbe: (postoji više različitih mogućnosti)</a:t>
              </a:r>
              <a:endParaRPr lang="hr-HR">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Dodaj element grafikona,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Crta trenda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Više mogućnosti crte trenda</a:t>
              </a:r>
              <a:r>
                <a:rPr lang="hr-HR" sz="1100" baseline="0">
                  <a:solidFill>
                    <a:schemeClr val="dk1"/>
                  </a:solidFill>
                  <a:effectLst/>
                  <a:latin typeface="+mn-lt"/>
                  <a:ea typeface="+mn-ea"/>
                  <a:cs typeface="+mn-cs"/>
                </a:rPr>
                <a:t>, odaberemo odgovarajući model (linearni, eksponencijalni ili polinomski 2. stupnja).</a:t>
              </a:r>
              <a:endParaRPr lang="hr-HR">
                <a:effectLst/>
              </a:endParaRPr>
            </a:p>
            <a:p>
              <a:r>
                <a:rPr lang="hr-HR" sz="1100" baseline="0">
                  <a:solidFill>
                    <a:schemeClr val="dk1"/>
                  </a:solidFill>
                  <a:effectLst/>
                  <a:latin typeface="+mn-lt"/>
                  <a:ea typeface="+mn-ea"/>
                  <a:cs typeface="+mn-cs"/>
                </a:rPr>
                <a:t>Na dnu odaberemo: </a:t>
              </a:r>
              <a:r>
                <a:rPr lang="hr-HR" sz="1100" i="1" baseline="0">
                  <a:solidFill>
                    <a:schemeClr val="dk1"/>
                  </a:solidFill>
                  <a:effectLst/>
                  <a:latin typeface="+mn-lt"/>
                  <a:ea typeface="+mn-ea"/>
                  <a:cs typeface="+mn-cs"/>
                </a:rPr>
                <a:t>Prikaži jednadžbu na grafikonu</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Prikaži R-kvadratnu vrijednost na grafikonu</a:t>
              </a:r>
              <a:r>
                <a:rPr lang="hr-HR" sz="1100" baseline="0">
                  <a:solidFill>
                    <a:schemeClr val="dk1"/>
                  </a:solidFill>
                  <a:effectLst/>
                  <a:latin typeface="+mn-lt"/>
                  <a:ea typeface="+mn-ea"/>
                  <a:cs typeface="+mn-cs"/>
                </a:rPr>
                <a:t>.</a:t>
              </a:r>
              <a:endParaRPr lang="hr-HR">
                <a:effectLst/>
              </a:endParaRPr>
            </a:p>
            <a:p>
              <a:endParaRPr lang="hr-HR" sz="1100"/>
            </a:p>
            <a:p>
              <a:r>
                <a:rPr lang="hr-HR" sz="1100" b="1"/>
                <a:t>Linearna</a:t>
              </a:r>
              <a:r>
                <a:rPr lang="hr-HR" sz="1100" b="1" baseline="0"/>
                <a:t> funkcija</a:t>
              </a:r>
              <a:endParaRPr lang="hr-HR" sz="1100" b="1"/>
            </a:p>
            <a:p>
              <a:pPr/>
              <a14:m>
                <m:oMathPara xmlns:m="http://schemas.openxmlformats.org/officeDocument/2006/math">
                  <m:oMathParaPr>
                    <m:jc m:val="left"/>
                  </m:oMathParaPr>
                  <m:oMath xmlns:m="http://schemas.openxmlformats.org/officeDocument/2006/math">
                    <m:r>
                      <a:rPr lang="hr-HR" sz="1100" i="1">
                        <a:latin typeface="Cambria Math" panose="02040503050406030204" pitchFamily="18" charset="0"/>
                      </a:rPr>
                      <m:t>𝑓</m:t>
                    </m:r>
                    <m:r>
                      <a:rPr lang="hr-HR" sz="1100" i="1">
                        <a:latin typeface="Cambria Math" panose="02040503050406030204" pitchFamily="18" charset="0"/>
                      </a:rPr>
                      <m:t>(</m:t>
                    </m:r>
                    <m:r>
                      <a:rPr lang="hr-HR" sz="1100" i="1">
                        <a:latin typeface="Cambria Math" panose="02040503050406030204" pitchFamily="18" charset="0"/>
                      </a:rPr>
                      <m:t>𝑥</m:t>
                    </m:r>
                    <m:r>
                      <a:rPr lang="hr-HR" sz="1100" i="1">
                        <a:latin typeface="Cambria Math" panose="02040503050406030204" pitchFamily="18" charset="0"/>
                      </a:rPr>
                      <m:t>)=</m:t>
                    </m:r>
                    <m:r>
                      <a:rPr lang="en-US" sz="1100" b="0" i="1">
                        <a:latin typeface="Cambria Math" panose="02040503050406030204" pitchFamily="18" charset="0"/>
                      </a:rPr>
                      <m:t>𝑎</m:t>
                    </m:r>
                    <m:r>
                      <a:rPr lang="hr-HR" sz="1100" i="1">
                        <a:latin typeface="Cambria Math" panose="02040503050406030204" pitchFamily="18" charset="0"/>
                      </a:rPr>
                      <m:t>𝑥</m:t>
                    </m:r>
                    <m:r>
                      <a:rPr lang="hr-HR" sz="1100" i="1">
                        <a:latin typeface="Cambria Math" panose="02040503050406030204" pitchFamily="18" charset="0"/>
                      </a:rPr>
                      <m:t>+</m:t>
                    </m:r>
                    <m:r>
                      <a:rPr lang="en-US" sz="1100" b="0" i="1">
                        <a:latin typeface="Cambria Math" panose="02040503050406030204" pitchFamily="18" charset="0"/>
                      </a:rPr>
                      <m:t>𝑏</m:t>
                    </m:r>
                  </m:oMath>
                </m:oMathPara>
              </a14:m>
              <a:endParaRPr lang="hr-HR" sz="1100"/>
            </a:p>
            <a:p>
              <a:r>
                <a:rPr lang="en-US" sz="1100"/>
                <a:t>a</a:t>
              </a:r>
              <a:r>
                <a:rPr lang="hr-HR" sz="1100"/>
                <a:t> = koeficijent smjera (prosječno povećanje/smanjenje</a:t>
              </a:r>
              <a:r>
                <a:rPr lang="hr-HR" sz="1100" baseline="0"/>
                <a:t> varijable y za promjenu varijable x za jednu jedinicu)</a:t>
              </a:r>
              <a:endParaRPr lang="hr-HR" sz="1100"/>
            </a:p>
            <a:p>
              <a:r>
                <a:rPr lang="hr-HR" sz="1100" baseline="0"/>
                <a:t>interpretacija parametra </a:t>
              </a:r>
              <a:r>
                <a:rPr lang="en-US" sz="1100" i="1" baseline="0"/>
                <a:t>a</a:t>
              </a:r>
              <a:r>
                <a:rPr lang="hr-HR" sz="1100" baseline="0"/>
                <a:t>: s povećanjem x za 1 jedinicu </a:t>
              </a:r>
              <a:r>
                <a:rPr lang="hr-HR" sz="1100" i="1" baseline="0"/>
                <a:t>y </a:t>
              </a:r>
              <a:r>
                <a:rPr lang="hr-HR" sz="1100" i="0" baseline="0"/>
                <a:t>se u</a:t>
              </a:r>
              <a:r>
                <a:rPr lang="hr-HR" sz="1100" baseline="0"/>
                <a:t> prosjeku povećava/smanjuje za </a:t>
              </a:r>
              <a:r>
                <a:rPr lang="en-US" sz="1100" i="1" baseline="0"/>
                <a:t>a</a:t>
              </a:r>
              <a:r>
                <a:rPr lang="hr-HR" sz="1100" i="1" baseline="0"/>
                <a:t> </a:t>
              </a:r>
              <a:r>
                <a:rPr lang="hr-HR" sz="1100" baseline="0"/>
                <a:t> jedinica.</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hr-HR" sz="1100">
                  <a:solidFill>
                    <a:schemeClr val="dk1"/>
                  </a:solidFill>
                  <a:effectLst/>
                  <a:latin typeface="+mn-lt"/>
                  <a:ea typeface="+mn-ea"/>
                  <a:cs typeface="+mn-cs"/>
                </a:rPr>
                <a:t> =odsječak</a:t>
              </a:r>
              <a:r>
                <a:rPr lang="hr-HR" sz="1100" baseline="0">
                  <a:solidFill>
                    <a:schemeClr val="dk1"/>
                  </a:solidFill>
                  <a:effectLst/>
                  <a:latin typeface="+mn-lt"/>
                  <a:ea typeface="+mn-ea"/>
                  <a:cs typeface="+mn-cs"/>
                </a:rPr>
                <a:t> na osi y</a:t>
              </a:r>
              <a:endParaRPr lang="hr-HR">
                <a:effectLst/>
              </a:endParaRPr>
            </a:p>
            <a:p>
              <a:r>
                <a:rPr lang="hr-HR" sz="1100" b="0" baseline="0"/>
                <a:t>interpretacija parametra </a:t>
              </a:r>
              <a:r>
                <a:rPr lang="en-US" sz="1100" b="0" i="1" baseline="0"/>
                <a:t>b</a:t>
              </a:r>
              <a:r>
                <a:rPr lang="hr-HR" sz="1100" b="0" i="0" baseline="0"/>
                <a:t>: za vrijednost varijable x nula, vrijednost y </a:t>
              </a:r>
              <a:r>
                <a:rPr lang="hr-HR" sz="1100" b="0" i="0" baseline="0">
                  <a:solidFill>
                    <a:schemeClr val="dk1"/>
                  </a:solidFill>
                  <a:effectLst/>
                  <a:latin typeface="+mn-lt"/>
                  <a:ea typeface="+mn-ea"/>
                  <a:cs typeface="+mn-cs"/>
                </a:rPr>
                <a:t>u prosjeku  i</a:t>
              </a:r>
              <a:r>
                <a:rPr lang="hr-HR" sz="1100" b="0" i="0" baseline="0"/>
                <a:t>znosi </a:t>
              </a:r>
              <a:r>
                <a:rPr lang="en-US" sz="1100" b="0" i="1" baseline="0"/>
                <a:t>b</a:t>
              </a:r>
              <a:r>
                <a:rPr lang="hr-HR" sz="1100" b="0" i="0" baseline="0"/>
                <a:t> jedinica.</a:t>
              </a:r>
              <a:endParaRPr lang="hr-HR" sz="1100" b="0" baseline="0"/>
            </a:p>
            <a:p>
              <a:endParaRPr lang="hr-HR" sz="1100" b="1" baseline="0"/>
            </a:p>
            <a:p>
              <a:r>
                <a:rPr lang="hr-HR" sz="1100" b="1" baseline="0"/>
                <a:t>Kvadratna funkcija</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sSup>
                      <m:sSupPr>
                        <m:ctrlPr>
                          <a:rPr lang="hr-HR" sz="1100" i="1">
                            <a:solidFill>
                              <a:schemeClr val="dk1"/>
                            </a:solidFill>
                            <a:effectLst/>
                            <a:latin typeface="Cambria Math" panose="02040503050406030204" pitchFamily="18" charset="0"/>
                            <a:ea typeface="+mn-ea"/>
                            <a:cs typeface="+mn-cs"/>
                          </a:rPr>
                        </m:ctrlPr>
                      </m:sSupPr>
                      <m:e>
                        <m:r>
                          <a:rPr lang="hr-HR" sz="1100" i="1">
                            <a:solidFill>
                              <a:schemeClr val="dk1"/>
                            </a:solidFill>
                            <a:effectLst/>
                            <a:latin typeface="Cambria Math" panose="02040503050406030204" pitchFamily="18" charset="0"/>
                            <a:ea typeface="+mn-ea"/>
                            <a:cs typeface="+mn-cs"/>
                          </a:rPr>
                          <m:t>𝑥</m:t>
                        </m:r>
                      </m:e>
                      <m:sup>
                        <m:r>
                          <a:rPr lang="hr-HR" sz="1100" i="1">
                            <a:solidFill>
                              <a:schemeClr val="dk1"/>
                            </a:solidFill>
                            <a:effectLst/>
                            <a:latin typeface="Cambria Math" panose="02040503050406030204" pitchFamily="18" charset="0"/>
                            <a:ea typeface="+mn-ea"/>
                            <a:cs typeface="+mn-cs"/>
                          </a:rPr>
                          <m:t>2</m:t>
                        </m:r>
                      </m:sup>
                    </m:sSup>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𝑏𝑥</m:t>
                    </m:r>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𝑐</m:t>
                    </m:r>
                  </m:oMath>
                </m:oMathPara>
              </a14:m>
              <a:endParaRPr lang="hr-HR">
                <a:effectLst/>
              </a:endParaRPr>
            </a:p>
            <a:p>
              <a:r>
                <a:rPr lang="hr-HR" sz="1100" baseline="0"/>
                <a:t>a= koeficijent smjera</a:t>
              </a:r>
            </a:p>
            <a:p>
              <a14:m>
                <m:oMath xmlns:m="http://schemas.openxmlformats.org/officeDocument/2006/math">
                  <m:r>
                    <a:rPr lang="hr-HR" sz="1100" i="1" baseline="0">
                      <a:latin typeface="Cambria Math" panose="02040503050406030204" pitchFamily="18" charset="0"/>
                    </a:rPr>
                    <m:t>𝑎</m:t>
                  </m:r>
                  <m:r>
                    <a:rPr lang="hr-HR" sz="1100" i="1" baseline="0">
                      <a:latin typeface="Cambria Math" panose="02040503050406030204" pitchFamily="18" charset="0"/>
                    </a:rPr>
                    <m:t>&gt;0</m:t>
                  </m:r>
                </m:oMath>
              </a14:m>
              <a:r>
                <a:rPr lang="hr-HR" sz="1100" baseline="0"/>
                <a:t> nasmiješena</a:t>
              </a:r>
            </a:p>
            <a:p>
              <a14:m>
                <m:oMath xmlns:m="http://schemas.openxmlformats.org/officeDocument/2006/math">
                  <m:r>
                    <a:rPr lang="hr-HR" sz="1100" i="1" baseline="0">
                      <a:latin typeface="Cambria Math" panose="02040503050406030204" pitchFamily="18" charset="0"/>
                    </a:rPr>
                    <m:t>𝑎</m:t>
                  </m:r>
                  <m:r>
                    <a:rPr lang="hr-HR" sz="1100" i="1" baseline="0">
                      <a:latin typeface="Cambria Math" panose="02040503050406030204" pitchFamily="18" charset="0"/>
                    </a:rPr>
                    <m:t>&lt;0</m:t>
                  </m:r>
                </m:oMath>
              </a14:m>
              <a:r>
                <a:rPr lang="hr-HR" sz="1100" baseline="0"/>
                <a:t> namrgođena</a:t>
              </a:r>
            </a:p>
            <a:p>
              <a:pPr/>
              <a14:m>
                <m:oMathPara xmlns:m="http://schemas.openxmlformats.org/officeDocument/2006/math">
                  <m:oMathParaPr>
                    <m:jc m:val="left"/>
                  </m:oMathParaPr>
                  <m:oMath xmlns:m="http://schemas.openxmlformats.org/officeDocument/2006/math">
                    <m:r>
                      <a:rPr lang="hr-HR" sz="1100" i="1" baseline="0">
                        <a:latin typeface="Cambria Math" panose="02040503050406030204" pitchFamily="18" charset="0"/>
                      </a:rPr>
                      <m:t>𝐷</m:t>
                    </m:r>
                    <m:r>
                      <a:rPr lang="hr-HR" sz="1100" i="1" baseline="0">
                        <a:latin typeface="Cambria Math" panose="02040503050406030204" pitchFamily="18" charset="0"/>
                      </a:rPr>
                      <m:t>=</m:t>
                    </m:r>
                    <m:sSup>
                      <m:sSupPr>
                        <m:ctrlPr>
                          <a:rPr lang="hr-HR" sz="1100" i="1" baseline="0">
                            <a:latin typeface="Cambria Math" panose="02040503050406030204" pitchFamily="18" charset="0"/>
                          </a:rPr>
                        </m:ctrlPr>
                      </m:sSupPr>
                      <m:e>
                        <m:r>
                          <a:rPr lang="hr-HR" sz="1100" b="0" i="1" baseline="0">
                            <a:latin typeface="Cambria Math" panose="02040503050406030204" pitchFamily="18" charset="0"/>
                          </a:rPr>
                          <m:t>𝑏</m:t>
                        </m:r>
                      </m:e>
                      <m:sup>
                        <m:r>
                          <a:rPr lang="hr-HR" sz="1100" b="0" i="1" baseline="0">
                            <a:latin typeface="Cambria Math" panose="02040503050406030204" pitchFamily="18" charset="0"/>
                          </a:rPr>
                          <m:t>2</m:t>
                        </m:r>
                      </m:sup>
                    </m:sSup>
                    <m:r>
                      <a:rPr lang="hr-HR" sz="1100" i="1" baseline="0">
                        <a:latin typeface="Cambria Math" panose="02040503050406030204" pitchFamily="18" charset="0"/>
                      </a:rPr>
                      <m:t>−4</m:t>
                    </m:r>
                    <m:r>
                      <a:rPr lang="hr-HR" sz="1100" i="1" baseline="0">
                        <a:latin typeface="Cambria Math" panose="02040503050406030204" pitchFamily="18" charset="0"/>
                      </a:rPr>
                      <m:t>𝑎𝑐</m:t>
                    </m:r>
                  </m:oMath>
                </m:oMathPara>
              </a14:m>
              <a:endParaRPr lang="hr-HR" sz="1100" baseline="0"/>
            </a:p>
            <a:p>
              <a:r>
                <a:rPr lang="hr-HR" sz="1100" baseline="0"/>
                <a:t>Nultočke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𝑥</m:t>
                      </m:r>
                    </m:e>
                    <m:sub>
                      <m:r>
                        <a:rPr lang="hr-HR" sz="1100" b="0" i="1">
                          <a:solidFill>
                            <a:schemeClr val="dk1"/>
                          </a:solidFill>
                          <a:effectLst/>
                          <a:latin typeface="Cambria Math" panose="02040503050406030204" pitchFamily="18" charset="0"/>
                          <a:ea typeface="+mn-ea"/>
                          <a:cs typeface="+mn-cs"/>
                        </a:rPr>
                        <m:t>1,2</m:t>
                      </m:r>
                    </m:sub>
                  </m:sSub>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r>
                        <a:rPr lang="hr-HR" sz="1100" b="0" i="1">
                          <a:solidFill>
                            <a:schemeClr val="dk1"/>
                          </a:solidFill>
                          <a:effectLst/>
                          <a:latin typeface="Cambria Math" panose="02040503050406030204" pitchFamily="18" charset="0"/>
                          <a:ea typeface="+mn-ea"/>
                          <a:cs typeface="+mn-cs"/>
                        </a:rPr>
                        <m:t>±</m:t>
                      </m:r>
                      <m:rad>
                        <m:radPr>
                          <m:degHide m:val="on"/>
                          <m:ctrlPr>
                            <a:rPr lang="hr-HR" sz="1100" b="0" i="1">
                              <a:solidFill>
                                <a:schemeClr val="dk1"/>
                              </a:solidFill>
                              <a:effectLst/>
                              <a:latin typeface="Cambria Math" panose="02040503050406030204" pitchFamily="18" charset="0"/>
                              <a:ea typeface="+mn-ea"/>
                              <a:cs typeface="+mn-cs"/>
                            </a:rPr>
                          </m:ctrlPr>
                        </m:radPr>
                        <m:deg/>
                        <m:e>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2</m:t>
                              </m:r>
                            </m:sup>
                          </m:sSup>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𝑎𝑐</m:t>
                          </m:r>
                        </m:e>
                      </m:rad>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oMath>
              </a14:m>
              <a:r>
                <a:rPr lang="hr-HR" sz="1100" baseline="0"/>
                <a:t> ili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𝑥</m:t>
                      </m:r>
                    </m:e>
                    <m:sub>
                      <m:r>
                        <a:rPr lang="hr-HR" sz="1100" b="0" i="1">
                          <a:solidFill>
                            <a:schemeClr val="dk1"/>
                          </a:solidFill>
                          <a:effectLst/>
                          <a:latin typeface="Cambria Math" panose="02040503050406030204" pitchFamily="18" charset="0"/>
                          <a:ea typeface="+mn-ea"/>
                          <a:cs typeface="+mn-cs"/>
                        </a:rPr>
                        <m:t>1,2</m:t>
                      </m:r>
                    </m:sub>
                  </m:sSub>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r>
                        <a:rPr lang="hr-HR" sz="1100" b="0" i="1">
                          <a:solidFill>
                            <a:schemeClr val="dk1"/>
                          </a:solidFill>
                          <a:effectLst/>
                          <a:latin typeface="Cambria Math" panose="02040503050406030204" pitchFamily="18" charset="0"/>
                          <a:ea typeface="+mn-ea"/>
                          <a:cs typeface="+mn-cs"/>
                        </a:rPr>
                        <m:t>±</m:t>
                      </m:r>
                      <m:rad>
                        <m:radPr>
                          <m:degHide m:val="on"/>
                          <m:ctrlPr>
                            <a:rPr lang="hr-HR" sz="1100" b="0" i="1">
                              <a:solidFill>
                                <a:schemeClr val="dk1"/>
                              </a:solidFill>
                              <a:effectLst/>
                              <a:latin typeface="Cambria Math" panose="02040503050406030204" pitchFamily="18" charset="0"/>
                              <a:ea typeface="+mn-ea"/>
                              <a:cs typeface="+mn-cs"/>
                            </a:rPr>
                          </m:ctrlPr>
                        </m:radPr>
                        <m:deg/>
                        <m:e>
                          <m:r>
                            <a:rPr lang="hr-HR" sz="1100" b="0" i="1">
                              <a:solidFill>
                                <a:schemeClr val="dk1"/>
                              </a:solidFill>
                              <a:effectLst/>
                              <a:latin typeface="Cambria Math" panose="02040503050406030204" pitchFamily="18" charset="0"/>
                              <a:ea typeface="+mn-ea"/>
                              <a:cs typeface="+mn-cs"/>
                            </a:rPr>
                            <m:t>𝐷</m:t>
                          </m:r>
                        </m:e>
                      </m:rad>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oMath>
              </a14:m>
              <a:r>
                <a:rPr lang="hr-HR" sz="1100" baseline="0">
                  <a:solidFill>
                    <a:schemeClr val="dk1"/>
                  </a:solidFill>
                  <a:effectLst/>
                  <a:latin typeface="+mn-lt"/>
                  <a:ea typeface="+mn-ea"/>
                  <a:cs typeface="+mn-cs"/>
                </a:rPr>
                <a:t> </a:t>
              </a:r>
              <a:endParaRPr lang="hr-HR" sz="1100" baseline="0"/>
            </a:p>
            <a:p>
              <a:r>
                <a:rPr lang="hr-HR" sz="1100" baseline="0"/>
                <a:t>Tjeme </a:t>
              </a:r>
              <a14:m>
                <m:oMath xmlns:m="http://schemas.openxmlformats.org/officeDocument/2006/math">
                  <m:d>
                    <m:dPr>
                      <m:ctrlPr>
                        <a:rPr lang="hr-HR" sz="1100" b="0" i="1">
                          <a:solidFill>
                            <a:schemeClr val="dk1"/>
                          </a:solidFill>
                          <a:effectLst/>
                          <a:latin typeface="Cambria Math" panose="02040503050406030204" pitchFamily="18" charset="0"/>
                          <a:ea typeface="+mn-ea"/>
                          <a:cs typeface="+mn-cs"/>
                        </a:rPr>
                      </m:ctrlPr>
                    </m:dPr>
                    <m:e>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𝑎𝑐</m:t>
                          </m:r>
                          <m:r>
                            <a:rPr lang="hr-HR" sz="1100" b="0" i="1">
                              <a:solidFill>
                                <a:schemeClr val="dk1"/>
                              </a:solidFill>
                              <a:effectLst/>
                              <a:latin typeface="Cambria Math" panose="02040503050406030204" pitchFamily="18" charset="0"/>
                              <a:ea typeface="+mn-ea"/>
                              <a:cs typeface="+mn-cs"/>
                            </a:rPr>
                            <m:t>−</m:t>
                          </m:r>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2</m:t>
                              </m:r>
                            </m:sup>
                          </m:sSup>
                        </m:num>
                        <m:den>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m:t>
                          </m:r>
                        </m:den>
                      </m:f>
                    </m:e>
                  </m:d>
                </m:oMath>
              </a14:m>
              <a:endParaRPr lang="hr-HR" sz="1100" baseline="0"/>
            </a:p>
            <a:p>
              <a:endParaRPr lang="hr-HR" sz="1100" baseline="0"/>
            </a:p>
            <a:p>
              <a:endParaRPr lang="hr-HR" sz="1100" baseline="0"/>
            </a:p>
            <a:p>
              <a:r>
                <a:rPr lang="hr-HR" sz="1100" b="1" baseline="0"/>
                <a:t>Eksponencijalna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izrađujemo model u Excelu pomoću grafa, dobije se u obliku </a:t>
              </a:r>
              <a14:m>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r>
                    <a:rPr lang="hr-HR" sz="1100" i="1">
                      <a:solidFill>
                        <a:schemeClr val="dk1"/>
                      </a:solidFill>
                      <a:effectLst/>
                      <a:latin typeface="Cambria Math" panose="02040503050406030204" pitchFamily="18" charset="0"/>
                      <a:ea typeface="+mn-ea"/>
                      <a:cs typeface="+mn-cs"/>
                    </a:rPr>
                    <m:t>∙</m:t>
                  </m:r>
                  <m:sSup>
                    <m:sSupPr>
                      <m:ctrlPr>
                        <a:rPr lang="hr-HR" sz="110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𝑒</m:t>
                      </m:r>
                    </m:e>
                    <m:sup>
                      <m:r>
                        <a:rPr lang="hr-HR" sz="1100" b="0" i="1">
                          <a:solidFill>
                            <a:schemeClr val="dk1"/>
                          </a:solidFill>
                          <a:effectLst/>
                          <a:latin typeface="Cambria Math" panose="02040503050406030204" pitchFamily="18" charset="0"/>
                          <a:ea typeface="+mn-ea"/>
                          <a:cs typeface="+mn-cs"/>
                        </a:rPr>
                        <m:t>𝑐𝑥</m:t>
                      </m:r>
                    </m:sup>
                  </m:sSup>
                </m:oMath>
              </a14:m>
              <a:r>
                <a:rPr lang="hr-HR" sz="1100">
                  <a:solidFill>
                    <a:schemeClr val="dk1"/>
                  </a:solidFill>
                  <a:effectLst/>
                  <a:latin typeface="+mn-lt"/>
                  <a:ea typeface="+mn-ea"/>
                  <a:cs typeface="+mn-cs"/>
                </a:rPr>
                <a:t>.</a:t>
              </a:r>
            </a:p>
            <a:p>
              <a:r>
                <a:rPr lang="hr-HR" sz="1100" baseline="0">
                  <a:solidFill>
                    <a:schemeClr val="dk1"/>
                  </a:solidFill>
                  <a:effectLst/>
                  <a:latin typeface="+mn-lt"/>
                  <a:ea typeface="+mn-ea"/>
                  <a:cs typeface="+mn-cs"/>
                </a:rPr>
                <a:t>interpretacija parametra </a:t>
              </a:r>
              <a:r>
                <a:rPr lang="hr-HR" sz="1100" i="1" baseline="0">
                  <a:solidFill>
                    <a:schemeClr val="dk1"/>
                  </a:solidFill>
                  <a:effectLst/>
                  <a:latin typeface="+mn-lt"/>
                  <a:ea typeface="+mn-ea"/>
                  <a:cs typeface="+mn-cs"/>
                </a:rPr>
                <a:t>c</a:t>
              </a:r>
              <a:r>
                <a:rPr lang="hr-HR" sz="1100" baseline="0">
                  <a:solidFill>
                    <a:schemeClr val="dk1"/>
                  </a:solidFill>
                  <a:effectLst/>
                  <a:latin typeface="+mn-lt"/>
                  <a:ea typeface="+mn-ea"/>
                  <a:cs typeface="+mn-cs"/>
                </a:rPr>
                <a:t>: s povećanjem x za 1 jedinicu </a:t>
              </a:r>
              <a:r>
                <a:rPr lang="hr-HR" sz="1100" i="1" baseline="0">
                  <a:solidFill>
                    <a:schemeClr val="dk1"/>
                  </a:solidFill>
                  <a:effectLst/>
                  <a:latin typeface="+mn-lt"/>
                  <a:ea typeface="+mn-ea"/>
                  <a:cs typeface="+mn-cs"/>
                </a:rPr>
                <a:t>y </a:t>
              </a:r>
              <a:r>
                <a:rPr lang="hr-HR" sz="1100" i="0" baseline="0">
                  <a:solidFill>
                    <a:schemeClr val="dk1"/>
                  </a:solidFill>
                  <a:effectLst/>
                  <a:latin typeface="+mn-lt"/>
                  <a:ea typeface="+mn-ea"/>
                  <a:cs typeface="+mn-cs"/>
                </a:rPr>
                <a:t>se u</a:t>
              </a:r>
              <a:r>
                <a:rPr lang="hr-HR" sz="1100" baseline="0">
                  <a:solidFill>
                    <a:schemeClr val="dk1"/>
                  </a:solidFill>
                  <a:effectLst/>
                  <a:latin typeface="+mn-lt"/>
                  <a:ea typeface="+mn-ea"/>
                  <a:cs typeface="+mn-cs"/>
                </a:rPr>
                <a:t> prosjeku povećava/smanjuje za </a:t>
              </a:r>
              <a:r>
                <a:rPr lang="hr-HR" sz="1100" i="1" baseline="0">
                  <a:solidFill>
                    <a:schemeClr val="dk1"/>
                  </a:solidFill>
                  <a:effectLst/>
                  <a:latin typeface="+mn-lt"/>
                  <a:ea typeface="+mn-ea"/>
                  <a:cs typeface="+mn-cs"/>
                </a:rPr>
                <a:t>c*100%</a:t>
              </a:r>
              <a:r>
                <a:rPr lang="hr-HR" sz="1100" baseline="0">
                  <a:solidFill>
                    <a:schemeClr val="dk1"/>
                  </a:solidFill>
                  <a:effectLst/>
                  <a:latin typeface="+mn-lt"/>
                  <a:ea typeface="+mn-ea"/>
                  <a:cs typeface="+mn-cs"/>
                </a:rPr>
                <a:t>.</a:t>
              </a:r>
              <a:endParaRPr lang="hr-HR">
                <a:effectLst/>
              </a:endParaRPr>
            </a:p>
            <a:p>
              <a:r>
                <a:rPr lang="hr-HR" sz="1100" b="0" baseline="0">
                  <a:solidFill>
                    <a:schemeClr val="dk1"/>
                  </a:solidFill>
                  <a:effectLst/>
                  <a:latin typeface="+mn-lt"/>
                  <a:ea typeface="+mn-ea"/>
                  <a:cs typeface="+mn-cs"/>
                </a:rPr>
                <a:t>interpretacija parametra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za vrijednost varijable x nula, vrijednost y u prosjeku  iznosi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jedinica.</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a:effectLst/>
                </a:rPr>
                <a:t>Ako je c &gt; 0,05 tada se računa parametar </a:t>
              </a:r>
              <a:r>
                <a:rPr lang="hr-HR" i="1">
                  <a:effectLst/>
                </a:rPr>
                <a:t>b</a:t>
              </a:r>
              <a:r>
                <a:rPr lang="hr-HR" i="0">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Parametar</a:t>
              </a:r>
              <a:r>
                <a:rPr lang="hr-HR" sz="1100" baseline="0">
                  <a:solidFill>
                    <a:schemeClr val="dk1"/>
                  </a:solidFill>
                  <a:effectLst/>
                  <a:latin typeface="+mn-lt"/>
                  <a:ea typeface="+mn-ea"/>
                  <a:cs typeface="+mn-cs"/>
                </a:rPr>
                <a:t>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oMath>
              </a14:m>
              <a:r>
                <a:rPr lang="hr-HR" sz="1100" baseline="0">
                  <a:solidFill>
                    <a:schemeClr val="dk1"/>
                  </a:solidFill>
                  <a:effectLst/>
                  <a:latin typeface="+mn-lt"/>
                  <a:ea typeface="+mn-ea"/>
                  <a:cs typeface="+mn-cs"/>
                </a:rPr>
                <a:t> se određuje: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𝐸𝑋𝑃</m:t>
                  </m:r>
                  <m:r>
                    <a:rPr lang="hr-HR" sz="110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𝑐</m:t>
                  </m:r>
                  <m:r>
                    <a:rPr lang="hr-HR" sz="1100" i="1" baseline="0">
                      <a:solidFill>
                        <a:schemeClr val="dk1"/>
                      </a:solidFill>
                      <a:effectLst/>
                      <a:latin typeface="Cambria Math" panose="02040503050406030204" pitchFamily="18" charset="0"/>
                      <a:ea typeface="+mn-ea"/>
                      <a:cs typeface="+mn-cs"/>
                    </a:rPr>
                    <m:t>)</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r>
                      <a:rPr lang="hr-HR" sz="1100" i="1">
                        <a:solidFill>
                          <a:schemeClr val="dk1"/>
                        </a:solidFill>
                        <a:effectLst/>
                        <a:latin typeface="Cambria Math" panose="02040503050406030204" pitchFamily="18" charset="0"/>
                        <a:ea typeface="Cambria Math" panose="02040503050406030204" pitchFamily="18" charset="0"/>
                        <a:cs typeface="+mn-cs"/>
                      </a:rPr>
                      <m:t>∙</m:t>
                    </m:r>
                    <m:sSup>
                      <m:sSupPr>
                        <m:ctrlPr>
                          <a:rPr lang="hr-HR" sz="110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𝑥</m:t>
                        </m:r>
                      </m:sup>
                    </m:sSup>
                  </m:oMath>
                </m:oMathPara>
              </a14:m>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npr.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=1,03 </m:t>
                  </m:r>
                </m:oMath>
              </a14:m>
              <a:r>
                <a:rPr lang="hr-HR" sz="1100" baseline="0">
                  <a:solidFill>
                    <a:schemeClr val="dk1"/>
                  </a:solidFill>
                  <a:effectLst/>
                  <a:latin typeface="+mn-lt"/>
                  <a:ea typeface="+mn-ea"/>
                  <a:cs typeface="+mn-cs"/>
                </a:rPr>
                <a:t>prosječna postotna promjena iznosi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−1)=(1,03−1)=0,03=3%</m:t>
                  </m:r>
                </m:oMath>
              </a14:m>
              <a:r>
                <a:rPr lang="hr-H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postotni rast 7,2 % tada je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=1,072</m:t>
                  </m:r>
                </m:oMath>
              </a14:m>
              <a:r>
                <a:rPr lang="hr-HR" sz="1100" baseline="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baseline="0"/>
            </a:p>
            <a:p>
              <a:endParaRPr lang="hr-HR" b="0">
                <a:effectLst/>
                <a:ea typeface="Cambria Math" panose="02040503050406030204" pitchFamily="18" charset="0"/>
              </a:endParaRPr>
            </a:p>
          </xdr:txBody>
        </xdr:sp>
      </mc:Choice>
      <mc:Fallback xmlns="">
        <xdr:sp macro="" textlink="">
          <xdr:nvSpPr>
            <xdr:cNvPr id="9" name="TekstniOkvir 8">
              <a:extLst>
                <a:ext uri="{FF2B5EF4-FFF2-40B4-BE49-F238E27FC236}">
                  <a16:creationId xmlns:a16="http://schemas.microsoft.com/office/drawing/2014/main" id="{DE42F495-3FBB-46C0-B9AD-7EE790BC3D06}"/>
                </a:ext>
              </a:extLst>
            </xdr:cNvPr>
            <xdr:cNvSpPr txBox="1"/>
          </xdr:nvSpPr>
          <xdr:spPr>
            <a:xfrm>
              <a:off x="609600" y="40881300"/>
              <a:ext cx="5736474" cy="847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uz 4. ishod</a:t>
              </a:r>
            </a:p>
            <a:p>
              <a:endParaRPr lang="hr-HR" sz="1100" b="1"/>
            </a:p>
            <a:p>
              <a:r>
                <a:rPr lang="hr-HR" sz="1100" b="1"/>
                <a:t>Linearna,</a:t>
              </a:r>
              <a:r>
                <a:rPr lang="hr-HR" sz="1100" b="1" baseline="0"/>
                <a:t> kvadratna i eksponencijalna funkcija:</a:t>
              </a:r>
            </a:p>
            <a:p>
              <a:endParaRPr lang="hr-HR" sz="1100" b="1" baseline="0"/>
            </a:p>
            <a:p>
              <a:r>
                <a:rPr lang="hr-HR" sz="1100" b="1">
                  <a:solidFill>
                    <a:schemeClr val="dk1"/>
                  </a:solidFill>
                  <a:effectLst/>
                  <a:latin typeface="+mn-lt"/>
                  <a:ea typeface="+mn-ea"/>
                  <a:cs typeface="+mn-cs"/>
                </a:rPr>
                <a:t>Grafički prikaz podataka:</a:t>
              </a:r>
              <a:endParaRPr lang="hr-HR" b="1">
                <a:effectLst/>
              </a:endParaRPr>
            </a:p>
            <a:p>
              <a:r>
                <a:rPr lang="hr-HR" sz="1100">
                  <a:solidFill>
                    <a:schemeClr val="dk1"/>
                  </a:solidFill>
                  <a:effectLst/>
                  <a:latin typeface="+mn-lt"/>
                  <a:ea typeface="+mn-ea"/>
                  <a:cs typeface="+mn-cs"/>
                </a:rPr>
                <a:t>Označimo podatke iz tablice. U</a:t>
              </a:r>
              <a:r>
                <a:rPr lang="hr-HR" sz="1100" baseline="0">
                  <a:solidFill>
                    <a:schemeClr val="dk1"/>
                  </a:solidFill>
                  <a:effectLst/>
                  <a:latin typeface="+mn-lt"/>
                  <a:ea typeface="+mn-ea"/>
                  <a:cs typeface="+mn-cs"/>
                </a:rPr>
                <a:t> izborniku odaberemo </a:t>
              </a:r>
              <a:r>
                <a:rPr lang="hr-HR" sz="1100" i="1" baseline="0">
                  <a:solidFill>
                    <a:schemeClr val="dk1"/>
                  </a:solidFill>
                  <a:effectLst/>
                  <a:latin typeface="+mn-lt"/>
                  <a:ea typeface="+mn-ea"/>
                  <a:cs typeface="+mn-cs"/>
                </a:rPr>
                <a:t>Umetanje</a:t>
              </a:r>
              <a:r>
                <a:rPr lang="hr-HR" sz="1100" baseline="0">
                  <a:solidFill>
                    <a:schemeClr val="dk1"/>
                  </a:solidFill>
                  <a:effectLst/>
                  <a:latin typeface="+mn-lt"/>
                  <a:ea typeface="+mn-ea"/>
                  <a:cs typeface="+mn-cs"/>
                </a:rPr>
                <a:t>, potom jedan od ponuđenih grafikona: najbolje </a:t>
              </a:r>
              <a:r>
                <a:rPr lang="hr-HR" sz="1100" i="1" baseline="0">
                  <a:solidFill>
                    <a:schemeClr val="dk1"/>
                  </a:solidFill>
                  <a:effectLst/>
                  <a:latin typeface="+mn-lt"/>
                  <a:ea typeface="+mn-ea"/>
                  <a:cs typeface="+mn-cs"/>
                </a:rPr>
                <a:t>raspršeni</a:t>
              </a:r>
              <a:r>
                <a:rPr lang="hr-HR" sz="1100" baseline="0">
                  <a:solidFill>
                    <a:schemeClr val="dk1"/>
                  </a:solidFill>
                  <a:effectLst/>
                  <a:latin typeface="+mn-lt"/>
                  <a:ea typeface="+mn-ea"/>
                  <a:cs typeface="+mn-cs"/>
                </a:rPr>
                <a:t>.</a:t>
              </a:r>
              <a:endParaRPr lang="hr-HR">
                <a:effectLst/>
              </a:endParaRPr>
            </a:p>
            <a:p>
              <a:r>
                <a:rPr lang="hr-HR" sz="1100" b="1" baseline="0">
                  <a:solidFill>
                    <a:schemeClr val="dk1"/>
                  </a:solidFill>
                  <a:effectLst/>
                  <a:latin typeface="+mn-lt"/>
                  <a:ea typeface="+mn-ea"/>
                  <a:cs typeface="+mn-cs"/>
                </a:rPr>
                <a:t>Uređivanje grafa:</a:t>
              </a:r>
              <a:endParaRPr lang="hr-HR" b="1">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Brzi raspored</a:t>
              </a:r>
              <a:r>
                <a:rPr lang="hr-HR" sz="1100" baseline="0">
                  <a:solidFill>
                    <a:schemeClr val="dk1"/>
                  </a:solidFill>
                  <a:effectLst/>
                  <a:latin typeface="+mn-lt"/>
                  <a:ea typeface="+mn-ea"/>
                  <a:cs typeface="+mn-cs"/>
                </a:rPr>
                <a:t> i odaberemo onaj koji ima naslov i oznake za os x i os y. Upišemo ih.</a:t>
              </a:r>
              <a:endParaRPr lang="hr-HR">
                <a:effectLst/>
              </a:endParaRPr>
            </a:p>
            <a:p>
              <a:r>
                <a:rPr lang="hr-HR" sz="1100" baseline="0">
                  <a:solidFill>
                    <a:schemeClr val="dk1"/>
                  </a:solidFill>
                  <a:effectLst/>
                  <a:latin typeface="+mn-lt"/>
                  <a:ea typeface="+mn-ea"/>
                  <a:cs typeface="+mn-cs"/>
                </a:rPr>
                <a:t>Dobivanje jednadžbe: (postoji više različitih mogućnosti)</a:t>
              </a:r>
              <a:endParaRPr lang="hr-HR">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Dodaj element grafikona,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Crta trenda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Više mogućnosti crte trenda</a:t>
              </a:r>
              <a:r>
                <a:rPr lang="hr-HR" sz="1100" baseline="0">
                  <a:solidFill>
                    <a:schemeClr val="dk1"/>
                  </a:solidFill>
                  <a:effectLst/>
                  <a:latin typeface="+mn-lt"/>
                  <a:ea typeface="+mn-ea"/>
                  <a:cs typeface="+mn-cs"/>
                </a:rPr>
                <a:t>, odaberemo odgovarajući model (linearni, eksponencijalni ili polinomski 2. stupnja).</a:t>
              </a:r>
              <a:endParaRPr lang="hr-HR">
                <a:effectLst/>
              </a:endParaRPr>
            </a:p>
            <a:p>
              <a:r>
                <a:rPr lang="hr-HR" sz="1100" baseline="0">
                  <a:solidFill>
                    <a:schemeClr val="dk1"/>
                  </a:solidFill>
                  <a:effectLst/>
                  <a:latin typeface="+mn-lt"/>
                  <a:ea typeface="+mn-ea"/>
                  <a:cs typeface="+mn-cs"/>
                </a:rPr>
                <a:t>Na dnu odaberemo: </a:t>
              </a:r>
              <a:r>
                <a:rPr lang="hr-HR" sz="1100" i="1" baseline="0">
                  <a:solidFill>
                    <a:schemeClr val="dk1"/>
                  </a:solidFill>
                  <a:effectLst/>
                  <a:latin typeface="+mn-lt"/>
                  <a:ea typeface="+mn-ea"/>
                  <a:cs typeface="+mn-cs"/>
                </a:rPr>
                <a:t>Prikaži jednadžbu na grafikonu</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Prikaži R-kvadratnu vrijednost na grafikonu</a:t>
              </a:r>
              <a:r>
                <a:rPr lang="hr-HR" sz="1100" baseline="0">
                  <a:solidFill>
                    <a:schemeClr val="dk1"/>
                  </a:solidFill>
                  <a:effectLst/>
                  <a:latin typeface="+mn-lt"/>
                  <a:ea typeface="+mn-ea"/>
                  <a:cs typeface="+mn-cs"/>
                </a:rPr>
                <a:t>.</a:t>
              </a:r>
              <a:endParaRPr lang="hr-HR">
                <a:effectLst/>
              </a:endParaRPr>
            </a:p>
            <a:p>
              <a:endParaRPr lang="hr-HR" sz="1100"/>
            </a:p>
            <a:p>
              <a:r>
                <a:rPr lang="hr-HR" sz="1100" b="1"/>
                <a:t>Linearna</a:t>
              </a:r>
              <a:r>
                <a:rPr lang="hr-HR" sz="1100" b="1" baseline="0"/>
                <a:t> funkcija</a:t>
              </a:r>
              <a:endParaRPr lang="hr-HR" sz="1100" b="1"/>
            </a:p>
            <a:p>
              <a:pPr/>
              <a:r>
                <a:rPr lang="hr-HR" sz="1100" i="0">
                  <a:latin typeface="Cambria Math" panose="02040503050406030204" pitchFamily="18" charset="0"/>
                </a:rPr>
                <a:t>𝑓(𝑥)=</a:t>
              </a:r>
              <a:r>
                <a:rPr lang="en-US" sz="1100" b="0" i="0">
                  <a:latin typeface="Cambria Math" panose="02040503050406030204" pitchFamily="18" charset="0"/>
                </a:rPr>
                <a:t>𝑎</a:t>
              </a:r>
              <a:r>
                <a:rPr lang="hr-HR" sz="1100" i="0">
                  <a:latin typeface="Cambria Math" panose="02040503050406030204" pitchFamily="18" charset="0"/>
                </a:rPr>
                <a:t>𝑥+</a:t>
              </a:r>
              <a:r>
                <a:rPr lang="en-US" sz="1100" b="0" i="0">
                  <a:latin typeface="Cambria Math" panose="02040503050406030204" pitchFamily="18" charset="0"/>
                </a:rPr>
                <a:t>𝑏</a:t>
              </a:r>
              <a:endParaRPr lang="hr-HR" sz="1100"/>
            </a:p>
            <a:p>
              <a:r>
                <a:rPr lang="en-US" sz="1100"/>
                <a:t>a</a:t>
              </a:r>
              <a:r>
                <a:rPr lang="hr-HR" sz="1100"/>
                <a:t> = koeficijent smjera (prosječno povećanje/smanjenje</a:t>
              </a:r>
              <a:r>
                <a:rPr lang="hr-HR" sz="1100" baseline="0"/>
                <a:t> varijable y za promjenu varijable x za jednu jedinicu)</a:t>
              </a:r>
              <a:endParaRPr lang="hr-HR" sz="1100"/>
            </a:p>
            <a:p>
              <a:r>
                <a:rPr lang="hr-HR" sz="1100" baseline="0"/>
                <a:t>interpretacija parametra </a:t>
              </a:r>
              <a:r>
                <a:rPr lang="en-US" sz="1100" i="1" baseline="0"/>
                <a:t>a</a:t>
              </a:r>
              <a:r>
                <a:rPr lang="hr-HR" sz="1100" baseline="0"/>
                <a:t>: s povećanjem x za 1 jedinicu </a:t>
              </a:r>
              <a:r>
                <a:rPr lang="hr-HR" sz="1100" i="1" baseline="0"/>
                <a:t>y </a:t>
              </a:r>
              <a:r>
                <a:rPr lang="hr-HR" sz="1100" i="0" baseline="0"/>
                <a:t>se u</a:t>
              </a:r>
              <a:r>
                <a:rPr lang="hr-HR" sz="1100" baseline="0"/>
                <a:t> prosjeku povećava/smanjuje za </a:t>
              </a:r>
              <a:r>
                <a:rPr lang="en-US" sz="1100" i="1" baseline="0"/>
                <a:t>a</a:t>
              </a:r>
              <a:r>
                <a:rPr lang="hr-HR" sz="1100" i="1" baseline="0"/>
                <a:t> </a:t>
              </a:r>
              <a:r>
                <a:rPr lang="hr-HR" sz="1100" baseline="0"/>
                <a:t> jedinica.</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hr-HR" sz="1100">
                  <a:solidFill>
                    <a:schemeClr val="dk1"/>
                  </a:solidFill>
                  <a:effectLst/>
                  <a:latin typeface="+mn-lt"/>
                  <a:ea typeface="+mn-ea"/>
                  <a:cs typeface="+mn-cs"/>
                </a:rPr>
                <a:t> =odsječak</a:t>
              </a:r>
              <a:r>
                <a:rPr lang="hr-HR" sz="1100" baseline="0">
                  <a:solidFill>
                    <a:schemeClr val="dk1"/>
                  </a:solidFill>
                  <a:effectLst/>
                  <a:latin typeface="+mn-lt"/>
                  <a:ea typeface="+mn-ea"/>
                  <a:cs typeface="+mn-cs"/>
                </a:rPr>
                <a:t> na osi y</a:t>
              </a:r>
              <a:endParaRPr lang="hr-HR">
                <a:effectLst/>
              </a:endParaRPr>
            </a:p>
            <a:p>
              <a:r>
                <a:rPr lang="hr-HR" sz="1100" b="0" baseline="0"/>
                <a:t>interpretacija parametra </a:t>
              </a:r>
              <a:r>
                <a:rPr lang="en-US" sz="1100" b="0" i="1" baseline="0"/>
                <a:t>b</a:t>
              </a:r>
              <a:r>
                <a:rPr lang="hr-HR" sz="1100" b="0" i="0" baseline="0"/>
                <a:t>: za vrijednost varijable x nula, vrijednost y </a:t>
              </a:r>
              <a:r>
                <a:rPr lang="hr-HR" sz="1100" b="0" i="0" baseline="0">
                  <a:solidFill>
                    <a:schemeClr val="dk1"/>
                  </a:solidFill>
                  <a:effectLst/>
                  <a:latin typeface="+mn-lt"/>
                  <a:ea typeface="+mn-ea"/>
                  <a:cs typeface="+mn-cs"/>
                </a:rPr>
                <a:t>u prosjeku  i</a:t>
              </a:r>
              <a:r>
                <a:rPr lang="hr-HR" sz="1100" b="0" i="0" baseline="0"/>
                <a:t>znosi </a:t>
              </a:r>
              <a:r>
                <a:rPr lang="en-US" sz="1100" b="0" i="1" baseline="0"/>
                <a:t>b</a:t>
              </a:r>
              <a:r>
                <a:rPr lang="hr-HR" sz="1100" b="0" i="0" baseline="0"/>
                <a:t> jedinica.</a:t>
              </a:r>
              <a:endParaRPr lang="hr-HR" sz="1100" b="0" baseline="0"/>
            </a:p>
            <a:p>
              <a:endParaRPr lang="hr-HR" sz="1100" b="1" baseline="0"/>
            </a:p>
            <a:p>
              <a:r>
                <a:rPr lang="hr-HR" sz="1100" b="1" baseline="0"/>
                <a:t>Kvadratna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i="0">
                  <a:solidFill>
                    <a:schemeClr val="dk1"/>
                  </a:solidFill>
                  <a:effectLst/>
                  <a:latin typeface="Cambria Math" panose="02040503050406030204" pitchFamily="18" charset="0"/>
                  <a:ea typeface="+mn-ea"/>
                  <a:cs typeface="+mn-cs"/>
                </a:rPr>
                <a:t>𝑓(𝑥)=𝑎𝑥^2+𝑏𝑥</a:t>
              </a:r>
              <a:r>
                <a:rPr lang="hr-HR" sz="1100" b="0" i="0">
                  <a:solidFill>
                    <a:schemeClr val="dk1"/>
                  </a:solidFill>
                  <a:effectLst/>
                  <a:latin typeface="Cambria Math" panose="02040503050406030204" pitchFamily="18" charset="0"/>
                  <a:ea typeface="+mn-ea"/>
                  <a:cs typeface="+mn-cs"/>
                </a:rPr>
                <a:t>+𝑐</a:t>
              </a:r>
              <a:endParaRPr lang="hr-HR">
                <a:effectLst/>
              </a:endParaRPr>
            </a:p>
            <a:p>
              <a:r>
                <a:rPr lang="hr-HR" sz="1100" baseline="0"/>
                <a:t>a= koeficijent smjera</a:t>
              </a:r>
            </a:p>
            <a:p>
              <a:r>
                <a:rPr lang="hr-HR" sz="1100" i="0" baseline="0">
                  <a:latin typeface="Cambria Math" panose="02040503050406030204" pitchFamily="18" charset="0"/>
                </a:rPr>
                <a:t>𝑎&gt;0</a:t>
              </a:r>
              <a:r>
                <a:rPr lang="hr-HR" sz="1100" baseline="0"/>
                <a:t> nasmiješena</a:t>
              </a:r>
            </a:p>
            <a:p>
              <a:r>
                <a:rPr lang="hr-HR" sz="1100" i="0" baseline="0">
                  <a:latin typeface="Cambria Math" panose="02040503050406030204" pitchFamily="18" charset="0"/>
                </a:rPr>
                <a:t>𝑎&lt;0</a:t>
              </a:r>
              <a:r>
                <a:rPr lang="hr-HR" sz="1100" baseline="0"/>
                <a:t> namrgođena</a:t>
              </a:r>
            </a:p>
            <a:p>
              <a:pPr/>
              <a:r>
                <a:rPr lang="hr-HR" sz="1100" i="0" baseline="0">
                  <a:latin typeface="Cambria Math" panose="02040503050406030204" pitchFamily="18" charset="0"/>
                </a:rPr>
                <a:t>𝐷=</a:t>
              </a:r>
              <a:r>
                <a:rPr lang="hr-HR" sz="1100" b="0" i="0" baseline="0">
                  <a:latin typeface="Cambria Math" panose="02040503050406030204" pitchFamily="18" charset="0"/>
                </a:rPr>
                <a:t>𝑏^2</a:t>
              </a:r>
              <a:r>
                <a:rPr lang="hr-HR" sz="1100" i="0" baseline="0">
                  <a:latin typeface="Cambria Math" panose="02040503050406030204" pitchFamily="18" charset="0"/>
                </a:rPr>
                <a:t>−4𝑎𝑐</a:t>
              </a:r>
              <a:endParaRPr lang="hr-HR" sz="1100" baseline="0"/>
            </a:p>
            <a:p>
              <a:r>
                <a:rPr lang="hr-HR" sz="1100" baseline="0"/>
                <a:t>Nultočke </a:t>
              </a:r>
              <a:r>
                <a:rPr lang="hr-HR" sz="1100" b="0" i="0">
                  <a:solidFill>
                    <a:schemeClr val="dk1"/>
                  </a:solidFill>
                  <a:effectLst/>
                  <a:latin typeface="Cambria Math" panose="02040503050406030204" pitchFamily="18" charset="0"/>
                  <a:ea typeface="+mn-ea"/>
                  <a:cs typeface="+mn-cs"/>
                </a:rPr>
                <a:t>𝑥_1,2=(−𝑏±√(𝑏^2−4𝑎𝑐))/2𝑎</a:t>
              </a:r>
              <a:r>
                <a:rPr lang="hr-HR" sz="1100" baseline="0"/>
                <a:t> ili </a:t>
              </a:r>
              <a:r>
                <a:rPr lang="hr-HR" sz="1100" b="0" i="0">
                  <a:solidFill>
                    <a:schemeClr val="dk1"/>
                  </a:solidFill>
                  <a:effectLst/>
                  <a:latin typeface="Cambria Math" panose="02040503050406030204" pitchFamily="18" charset="0"/>
                  <a:ea typeface="+mn-ea"/>
                  <a:cs typeface="+mn-cs"/>
                </a:rPr>
                <a:t>𝑥_1,2=(−𝑏±√𝐷)/2𝑎</a:t>
              </a:r>
              <a:r>
                <a:rPr lang="hr-HR" sz="1100" baseline="0">
                  <a:solidFill>
                    <a:schemeClr val="dk1"/>
                  </a:solidFill>
                  <a:effectLst/>
                  <a:latin typeface="+mn-lt"/>
                  <a:ea typeface="+mn-ea"/>
                  <a:cs typeface="+mn-cs"/>
                </a:rPr>
                <a:t> </a:t>
              </a:r>
              <a:endParaRPr lang="hr-HR" sz="1100" baseline="0"/>
            </a:p>
            <a:p>
              <a:r>
                <a:rPr lang="hr-HR" sz="1100" baseline="0"/>
                <a:t>Tjeme </a:t>
              </a:r>
              <a:r>
                <a:rPr lang="hr-HR" sz="1100" b="0" i="0">
                  <a:solidFill>
                    <a:schemeClr val="dk1"/>
                  </a:solidFill>
                  <a:effectLst/>
                  <a:latin typeface="Cambria Math" panose="02040503050406030204" pitchFamily="18" charset="0"/>
                  <a:ea typeface="+mn-ea"/>
                  <a:cs typeface="+mn-cs"/>
                </a:rPr>
                <a:t>((−𝑏)/2𝑎,(4𝑎𝑐−𝑏^2)/4𝑎)</a:t>
              </a:r>
              <a:endParaRPr lang="hr-HR" sz="1100" baseline="0"/>
            </a:p>
            <a:p>
              <a:endParaRPr lang="hr-HR" sz="1100" baseline="0"/>
            </a:p>
            <a:p>
              <a:endParaRPr lang="hr-HR" sz="1100" baseline="0"/>
            </a:p>
            <a:p>
              <a:r>
                <a:rPr lang="hr-HR" sz="1100" b="1" baseline="0"/>
                <a:t>Eksponencijalna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izrađujemo model u Excelu pomoću grafa, dobije se u obliku </a:t>
              </a:r>
              <a:r>
                <a:rPr lang="hr-HR" sz="1100" i="0">
                  <a:solidFill>
                    <a:schemeClr val="dk1"/>
                  </a:solidFill>
                  <a:effectLst/>
                  <a:latin typeface="Cambria Math" panose="02040503050406030204" pitchFamily="18" charset="0"/>
                  <a:ea typeface="+mn-ea"/>
                  <a:cs typeface="+mn-cs"/>
                </a:rPr>
                <a:t>𝑓(𝑥)=𝑎∙</a:t>
              </a:r>
              <a:r>
                <a:rPr lang="hr-HR" sz="1100" b="0" i="0">
                  <a:solidFill>
                    <a:schemeClr val="dk1"/>
                  </a:solidFill>
                  <a:effectLst/>
                  <a:latin typeface="Cambria Math" panose="02040503050406030204" pitchFamily="18" charset="0"/>
                  <a:ea typeface="+mn-ea"/>
                  <a:cs typeface="+mn-cs"/>
                </a:rPr>
                <a:t>𝑒^𝑐𝑥</a:t>
              </a:r>
              <a:r>
                <a:rPr lang="hr-HR" sz="1100">
                  <a:solidFill>
                    <a:schemeClr val="dk1"/>
                  </a:solidFill>
                  <a:effectLst/>
                  <a:latin typeface="+mn-lt"/>
                  <a:ea typeface="+mn-ea"/>
                  <a:cs typeface="+mn-cs"/>
                </a:rPr>
                <a:t>.</a:t>
              </a:r>
            </a:p>
            <a:p>
              <a:r>
                <a:rPr lang="hr-HR" sz="1100" baseline="0">
                  <a:solidFill>
                    <a:schemeClr val="dk1"/>
                  </a:solidFill>
                  <a:effectLst/>
                  <a:latin typeface="+mn-lt"/>
                  <a:ea typeface="+mn-ea"/>
                  <a:cs typeface="+mn-cs"/>
                </a:rPr>
                <a:t>interpretacija parametra </a:t>
              </a:r>
              <a:r>
                <a:rPr lang="hr-HR" sz="1100" i="1" baseline="0">
                  <a:solidFill>
                    <a:schemeClr val="dk1"/>
                  </a:solidFill>
                  <a:effectLst/>
                  <a:latin typeface="+mn-lt"/>
                  <a:ea typeface="+mn-ea"/>
                  <a:cs typeface="+mn-cs"/>
                </a:rPr>
                <a:t>c</a:t>
              </a:r>
              <a:r>
                <a:rPr lang="hr-HR" sz="1100" baseline="0">
                  <a:solidFill>
                    <a:schemeClr val="dk1"/>
                  </a:solidFill>
                  <a:effectLst/>
                  <a:latin typeface="+mn-lt"/>
                  <a:ea typeface="+mn-ea"/>
                  <a:cs typeface="+mn-cs"/>
                </a:rPr>
                <a:t>: s povećanjem x za 1 jedinicu </a:t>
              </a:r>
              <a:r>
                <a:rPr lang="hr-HR" sz="1100" i="1" baseline="0">
                  <a:solidFill>
                    <a:schemeClr val="dk1"/>
                  </a:solidFill>
                  <a:effectLst/>
                  <a:latin typeface="+mn-lt"/>
                  <a:ea typeface="+mn-ea"/>
                  <a:cs typeface="+mn-cs"/>
                </a:rPr>
                <a:t>y </a:t>
              </a:r>
              <a:r>
                <a:rPr lang="hr-HR" sz="1100" i="0" baseline="0">
                  <a:solidFill>
                    <a:schemeClr val="dk1"/>
                  </a:solidFill>
                  <a:effectLst/>
                  <a:latin typeface="+mn-lt"/>
                  <a:ea typeface="+mn-ea"/>
                  <a:cs typeface="+mn-cs"/>
                </a:rPr>
                <a:t>se u</a:t>
              </a:r>
              <a:r>
                <a:rPr lang="hr-HR" sz="1100" baseline="0">
                  <a:solidFill>
                    <a:schemeClr val="dk1"/>
                  </a:solidFill>
                  <a:effectLst/>
                  <a:latin typeface="+mn-lt"/>
                  <a:ea typeface="+mn-ea"/>
                  <a:cs typeface="+mn-cs"/>
                </a:rPr>
                <a:t> prosjeku povećava/smanjuje za </a:t>
              </a:r>
              <a:r>
                <a:rPr lang="hr-HR" sz="1100" i="1" baseline="0">
                  <a:solidFill>
                    <a:schemeClr val="dk1"/>
                  </a:solidFill>
                  <a:effectLst/>
                  <a:latin typeface="+mn-lt"/>
                  <a:ea typeface="+mn-ea"/>
                  <a:cs typeface="+mn-cs"/>
                </a:rPr>
                <a:t>c*100%</a:t>
              </a:r>
              <a:r>
                <a:rPr lang="hr-HR" sz="1100" baseline="0">
                  <a:solidFill>
                    <a:schemeClr val="dk1"/>
                  </a:solidFill>
                  <a:effectLst/>
                  <a:latin typeface="+mn-lt"/>
                  <a:ea typeface="+mn-ea"/>
                  <a:cs typeface="+mn-cs"/>
                </a:rPr>
                <a:t>.</a:t>
              </a:r>
              <a:endParaRPr lang="hr-HR">
                <a:effectLst/>
              </a:endParaRPr>
            </a:p>
            <a:p>
              <a:r>
                <a:rPr lang="hr-HR" sz="1100" b="0" baseline="0">
                  <a:solidFill>
                    <a:schemeClr val="dk1"/>
                  </a:solidFill>
                  <a:effectLst/>
                  <a:latin typeface="+mn-lt"/>
                  <a:ea typeface="+mn-ea"/>
                  <a:cs typeface="+mn-cs"/>
                </a:rPr>
                <a:t>interpretacija parametra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za vrijednost varijable x nula, vrijednost y u prosjeku  iznosi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jedinica.</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a:effectLst/>
                </a:rPr>
                <a:t>Ako je c &gt; 0,05 tada se računa parametar </a:t>
              </a:r>
              <a:r>
                <a:rPr lang="hr-HR" i="1">
                  <a:effectLst/>
                </a:rPr>
                <a:t>b</a:t>
              </a:r>
              <a:r>
                <a:rPr lang="hr-HR" i="0">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Parametar</a:t>
              </a:r>
              <a:r>
                <a:rPr lang="hr-HR" sz="110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𝑏</a:t>
              </a:r>
              <a:r>
                <a:rPr lang="hr-HR" sz="1100" baseline="0">
                  <a:solidFill>
                    <a:schemeClr val="dk1"/>
                  </a:solidFill>
                  <a:effectLst/>
                  <a:latin typeface="+mn-lt"/>
                  <a:ea typeface="+mn-ea"/>
                  <a:cs typeface="+mn-cs"/>
                </a:rPr>
                <a:t> se određuje: </a:t>
              </a:r>
              <a:r>
                <a:rPr lang="hr-HR" sz="1100" i="0" baseline="0">
                  <a:solidFill>
                    <a:schemeClr val="dk1"/>
                  </a:solidFill>
                  <a:effectLst/>
                  <a:latin typeface="Cambria Math" panose="02040503050406030204" pitchFamily="18" charset="0"/>
                  <a:ea typeface="+mn-ea"/>
                  <a:cs typeface="+mn-cs"/>
                </a:rPr>
                <a:t>𝑏=𝐸𝑋𝑃(𝑐)</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a:solidFill>
                    <a:schemeClr val="dk1"/>
                  </a:solidFill>
                  <a:effectLst/>
                  <a:latin typeface="Cambria Math" panose="02040503050406030204" pitchFamily="18" charset="0"/>
                  <a:ea typeface="+mn-ea"/>
                  <a:cs typeface="+mn-cs"/>
                </a:rPr>
                <a:t>𝑓(𝑥)=𝑎</a:t>
              </a:r>
              <a:r>
                <a:rPr lang="hr-HR" sz="1100" i="0">
                  <a:solidFill>
                    <a:schemeClr val="dk1"/>
                  </a:solidFill>
                  <a:effectLst/>
                  <a:latin typeface="Cambria Math" panose="02040503050406030204" pitchFamily="18" charset="0"/>
                  <a:ea typeface="Cambria Math" panose="02040503050406030204" pitchFamily="18" charset="0"/>
                  <a:cs typeface="+mn-cs"/>
                </a:rPr>
                <a:t>∙</a:t>
              </a:r>
              <a:r>
                <a:rPr lang="hr-HR" sz="1100" b="0" i="0">
                  <a:solidFill>
                    <a:schemeClr val="dk1"/>
                  </a:solidFill>
                  <a:effectLst/>
                  <a:latin typeface="Cambria Math" panose="02040503050406030204" pitchFamily="18" charset="0"/>
                  <a:ea typeface="+mn-ea"/>
                  <a:cs typeface="+mn-cs"/>
                </a:rPr>
                <a:t>𝑏^𝑥</a:t>
              </a: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npr. </a:t>
              </a:r>
              <a:r>
                <a:rPr lang="hr-HR" sz="1100" i="0" baseline="0">
                  <a:solidFill>
                    <a:schemeClr val="dk1"/>
                  </a:solidFill>
                  <a:effectLst/>
                  <a:latin typeface="Cambria Math" panose="02040503050406030204" pitchFamily="18" charset="0"/>
                  <a:ea typeface="+mn-ea"/>
                  <a:cs typeface="+mn-cs"/>
                </a:rPr>
                <a:t>𝑏=1,03 </a:t>
              </a:r>
              <a:r>
                <a:rPr lang="hr-HR" sz="1100" baseline="0">
                  <a:solidFill>
                    <a:schemeClr val="dk1"/>
                  </a:solidFill>
                  <a:effectLst/>
                  <a:latin typeface="+mn-lt"/>
                  <a:ea typeface="+mn-ea"/>
                  <a:cs typeface="+mn-cs"/>
                </a:rPr>
                <a:t>prosječna postotna promjena iznosi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𝑏</a:t>
              </a:r>
              <a:r>
                <a:rPr lang="hr-HR" sz="1100" i="0" baseline="0">
                  <a:solidFill>
                    <a:schemeClr val="dk1"/>
                  </a:solidFill>
                  <a:effectLst/>
                  <a:latin typeface="Cambria Math" panose="02040503050406030204" pitchFamily="18" charset="0"/>
                  <a:ea typeface="+mn-ea"/>
                  <a:cs typeface="+mn-cs"/>
                </a:rPr>
                <a:t>−1)=(1,03−1)=0,03=3%</a:t>
              </a:r>
              <a:r>
                <a:rPr lang="hr-H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postotni rast 7,2 % tada je </a:t>
              </a:r>
              <a:r>
                <a:rPr lang="hr-HR" sz="1100" i="0" baseline="0">
                  <a:solidFill>
                    <a:schemeClr val="dk1"/>
                  </a:solidFill>
                  <a:effectLst/>
                  <a:latin typeface="Cambria Math" panose="02040503050406030204" pitchFamily="18" charset="0"/>
                  <a:ea typeface="+mn-ea"/>
                  <a:cs typeface="+mn-cs"/>
                </a:rPr>
                <a:t>𝑏=1,072</a:t>
              </a:r>
              <a:r>
                <a:rPr lang="hr-HR" sz="1100" baseline="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baseline="0"/>
            </a:p>
            <a:p>
              <a:endParaRPr lang="hr-HR" b="0">
                <a:effectLst/>
                <a:ea typeface="Cambria Math" panose="02040503050406030204" pitchFamily="18" charset="0"/>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579120</xdr:colOff>
      <xdr:row>15</xdr:row>
      <xdr:rowOff>0</xdr:rowOff>
    </xdr:from>
    <xdr:to>
      <xdr:col>10</xdr:col>
      <xdr:colOff>396240</xdr:colOff>
      <xdr:row>28</xdr:row>
      <xdr:rowOff>99060</xdr:rowOff>
    </xdr:to>
    <xdr:graphicFrame macro="">
      <xdr:nvGraphicFramePr>
        <xdr:cNvPr id="2" name="Grafikon 1">
          <a:extLst>
            <a:ext uri="{FF2B5EF4-FFF2-40B4-BE49-F238E27FC236}">
              <a16:creationId xmlns:a16="http://schemas.microsoft.com/office/drawing/2014/main" id="{75CE2278-5006-8C2A-ECA8-941023E1E3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200025</xdr:colOff>
      <xdr:row>1</xdr:row>
      <xdr:rowOff>0</xdr:rowOff>
    </xdr:from>
    <xdr:ext cx="1666875" cy="352425"/>
    <xdr:sp macro="" textlink="">
      <xdr:nvSpPr>
        <xdr:cNvPr id="11" name="Shape 11">
          <a:extLst>
            <a:ext uri="{FF2B5EF4-FFF2-40B4-BE49-F238E27FC236}">
              <a16:creationId xmlns:a16="http://schemas.microsoft.com/office/drawing/2014/main" id="{00000000-0008-0000-0E00-00000B000000}"/>
            </a:ext>
          </a:extLst>
        </xdr:cNvPr>
        <xdr:cNvSpPr txBox="1"/>
      </xdr:nvSpPr>
      <xdr:spPr>
        <a:xfrm>
          <a:off x="4513674" y="3606202"/>
          <a:ext cx="1664653" cy="347596"/>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b="0" i="0">
            <a:latin typeface="Calibri"/>
            <a:ea typeface="Calibri"/>
            <a:cs typeface="Calibri"/>
            <a:sym typeface="Calibri"/>
          </a:endParaRPr>
        </a:p>
        <a:p>
          <a:pPr marL="0" lvl="0" indent="0" algn="l" rtl="0">
            <a:spcBef>
              <a:spcPts val="0"/>
            </a:spcBef>
            <a:spcAft>
              <a:spcPts val="0"/>
            </a:spcAft>
            <a:buNone/>
          </a:pPr>
          <a:endParaRPr sz="1100" b="0"/>
        </a:p>
      </xdr:txBody>
    </xdr:sp>
    <xdr:clientData fLocksWithSheet="0"/>
  </xdr:oneCellAnchor>
  <xdr:twoCellAnchor>
    <xdr:from>
      <xdr:col>2</xdr:col>
      <xdr:colOff>1158240</xdr:colOff>
      <xdr:row>5</xdr:row>
      <xdr:rowOff>152400</xdr:rowOff>
    </xdr:from>
    <xdr:to>
      <xdr:col>7</xdr:col>
      <xdr:colOff>419100</xdr:colOff>
      <xdr:row>15</xdr:row>
      <xdr:rowOff>106680</xdr:rowOff>
    </xdr:to>
    <xdr:graphicFrame macro="">
      <xdr:nvGraphicFramePr>
        <xdr:cNvPr id="2" name="Grafikon 1">
          <a:extLst>
            <a:ext uri="{FF2B5EF4-FFF2-40B4-BE49-F238E27FC236}">
              <a16:creationId xmlns:a16="http://schemas.microsoft.com/office/drawing/2014/main" id="{37B317F9-6A91-4ED8-BD09-B3D024E4D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xdr:colOff>
      <xdr:row>8</xdr:row>
      <xdr:rowOff>144780</xdr:rowOff>
    </xdr:from>
    <xdr:to>
      <xdr:col>11</xdr:col>
      <xdr:colOff>426720</xdr:colOff>
      <xdr:row>24</xdr:row>
      <xdr:rowOff>83820</xdr:rowOff>
    </xdr:to>
    <xdr:graphicFrame macro="">
      <xdr:nvGraphicFramePr>
        <xdr:cNvPr id="2" name="Grafikon 1">
          <a:extLst>
            <a:ext uri="{FF2B5EF4-FFF2-40B4-BE49-F238E27FC236}">
              <a16:creationId xmlns:a16="http://schemas.microsoft.com/office/drawing/2014/main" id="{21589079-E416-E4D8-EFB6-25B0034790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00"/>
  <sheetViews>
    <sheetView tabSelected="1" zoomScale="110" zoomScaleNormal="110" workbookViewId="0">
      <selection activeCell="C1" sqref="C1"/>
    </sheetView>
  </sheetViews>
  <sheetFormatPr defaultColWidth="14.453125" defaultRowHeight="15" customHeight="1" x14ac:dyDescent="0.35"/>
  <cols>
    <col min="1" max="1" width="17.36328125" customWidth="1"/>
    <col min="2" max="2" width="17.6328125" customWidth="1"/>
    <col min="3" max="3" width="14.6328125" customWidth="1"/>
    <col min="4" max="4" width="12.36328125" customWidth="1"/>
    <col min="5" max="5" width="10.453125" customWidth="1"/>
    <col min="6" max="26" width="8.6328125" customWidth="1"/>
  </cols>
  <sheetData>
    <row r="1" spans="1:8" ht="26" x14ac:dyDescent="0.6">
      <c r="C1" s="1" t="s">
        <v>0</v>
      </c>
      <c r="F1" s="2"/>
      <c r="H1" s="3" t="s">
        <v>1</v>
      </c>
    </row>
    <row r="2" spans="1:8" ht="14.25" customHeight="1" x14ac:dyDescent="0.35">
      <c r="C2" s="190" t="s">
        <v>276</v>
      </c>
      <c r="H2" s="3" t="s">
        <v>2</v>
      </c>
    </row>
    <row r="3" spans="1:8" ht="14.25" customHeight="1" x14ac:dyDescent="0.35">
      <c r="C3" s="190" t="s">
        <v>275</v>
      </c>
    </row>
    <row r="4" spans="1:8" ht="14.25" customHeight="1" x14ac:dyDescent="0.35"/>
    <row r="5" spans="1:8" ht="14.25" customHeight="1" x14ac:dyDescent="0.35"/>
    <row r="6" spans="1:8" ht="14.25" customHeight="1" x14ac:dyDescent="0.35">
      <c r="A6" s="4" t="s">
        <v>267</v>
      </c>
    </row>
    <row r="7" spans="1:8" ht="14.25" customHeight="1" x14ac:dyDescent="0.35">
      <c r="A7" s="5" t="s">
        <v>3</v>
      </c>
      <c r="B7" s="6" t="s">
        <v>4</v>
      </c>
    </row>
    <row r="8" spans="1:8" ht="14.25" customHeight="1" x14ac:dyDescent="0.35">
      <c r="A8" s="5" t="s">
        <v>5</v>
      </c>
      <c r="B8" s="6" t="s">
        <v>4</v>
      </c>
    </row>
    <row r="9" spans="1:8" ht="14.25" customHeight="1" x14ac:dyDescent="0.35">
      <c r="A9" s="5" t="s">
        <v>6</v>
      </c>
      <c r="B9" s="6" t="s">
        <v>4</v>
      </c>
    </row>
    <row r="10" spans="1:8" ht="14.25" customHeight="1" x14ac:dyDescent="0.35">
      <c r="A10" s="5" t="s">
        <v>7</v>
      </c>
      <c r="B10" s="6" t="s">
        <v>4</v>
      </c>
    </row>
    <row r="11" spans="1:8" ht="14.25" customHeight="1" x14ac:dyDescent="0.35"/>
    <row r="12" spans="1:8" ht="14.25" customHeight="1" x14ac:dyDescent="0.35">
      <c r="A12" s="7"/>
      <c r="B12" s="191"/>
      <c r="C12" s="192"/>
      <c r="D12" s="191"/>
      <c r="E12" s="192"/>
      <c r="F12" s="8" t="s">
        <v>8</v>
      </c>
    </row>
    <row r="13" spans="1:8" ht="14.25" customHeight="1" x14ac:dyDescent="0.35">
      <c r="A13" s="9" t="s">
        <v>9</v>
      </c>
      <c r="B13" s="8" t="s">
        <v>10</v>
      </c>
      <c r="C13" s="8" t="s">
        <v>11</v>
      </c>
      <c r="D13" s="8" t="s">
        <v>12</v>
      </c>
      <c r="E13" s="8" t="s">
        <v>13</v>
      </c>
      <c r="F13" s="8"/>
    </row>
    <row r="14" spans="1:8" ht="14.25" customHeight="1" x14ac:dyDescent="0.35">
      <c r="A14" s="9" t="s">
        <v>14</v>
      </c>
      <c r="B14" s="10">
        <v>21</v>
      </c>
      <c r="C14" s="10">
        <v>21</v>
      </c>
      <c r="D14" s="10">
        <v>21</v>
      </c>
      <c r="E14" s="10">
        <v>21</v>
      </c>
      <c r="F14" s="10">
        <v>84</v>
      </c>
    </row>
    <row r="15" spans="1:8" ht="14.25" customHeight="1" x14ac:dyDescent="0.35">
      <c r="A15" s="9" t="s">
        <v>15</v>
      </c>
      <c r="B15" s="11" t="s">
        <v>16</v>
      </c>
      <c r="C15" s="11" t="s">
        <v>16</v>
      </c>
      <c r="D15" s="11" t="s">
        <v>16</v>
      </c>
      <c r="E15" s="11" t="s">
        <v>16</v>
      </c>
      <c r="F15" s="11" t="s">
        <v>17</v>
      </c>
    </row>
    <row r="16" spans="1:8" ht="14.25" customHeight="1" x14ac:dyDescent="0.35">
      <c r="A16" s="12"/>
      <c r="B16" s="13"/>
      <c r="C16" s="13"/>
      <c r="D16" s="13"/>
      <c r="E16" s="13"/>
      <c r="F16" s="13"/>
    </row>
    <row r="17" spans="1:1" ht="21" x14ac:dyDescent="0.5">
      <c r="A17" s="2" t="s">
        <v>18</v>
      </c>
    </row>
    <row r="18" spans="1:1" ht="14.25" customHeight="1" x14ac:dyDescent="0.35"/>
    <row r="19" spans="1:1" ht="14.25" customHeight="1" x14ac:dyDescent="0.35"/>
    <row r="20" spans="1:1" ht="14.25" customHeight="1" x14ac:dyDescent="0.35">
      <c r="A20" s="127" t="s">
        <v>19</v>
      </c>
    </row>
    <row r="21" spans="1:1" ht="14.25" customHeight="1" x14ac:dyDescent="0.35"/>
    <row r="22" spans="1:1" ht="14.25" customHeight="1" x14ac:dyDescent="0.35">
      <c r="A22" s="187" t="s">
        <v>266</v>
      </c>
    </row>
    <row r="23" spans="1:1" ht="14.25" customHeight="1" x14ac:dyDescent="0.35"/>
    <row r="24" spans="1:1" ht="14.25" customHeight="1" x14ac:dyDescent="0.35">
      <c r="A24" s="127" t="s">
        <v>20</v>
      </c>
    </row>
    <row r="25" spans="1:1" ht="14.25" customHeight="1" x14ac:dyDescent="0.35"/>
    <row r="26" spans="1:1" ht="14.25" customHeight="1" x14ac:dyDescent="0.35">
      <c r="A26" s="127" t="s">
        <v>21</v>
      </c>
    </row>
    <row r="27" spans="1:1" ht="14.25" customHeight="1" x14ac:dyDescent="0.35"/>
    <row r="28" spans="1:1" ht="14.25" customHeight="1" x14ac:dyDescent="0.35">
      <c r="A28" s="127" t="s">
        <v>22</v>
      </c>
    </row>
    <row r="29" spans="1:1" ht="14.25" customHeight="1" x14ac:dyDescent="0.35"/>
    <row r="30" spans="1:1" ht="14.25" customHeight="1" x14ac:dyDescent="0.35">
      <c r="A30" s="127" t="s">
        <v>253</v>
      </c>
    </row>
    <row r="31" spans="1:1" ht="14.25" customHeight="1" x14ac:dyDescent="0.35"/>
    <row r="32" spans="1:1" ht="14.25" customHeight="1" x14ac:dyDescent="0.35">
      <c r="A32" s="127" t="s">
        <v>23</v>
      </c>
    </row>
    <row r="33" spans="1:1" ht="14.25" customHeight="1" x14ac:dyDescent="0.35"/>
    <row r="34" spans="1:1" ht="14.25" customHeight="1" x14ac:dyDescent="0.35">
      <c r="A34" s="127" t="s">
        <v>24</v>
      </c>
    </row>
    <row r="35" spans="1:1" ht="14.25" customHeight="1" x14ac:dyDescent="0.35">
      <c r="A35" s="127" t="s">
        <v>25</v>
      </c>
    </row>
    <row r="36" spans="1:1" ht="14.25" customHeight="1" x14ac:dyDescent="0.35">
      <c r="A36" s="127" t="s">
        <v>26</v>
      </c>
    </row>
    <row r="37" spans="1:1" ht="14.25" customHeight="1" x14ac:dyDescent="0.35">
      <c r="A37" s="127" t="s">
        <v>27</v>
      </c>
    </row>
    <row r="38" spans="1:1" ht="14.25" customHeight="1" x14ac:dyDescent="0.35"/>
    <row r="39" spans="1:1" ht="14.25" customHeight="1" x14ac:dyDescent="0.35"/>
    <row r="40" spans="1:1" ht="14.25" customHeight="1" x14ac:dyDescent="0.35"/>
    <row r="41" spans="1:1" ht="14.25" customHeight="1" x14ac:dyDescent="0.35"/>
    <row r="42" spans="1:1" ht="14.25" customHeight="1" x14ac:dyDescent="0.35"/>
    <row r="43" spans="1:1" ht="14.25" customHeight="1" x14ac:dyDescent="0.35"/>
    <row r="44" spans="1:1" ht="14.25" customHeight="1" x14ac:dyDescent="0.35"/>
    <row r="45" spans="1:1" ht="14.25" customHeight="1" x14ac:dyDescent="0.35"/>
    <row r="46" spans="1:1" ht="14.25" customHeight="1" x14ac:dyDescent="0.35"/>
    <row r="47" spans="1:1" ht="14.25" customHeight="1" x14ac:dyDescent="0.35"/>
    <row r="48" spans="1:1"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
    <mergeCell ref="B12:C12"/>
    <mergeCell ref="D12:E12"/>
  </mergeCells>
  <dataValidations count="1">
    <dataValidation type="list" allowBlank="1" showErrorMessage="1" sqref="B7:B10" xr:uid="{00000000-0002-0000-0000-000000000000}">
      <formula1>"ne,da"</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1000"/>
  <sheetViews>
    <sheetView workbookViewId="0"/>
  </sheetViews>
  <sheetFormatPr defaultColWidth="14.453125" defaultRowHeight="15" customHeight="1" x14ac:dyDescent="0.35"/>
  <cols>
    <col min="1" max="26" width="10.6328125" customWidth="1"/>
  </cols>
  <sheetData>
    <row r="1" spans="1:8" ht="14.25" customHeight="1" x14ac:dyDescent="0.35">
      <c r="H1" s="46"/>
    </row>
    <row r="2" spans="1:8" ht="14.25" customHeight="1" x14ac:dyDescent="0.35">
      <c r="C2" s="3" t="s">
        <v>29</v>
      </c>
      <c r="D2" s="14" t="e">
        <f>kontrola!B2</f>
        <v>#REF!</v>
      </c>
      <c r="H2" s="46"/>
    </row>
    <row r="3" spans="1:8" ht="14.25" customHeight="1" x14ac:dyDescent="0.35">
      <c r="H3" s="46"/>
    </row>
    <row r="4" spans="1:8" ht="14.25" customHeight="1" x14ac:dyDescent="0.35">
      <c r="A4" s="3" t="s">
        <v>3</v>
      </c>
      <c r="B4" s="3" t="str">
        <f t="array" ref="B4">IF(kontrola!C4="da", _xludf.IFS(SUM(kontrola!H3:K3)&lt;=2,"Niste svladali osnove postotnog računa.",SUM(kontrola!H3:K3)&lt;=7,"Djelomično ste svladali osnove postotnog računa",SUM(kontrola!H3:K3)&lt;=8,"Odlično ste svladali osnove postotnog računa."), "Ishod 1 niste pisali.")</f>
        <v>Ishod 1 niste pisali.</v>
      </c>
      <c r="H4" s="46"/>
    </row>
    <row r="5" spans="1:8" ht="14.25" customHeight="1" x14ac:dyDescent="0.35">
      <c r="B5" s="3" t="str">
        <f t="array" ref="B5">IF(kontrola!C4="da", _xludf.IFS(SUM(kontrola!L3:M3)&lt;1,"Niste svladali izračun PDV-a.",SUM(kontrola!L3:M3)&lt;3,"Djelomično ste svladali primjenu postotnog računa u marketingu.",SUM(kontrola!L3:M3)&lt;=4,"Odlično ste svladali izračun PDV-a."), "Ishod 1 niste pisali.")</f>
        <v>Ishod 1 niste pisali.</v>
      </c>
      <c r="H5" s="46"/>
    </row>
    <row r="6" spans="1:8" ht="14.25" customHeight="1" x14ac:dyDescent="0.35">
      <c r="B6" s="3" t="str">
        <f t="array" ref="B6">IF(kontrola!C4="da", _xludf.IFS(SUM(kontrola!N3:Q3)&lt;3,"Niste svladali primjenu postotnog računa u marketingu.",SUM(kontrola!N3:Q3)&lt;7,"Djelomično ste svladali izračun PDV-a.",SUM(kontrola!N3:Q3)&lt;=8,"Odlično ste svladali primjenu postotnog računa u marketingu."), "Ishod 1 niste pisali.")</f>
        <v>Ishod 1 niste pisali.</v>
      </c>
      <c r="H6" s="46"/>
    </row>
    <row r="7" spans="1:8" ht="14.25" customHeight="1" x14ac:dyDescent="0.35">
      <c r="H7" s="46"/>
    </row>
    <row r="8" spans="1:8" ht="14.25" customHeight="1" x14ac:dyDescent="0.35">
      <c r="A8" s="3" t="s">
        <v>5</v>
      </c>
      <c r="B8" s="3" t="str">
        <f t="array" ref="B8">IF(kontrola!D4="da", _xludf.IFS(kontrola!R3&lt;2,"Niste svladali obračun plaće.",kontrola!R3&lt;4,"Djelomično ste svladali obračun plaće.",kontrola!R3&lt;=5,"Odlično ste svladali obračun plaće."), "Ishod 2 niste pisali.")</f>
        <v>Ishod 2 niste pisali.</v>
      </c>
      <c r="H8" s="46"/>
    </row>
    <row r="9" spans="1:8" ht="14.25" customHeight="1" x14ac:dyDescent="0.35">
      <c r="B9" s="3" t="str">
        <f t="array" ref="B9">IF(kontrola!D4="da", _xludf.IFS(SUM(kontrola!S3:T3)&lt;3,"Niste svladali složeni kamatni račun.",SUM(kontrola!S3:T3)&lt;8,"Djelomično ste svladali složeni kamatni račun.",SUM(kontrola!S3:T3)&lt;=9,"Odlično ste svladali složeni kamatni račun."), "Ishod 2 niste pisali.")</f>
        <v>Ishod 2 niste pisali.</v>
      </c>
      <c r="H9" s="46"/>
    </row>
    <row r="10" spans="1:8" ht="14.25" customHeight="1" x14ac:dyDescent="0.35">
      <c r="B10" s="3" t="str">
        <f t="array" ref="B10">IF(kontrola!D4="da", _xludf.IFS(kontrola!U3&lt;2,"Niste svladali početnu i konačnu vrijednost višekratnih uplata / isplata.",kontrola!U3&lt;5,"Djelomično ste svladali početnu i konačnu vrijednost višekratnih uplata / isplata.",kontrola!U3&lt;=6,"Odlično ste svladali početnu i konačnu vrijednost višekratnih uplata / isplata."), "Ishod 2 niste pisali.")</f>
        <v>Ishod 2 niste pisali.</v>
      </c>
      <c r="H10" s="46"/>
    </row>
    <row r="11" spans="1:8" ht="14.25" customHeight="1" x14ac:dyDescent="0.35">
      <c r="H11" s="46"/>
    </row>
    <row r="12" spans="1:8" ht="14.25" customHeight="1" x14ac:dyDescent="0.35">
      <c r="A12" s="3" t="s">
        <v>6</v>
      </c>
      <c r="B12" s="3" t="str">
        <f t="array" ref="B12">IF(kontrola!E4="da", _xludf.IFS(SUM(kontrola!V3:W3)&lt;4,"Niste usvojili gradivo izrade otplatne tablice kredita.",SUM(kontrola!V3:W3)&lt;8,"Djelomično ste usvojili gradivo izrade otplatne tablice kredita.",SUM(kontrola!V3:W3)&lt;=10,"Odlično ste usvojili gradivo izrade otplatne tablice kredita."), "Ishod 3 niste pisali.")</f>
        <v>Ishod 3 niste pisali.</v>
      </c>
      <c r="H12" s="46"/>
    </row>
    <row r="13" spans="1:8" ht="14.25" customHeight="1" x14ac:dyDescent="0.35">
      <c r="B13" s="3" t="str">
        <f t="array" ref="B13">IF(kontrola!E4="da", _xludf.IFS(SUM(kontrola!X3:Y3)&lt;4,"Niste svladali konverziju kredita i APN.",SUM(kontrola!X3:Y3)&lt;8,"Djelomično ste svladali konverziju kredita i APN.",SUM(kontrola!X3:Y3)&lt;=10,"Odlično ste svladali konverziju kredita i APN."), "Ishod 3 niste pisali.")</f>
        <v>Ishod 3 niste pisali.</v>
      </c>
      <c r="H13" s="46"/>
    </row>
    <row r="14" spans="1:8" ht="14.25" customHeight="1" x14ac:dyDescent="0.35">
      <c r="H14" s="46"/>
    </row>
    <row r="15" spans="1:8" ht="14.25" customHeight="1" x14ac:dyDescent="0.35">
      <c r="A15" s="3" t="s">
        <v>7</v>
      </c>
      <c r="B15" s="3" t="str">
        <f t="array" ref="B15">IF(kontrola!F4="da", _xludf.IFS(kontrola!Z3&lt;2,"Niste svladali linearnu funkciju i njenu primjenu.",kontrola!Z3&lt;4,"Djelomično ste svladali linearnu funkciju i njenu primjenu.",kontrola!Z3&lt;=5,"Odlično ste svladali linearnu funkciju i njenu primjenu."), "Ishod 4 niste pisali.")</f>
        <v>Ishod 4 niste pisali.</v>
      </c>
      <c r="H15" s="46"/>
    </row>
    <row r="16" spans="1:8" ht="14.25" customHeight="1" x14ac:dyDescent="0.35">
      <c r="B16" s="3" t="str">
        <f t="array" ref="B16">IF(kontrola!F4="da", _xludf.IFS(kontrola!AA3&lt;3,"Niste svladali kvadratnu funkciju i njenu primjenu.",kontrola!AA3&lt;7,"Djelomično ste svladali kvadratnu funkciju i njenu primjenu.",kontrola!AA3&lt;=9,"Odlično ste svladali kvadratnu funkciju i njenu primjenu."), "Ishod 4 niste pisali.")</f>
        <v>Ishod 4 niste pisali.</v>
      </c>
      <c r="H16" s="46"/>
    </row>
    <row r="17" spans="2:8" ht="14.25" customHeight="1" x14ac:dyDescent="0.35">
      <c r="B17" s="3" t="str">
        <f t="array" ref="B17">IF(kontrola!F4="da", _xludf.IFS(kontrola!AB3&lt;3,"Niste svladali eksponencijalnu funkciju i njenu primjenu.",kontrola!AB3&lt;5,"Djelomično ste svladali eksponencijalnu funkciju i njenu primjenu.",kontrola!AB3&lt;=6,"Odlično ste svladali eksponencijalnu funkciju i njenu primjenu."), "Ishod 4 niste pisali.")</f>
        <v>Ishod 4 niste pisali.</v>
      </c>
      <c r="H17" s="46"/>
    </row>
    <row r="18" spans="2:8" ht="14.25" customHeight="1" x14ac:dyDescent="0.35">
      <c r="H18" s="46"/>
    </row>
    <row r="19" spans="2:8" ht="14.25" customHeight="1" x14ac:dyDescent="0.35">
      <c r="H19" s="46"/>
    </row>
    <row r="20" spans="2:8" ht="14.25" customHeight="1" x14ac:dyDescent="0.35">
      <c r="H20" s="46"/>
    </row>
    <row r="21" spans="2:8" ht="14.25" customHeight="1" x14ac:dyDescent="0.35">
      <c r="H21" s="46"/>
    </row>
    <row r="22" spans="2:8" ht="14.25" customHeight="1" x14ac:dyDescent="0.35">
      <c r="H22" s="46"/>
    </row>
    <row r="23" spans="2:8" ht="14.25" customHeight="1" x14ac:dyDescent="0.35">
      <c r="H23" s="46"/>
    </row>
    <row r="24" spans="2:8" ht="14.25" customHeight="1" x14ac:dyDescent="0.35">
      <c r="H24" s="46"/>
    </row>
    <row r="25" spans="2:8" ht="14.25" customHeight="1" x14ac:dyDescent="0.35">
      <c r="H25" s="46"/>
    </row>
    <row r="26" spans="2:8" ht="14.25" customHeight="1" x14ac:dyDescent="0.35">
      <c r="H26" s="46"/>
    </row>
    <row r="27" spans="2:8" ht="14.25" customHeight="1" x14ac:dyDescent="0.35">
      <c r="H27" s="46"/>
    </row>
    <row r="28" spans="2:8" ht="14.25" customHeight="1" x14ac:dyDescent="0.35">
      <c r="H28" s="46"/>
    </row>
    <row r="29" spans="2:8" ht="14.25" customHeight="1" x14ac:dyDescent="0.35">
      <c r="H29" s="46"/>
    </row>
    <row r="30" spans="2:8" ht="14.25" customHeight="1" x14ac:dyDescent="0.35">
      <c r="H30" s="46"/>
    </row>
    <row r="31" spans="2:8" ht="14.25" customHeight="1" x14ac:dyDescent="0.35">
      <c r="H31" s="46"/>
    </row>
    <row r="32" spans="2:8" ht="14.25" customHeight="1" x14ac:dyDescent="0.35">
      <c r="H32" s="46"/>
    </row>
    <row r="33" spans="8:8" ht="14.25" customHeight="1" x14ac:dyDescent="0.35">
      <c r="H33" s="46"/>
    </row>
    <row r="34" spans="8:8" ht="14.25" customHeight="1" x14ac:dyDescent="0.35">
      <c r="H34" s="46"/>
    </row>
    <row r="35" spans="8:8" ht="14.25" customHeight="1" x14ac:dyDescent="0.35">
      <c r="H35" s="46"/>
    </row>
    <row r="36" spans="8:8" ht="14.25" customHeight="1" x14ac:dyDescent="0.35">
      <c r="H36" s="46"/>
    </row>
    <row r="37" spans="8:8" ht="14.25" customHeight="1" x14ac:dyDescent="0.35">
      <c r="H37" s="46"/>
    </row>
    <row r="38" spans="8:8" ht="14.25" customHeight="1" x14ac:dyDescent="0.35">
      <c r="H38" s="46"/>
    </row>
    <row r="39" spans="8:8" ht="14.25" customHeight="1" x14ac:dyDescent="0.35">
      <c r="H39" s="46"/>
    </row>
    <row r="40" spans="8:8" ht="14.25" customHeight="1" x14ac:dyDescent="0.35">
      <c r="H40" s="46"/>
    </row>
    <row r="41" spans="8:8" ht="14.25" customHeight="1" x14ac:dyDescent="0.35">
      <c r="H41" s="46"/>
    </row>
    <row r="42" spans="8:8" ht="14.25" customHeight="1" x14ac:dyDescent="0.35">
      <c r="H42" s="46"/>
    </row>
    <row r="43" spans="8:8" ht="14.25" customHeight="1" x14ac:dyDescent="0.35">
      <c r="H43" s="46"/>
    </row>
    <row r="44" spans="8:8" ht="14.25" customHeight="1" x14ac:dyDescent="0.35">
      <c r="H44" s="46"/>
    </row>
    <row r="45" spans="8:8" ht="14.25" customHeight="1" x14ac:dyDescent="0.35">
      <c r="H45" s="46"/>
    </row>
    <row r="46" spans="8:8" ht="14.25" customHeight="1" x14ac:dyDescent="0.35">
      <c r="H46" s="46"/>
    </row>
    <row r="47" spans="8:8" ht="14.25" customHeight="1" x14ac:dyDescent="0.35">
      <c r="H47" s="46"/>
    </row>
    <row r="48" spans="8:8" ht="14.25" customHeight="1" x14ac:dyDescent="0.35">
      <c r="H48" s="46"/>
    </row>
    <row r="49" spans="8:8" ht="14.25" customHeight="1" x14ac:dyDescent="0.35">
      <c r="H49" s="46"/>
    </row>
    <row r="50" spans="8:8" ht="14.25" customHeight="1" x14ac:dyDescent="0.35">
      <c r="H50" s="46"/>
    </row>
    <row r="51" spans="8:8" ht="14.25" customHeight="1" x14ac:dyDescent="0.35">
      <c r="H51" s="46"/>
    </row>
    <row r="52" spans="8:8" ht="14.25" customHeight="1" x14ac:dyDescent="0.35">
      <c r="H52" s="46"/>
    </row>
    <row r="53" spans="8:8" ht="14.25" customHeight="1" x14ac:dyDescent="0.35">
      <c r="H53" s="46"/>
    </row>
    <row r="54" spans="8:8" ht="14.25" customHeight="1" x14ac:dyDescent="0.35">
      <c r="H54" s="46"/>
    </row>
    <row r="55" spans="8:8" ht="14.25" customHeight="1" x14ac:dyDescent="0.35">
      <c r="H55" s="46"/>
    </row>
    <row r="56" spans="8:8" ht="14.25" customHeight="1" x14ac:dyDescent="0.35">
      <c r="H56" s="46"/>
    </row>
    <row r="57" spans="8:8" ht="14.25" customHeight="1" x14ac:dyDescent="0.35">
      <c r="H57" s="46"/>
    </row>
    <row r="58" spans="8:8" ht="14.25" customHeight="1" x14ac:dyDescent="0.35">
      <c r="H58" s="46"/>
    </row>
    <row r="59" spans="8:8" ht="14.25" customHeight="1" x14ac:dyDescent="0.35">
      <c r="H59" s="46"/>
    </row>
    <row r="60" spans="8:8" ht="14.25" customHeight="1" x14ac:dyDescent="0.35">
      <c r="H60" s="46"/>
    </row>
    <row r="61" spans="8:8" ht="14.25" customHeight="1" x14ac:dyDescent="0.35">
      <c r="H61" s="46"/>
    </row>
    <row r="62" spans="8:8" ht="14.25" customHeight="1" x14ac:dyDescent="0.35">
      <c r="H62" s="46"/>
    </row>
    <row r="63" spans="8:8" ht="14.25" customHeight="1" x14ac:dyDescent="0.35">
      <c r="H63" s="46"/>
    </row>
    <row r="64" spans="8:8" ht="14.25" customHeight="1" x14ac:dyDescent="0.35">
      <c r="H64" s="46"/>
    </row>
    <row r="65" spans="8:8" ht="14.25" customHeight="1" x14ac:dyDescent="0.35">
      <c r="H65" s="46"/>
    </row>
    <row r="66" spans="8:8" ht="14.25" customHeight="1" x14ac:dyDescent="0.35">
      <c r="H66" s="46"/>
    </row>
    <row r="67" spans="8:8" ht="14.25" customHeight="1" x14ac:dyDescent="0.35">
      <c r="H67" s="46"/>
    </row>
    <row r="68" spans="8:8" ht="14.25" customHeight="1" x14ac:dyDescent="0.35">
      <c r="H68" s="46"/>
    </row>
    <row r="69" spans="8:8" ht="14.25" customHeight="1" x14ac:dyDescent="0.35">
      <c r="H69" s="46"/>
    </row>
    <row r="70" spans="8:8" ht="14.25" customHeight="1" x14ac:dyDescent="0.35">
      <c r="H70" s="46"/>
    </row>
    <row r="71" spans="8:8" ht="14.25" customHeight="1" x14ac:dyDescent="0.35">
      <c r="H71" s="46"/>
    </row>
    <row r="72" spans="8:8" ht="14.25" customHeight="1" x14ac:dyDescent="0.35">
      <c r="H72" s="46"/>
    </row>
    <row r="73" spans="8:8" ht="14.25" customHeight="1" x14ac:dyDescent="0.35">
      <c r="H73" s="46"/>
    </row>
    <row r="74" spans="8:8" ht="14.25" customHeight="1" x14ac:dyDescent="0.35">
      <c r="H74" s="46"/>
    </row>
    <row r="75" spans="8:8" ht="14.25" customHeight="1" x14ac:dyDescent="0.35">
      <c r="H75" s="46"/>
    </row>
    <row r="76" spans="8:8" ht="14.25" customHeight="1" x14ac:dyDescent="0.35">
      <c r="H76" s="46"/>
    </row>
    <row r="77" spans="8:8" ht="14.25" customHeight="1" x14ac:dyDescent="0.35">
      <c r="H77" s="46"/>
    </row>
    <row r="78" spans="8:8" ht="14.25" customHeight="1" x14ac:dyDescent="0.35">
      <c r="H78" s="46"/>
    </row>
    <row r="79" spans="8:8" ht="14.25" customHeight="1" x14ac:dyDescent="0.35">
      <c r="H79" s="46"/>
    </row>
    <row r="80" spans="8:8" ht="14.25" customHeight="1" x14ac:dyDescent="0.35">
      <c r="H80" s="46"/>
    </row>
    <row r="81" spans="8:8" ht="14.25" customHeight="1" x14ac:dyDescent="0.35">
      <c r="H81" s="46"/>
    </row>
    <row r="82" spans="8:8" ht="14.25" customHeight="1" x14ac:dyDescent="0.35">
      <c r="H82" s="46"/>
    </row>
    <row r="83" spans="8:8" ht="14.25" customHeight="1" x14ac:dyDescent="0.35">
      <c r="H83" s="46"/>
    </row>
    <row r="84" spans="8:8" ht="14.25" customHeight="1" x14ac:dyDescent="0.35">
      <c r="H84" s="46"/>
    </row>
    <row r="85" spans="8:8" ht="14.25" customHeight="1" x14ac:dyDescent="0.35">
      <c r="H85" s="46"/>
    </row>
    <row r="86" spans="8:8" ht="14.25" customHeight="1" x14ac:dyDescent="0.35">
      <c r="H86" s="46"/>
    </row>
    <row r="87" spans="8:8" ht="14.25" customHeight="1" x14ac:dyDescent="0.35">
      <c r="H87" s="46"/>
    </row>
    <row r="88" spans="8:8" ht="14.25" customHeight="1" x14ac:dyDescent="0.35">
      <c r="H88" s="46"/>
    </row>
    <row r="89" spans="8:8" ht="14.25" customHeight="1" x14ac:dyDescent="0.35">
      <c r="H89" s="46"/>
    </row>
    <row r="90" spans="8:8" ht="14.25" customHeight="1" x14ac:dyDescent="0.35">
      <c r="H90" s="46"/>
    </row>
    <row r="91" spans="8:8" ht="14.25" customHeight="1" x14ac:dyDescent="0.35">
      <c r="H91" s="46"/>
    </row>
    <row r="92" spans="8:8" ht="14.25" customHeight="1" x14ac:dyDescent="0.35">
      <c r="H92" s="46"/>
    </row>
    <row r="93" spans="8:8" ht="14.25" customHeight="1" x14ac:dyDescent="0.35">
      <c r="H93" s="46"/>
    </row>
    <row r="94" spans="8:8" ht="14.25" customHeight="1" x14ac:dyDescent="0.35">
      <c r="H94" s="46"/>
    </row>
    <row r="95" spans="8:8" ht="14.25" customHeight="1" x14ac:dyDescent="0.35">
      <c r="H95" s="46"/>
    </row>
    <row r="96" spans="8:8" ht="14.25" customHeight="1" x14ac:dyDescent="0.35">
      <c r="H96" s="46"/>
    </row>
    <row r="97" spans="8:8" ht="14.25" customHeight="1" x14ac:dyDescent="0.35">
      <c r="H97" s="46"/>
    </row>
    <row r="98" spans="8:8" ht="14.25" customHeight="1" x14ac:dyDescent="0.35">
      <c r="H98" s="46"/>
    </row>
    <row r="99" spans="8:8" ht="14.25" customHeight="1" x14ac:dyDescent="0.35">
      <c r="H99" s="46"/>
    </row>
    <row r="100" spans="8:8" ht="14.25" customHeight="1" x14ac:dyDescent="0.35">
      <c r="H100" s="46"/>
    </row>
    <row r="101" spans="8:8" ht="14.25" customHeight="1" x14ac:dyDescent="0.35">
      <c r="H101" s="46"/>
    </row>
    <row r="102" spans="8:8" ht="14.25" customHeight="1" x14ac:dyDescent="0.35">
      <c r="H102" s="46"/>
    </row>
    <row r="103" spans="8:8" ht="14.25" customHeight="1" x14ac:dyDescent="0.35">
      <c r="H103" s="46"/>
    </row>
    <row r="104" spans="8:8" ht="14.25" customHeight="1" x14ac:dyDescent="0.35">
      <c r="H104" s="46"/>
    </row>
    <row r="105" spans="8:8" ht="14.25" customHeight="1" x14ac:dyDescent="0.35">
      <c r="H105" s="46"/>
    </row>
    <row r="106" spans="8:8" ht="14.25" customHeight="1" x14ac:dyDescent="0.35">
      <c r="H106" s="46"/>
    </row>
    <row r="107" spans="8:8" ht="14.25" customHeight="1" x14ac:dyDescent="0.35">
      <c r="H107" s="46"/>
    </row>
    <row r="108" spans="8:8" ht="14.25" customHeight="1" x14ac:dyDescent="0.35">
      <c r="H108" s="46"/>
    </row>
    <row r="109" spans="8:8" ht="14.25" customHeight="1" x14ac:dyDescent="0.35">
      <c r="H109" s="46"/>
    </row>
    <row r="110" spans="8:8" ht="14.25" customHeight="1" x14ac:dyDescent="0.35">
      <c r="H110" s="46"/>
    </row>
    <row r="111" spans="8:8" ht="14.25" customHeight="1" x14ac:dyDescent="0.35">
      <c r="H111" s="46"/>
    </row>
    <row r="112" spans="8:8" ht="14.25" customHeight="1" x14ac:dyDescent="0.35">
      <c r="H112" s="46"/>
    </row>
    <row r="113" spans="8:8" ht="14.25" customHeight="1" x14ac:dyDescent="0.35">
      <c r="H113" s="46"/>
    </row>
    <row r="114" spans="8:8" ht="14.25" customHeight="1" x14ac:dyDescent="0.35">
      <c r="H114" s="46"/>
    </row>
    <row r="115" spans="8:8" ht="14.25" customHeight="1" x14ac:dyDescent="0.35">
      <c r="H115" s="46"/>
    </row>
    <row r="116" spans="8:8" ht="14.25" customHeight="1" x14ac:dyDescent="0.35">
      <c r="H116" s="46"/>
    </row>
    <row r="117" spans="8:8" ht="14.25" customHeight="1" x14ac:dyDescent="0.35">
      <c r="H117" s="46"/>
    </row>
    <row r="118" spans="8:8" ht="14.25" customHeight="1" x14ac:dyDescent="0.35">
      <c r="H118" s="46"/>
    </row>
    <row r="119" spans="8:8" ht="14.25" customHeight="1" x14ac:dyDescent="0.35">
      <c r="H119" s="46"/>
    </row>
    <row r="120" spans="8:8" ht="14.25" customHeight="1" x14ac:dyDescent="0.35">
      <c r="H120" s="46"/>
    </row>
    <row r="121" spans="8:8" ht="14.25" customHeight="1" x14ac:dyDescent="0.35">
      <c r="H121" s="46"/>
    </row>
    <row r="122" spans="8:8" ht="14.25" customHeight="1" x14ac:dyDescent="0.35">
      <c r="H122" s="46"/>
    </row>
    <row r="123" spans="8:8" ht="14.25" customHeight="1" x14ac:dyDescent="0.35">
      <c r="H123" s="46"/>
    </row>
    <row r="124" spans="8:8" ht="14.25" customHeight="1" x14ac:dyDescent="0.35">
      <c r="H124" s="46"/>
    </row>
    <row r="125" spans="8:8" ht="14.25" customHeight="1" x14ac:dyDescent="0.35">
      <c r="H125" s="46"/>
    </row>
    <row r="126" spans="8:8" ht="14.25" customHeight="1" x14ac:dyDescent="0.35">
      <c r="H126" s="46"/>
    </row>
    <row r="127" spans="8:8" ht="14.25" customHeight="1" x14ac:dyDescent="0.35">
      <c r="H127" s="46"/>
    </row>
    <row r="128" spans="8:8" ht="14.25" customHeight="1" x14ac:dyDescent="0.35">
      <c r="H128" s="46"/>
    </row>
    <row r="129" spans="8:8" ht="14.25" customHeight="1" x14ac:dyDescent="0.35">
      <c r="H129" s="46"/>
    </row>
    <row r="130" spans="8:8" ht="14.25" customHeight="1" x14ac:dyDescent="0.35">
      <c r="H130" s="46"/>
    </row>
    <row r="131" spans="8:8" ht="14.25" customHeight="1" x14ac:dyDescent="0.35">
      <c r="H131" s="46"/>
    </row>
    <row r="132" spans="8:8" ht="14.25" customHeight="1" x14ac:dyDescent="0.35">
      <c r="H132" s="46"/>
    </row>
    <row r="133" spans="8:8" ht="14.25" customHeight="1" x14ac:dyDescent="0.35">
      <c r="H133" s="46"/>
    </row>
    <row r="134" spans="8:8" ht="14.25" customHeight="1" x14ac:dyDescent="0.35">
      <c r="H134" s="46"/>
    </row>
    <row r="135" spans="8:8" ht="14.25" customHeight="1" x14ac:dyDescent="0.35">
      <c r="H135" s="46"/>
    </row>
    <row r="136" spans="8:8" ht="14.25" customHeight="1" x14ac:dyDescent="0.35">
      <c r="H136" s="46"/>
    </row>
    <row r="137" spans="8:8" ht="14.25" customHeight="1" x14ac:dyDescent="0.35">
      <c r="H137" s="46"/>
    </row>
    <row r="138" spans="8:8" ht="14.25" customHeight="1" x14ac:dyDescent="0.35">
      <c r="H138" s="46"/>
    </row>
    <row r="139" spans="8:8" ht="14.25" customHeight="1" x14ac:dyDescent="0.35">
      <c r="H139" s="46"/>
    </row>
    <row r="140" spans="8:8" ht="14.25" customHeight="1" x14ac:dyDescent="0.35">
      <c r="H140" s="46"/>
    </row>
    <row r="141" spans="8:8" ht="14.25" customHeight="1" x14ac:dyDescent="0.35">
      <c r="H141" s="46"/>
    </row>
    <row r="142" spans="8:8" ht="14.25" customHeight="1" x14ac:dyDescent="0.35">
      <c r="H142" s="46"/>
    </row>
    <row r="143" spans="8:8" ht="14.25" customHeight="1" x14ac:dyDescent="0.35">
      <c r="H143" s="46"/>
    </row>
    <row r="144" spans="8:8" ht="14.25" customHeight="1" x14ac:dyDescent="0.35">
      <c r="H144" s="46"/>
    </row>
    <row r="145" spans="8:8" ht="14.25" customHeight="1" x14ac:dyDescent="0.35">
      <c r="H145" s="46"/>
    </row>
    <row r="146" spans="8:8" ht="14.25" customHeight="1" x14ac:dyDescent="0.35">
      <c r="H146" s="46"/>
    </row>
    <row r="147" spans="8:8" ht="14.25" customHeight="1" x14ac:dyDescent="0.35">
      <c r="H147" s="46"/>
    </row>
    <row r="148" spans="8:8" ht="14.25" customHeight="1" x14ac:dyDescent="0.35">
      <c r="H148" s="46"/>
    </row>
    <row r="149" spans="8:8" ht="14.25" customHeight="1" x14ac:dyDescent="0.35">
      <c r="H149" s="46"/>
    </row>
    <row r="150" spans="8:8" ht="14.25" customHeight="1" x14ac:dyDescent="0.35">
      <c r="H150" s="46"/>
    </row>
    <row r="151" spans="8:8" ht="14.25" customHeight="1" x14ac:dyDescent="0.35">
      <c r="H151" s="46"/>
    </row>
    <row r="152" spans="8:8" ht="14.25" customHeight="1" x14ac:dyDescent="0.35">
      <c r="H152" s="46"/>
    </row>
    <row r="153" spans="8:8" ht="14.25" customHeight="1" x14ac:dyDescent="0.35">
      <c r="H153" s="46"/>
    </row>
    <row r="154" spans="8:8" ht="14.25" customHeight="1" x14ac:dyDescent="0.35">
      <c r="H154" s="46"/>
    </row>
    <row r="155" spans="8:8" ht="14.25" customHeight="1" x14ac:dyDescent="0.35">
      <c r="H155" s="46"/>
    </row>
    <row r="156" spans="8:8" ht="14.25" customHeight="1" x14ac:dyDescent="0.35">
      <c r="H156" s="46"/>
    </row>
    <row r="157" spans="8:8" ht="14.25" customHeight="1" x14ac:dyDescent="0.35">
      <c r="H157" s="46"/>
    </row>
    <row r="158" spans="8:8" ht="14.25" customHeight="1" x14ac:dyDescent="0.35">
      <c r="H158" s="46"/>
    </row>
    <row r="159" spans="8:8" ht="14.25" customHeight="1" x14ac:dyDescent="0.35">
      <c r="H159" s="46"/>
    </row>
    <row r="160" spans="8:8" ht="14.25" customHeight="1" x14ac:dyDescent="0.35">
      <c r="H160" s="46"/>
    </row>
    <row r="161" spans="8:8" ht="14.25" customHeight="1" x14ac:dyDescent="0.35">
      <c r="H161" s="46"/>
    </row>
    <row r="162" spans="8:8" ht="14.25" customHeight="1" x14ac:dyDescent="0.35">
      <c r="H162" s="46"/>
    </row>
    <row r="163" spans="8:8" ht="14.25" customHeight="1" x14ac:dyDescent="0.35">
      <c r="H163" s="46"/>
    </row>
    <row r="164" spans="8:8" ht="14.25" customHeight="1" x14ac:dyDescent="0.35">
      <c r="H164" s="46"/>
    </row>
    <row r="165" spans="8:8" ht="14.25" customHeight="1" x14ac:dyDescent="0.35">
      <c r="H165" s="46"/>
    </row>
    <row r="166" spans="8:8" ht="14.25" customHeight="1" x14ac:dyDescent="0.35">
      <c r="H166" s="46"/>
    </row>
    <row r="167" spans="8:8" ht="14.25" customHeight="1" x14ac:dyDescent="0.35">
      <c r="H167" s="46"/>
    </row>
    <row r="168" spans="8:8" ht="14.25" customHeight="1" x14ac:dyDescent="0.35">
      <c r="H168" s="46"/>
    </row>
    <row r="169" spans="8:8" ht="14.25" customHeight="1" x14ac:dyDescent="0.35">
      <c r="H169" s="46"/>
    </row>
    <row r="170" spans="8:8" ht="14.25" customHeight="1" x14ac:dyDescent="0.35">
      <c r="H170" s="46"/>
    </row>
    <row r="171" spans="8:8" ht="14.25" customHeight="1" x14ac:dyDescent="0.35">
      <c r="H171" s="46"/>
    </row>
    <row r="172" spans="8:8" ht="14.25" customHeight="1" x14ac:dyDescent="0.35">
      <c r="H172" s="46"/>
    </row>
    <row r="173" spans="8:8" ht="14.25" customHeight="1" x14ac:dyDescent="0.35">
      <c r="H173" s="46"/>
    </row>
    <row r="174" spans="8:8" ht="14.25" customHeight="1" x14ac:dyDescent="0.35">
      <c r="H174" s="46"/>
    </row>
    <row r="175" spans="8:8" ht="14.25" customHeight="1" x14ac:dyDescent="0.35">
      <c r="H175" s="46"/>
    </row>
    <row r="176" spans="8:8" ht="14.25" customHeight="1" x14ac:dyDescent="0.35">
      <c r="H176" s="46"/>
    </row>
    <row r="177" spans="8:8" ht="14.25" customHeight="1" x14ac:dyDescent="0.35">
      <c r="H177" s="46"/>
    </row>
    <row r="178" spans="8:8" ht="14.25" customHeight="1" x14ac:dyDescent="0.35">
      <c r="H178" s="46"/>
    </row>
    <row r="179" spans="8:8" ht="14.25" customHeight="1" x14ac:dyDescent="0.35">
      <c r="H179" s="46"/>
    </row>
    <row r="180" spans="8:8" ht="14.25" customHeight="1" x14ac:dyDescent="0.35">
      <c r="H180" s="46"/>
    </row>
    <row r="181" spans="8:8" ht="14.25" customHeight="1" x14ac:dyDescent="0.35">
      <c r="H181" s="46"/>
    </row>
    <row r="182" spans="8:8" ht="14.25" customHeight="1" x14ac:dyDescent="0.35">
      <c r="H182" s="46"/>
    </row>
    <row r="183" spans="8:8" ht="14.25" customHeight="1" x14ac:dyDescent="0.35">
      <c r="H183" s="46"/>
    </row>
    <row r="184" spans="8:8" ht="14.25" customHeight="1" x14ac:dyDescent="0.35">
      <c r="H184" s="46"/>
    </row>
    <row r="185" spans="8:8" ht="14.25" customHeight="1" x14ac:dyDescent="0.35">
      <c r="H185" s="46"/>
    </row>
    <row r="186" spans="8:8" ht="14.25" customHeight="1" x14ac:dyDescent="0.35">
      <c r="H186" s="46"/>
    </row>
    <row r="187" spans="8:8" ht="14.25" customHeight="1" x14ac:dyDescent="0.35">
      <c r="H187" s="46"/>
    </row>
    <row r="188" spans="8:8" ht="14.25" customHeight="1" x14ac:dyDescent="0.35">
      <c r="H188" s="46"/>
    </row>
    <row r="189" spans="8:8" ht="14.25" customHeight="1" x14ac:dyDescent="0.35">
      <c r="H189" s="46"/>
    </row>
    <row r="190" spans="8:8" ht="14.25" customHeight="1" x14ac:dyDescent="0.35">
      <c r="H190" s="46"/>
    </row>
    <row r="191" spans="8:8" ht="14.25" customHeight="1" x14ac:dyDescent="0.35">
      <c r="H191" s="46"/>
    </row>
    <row r="192" spans="8:8" ht="14.25" customHeight="1" x14ac:dyDescent="0.35">
      <c r="H192" s="46"/>
    </row>
    <row r="193" spans="8:8" ht="14.25" customHeight="1" x14ac:dyDescent="0.35">
      <c r="H193" s="46"/>
    </row>
    <row r="194" spans="8:8" ht="14.25" customHeight="1" x14ac:dyDescent="0.35">
      <c r="H194" s="46"/>
    </row>
    <row r="195" spans="8:8" ht="14.25" customHeight="1" x14ac:dyDescent="0.35">
      <c r="H195" s="46"/>
    </row>
    <row r="196" spans="8:8" ht="14.25" customHeight="1" x14ac:dyDescent="0.35">
      <c r="H196" s="46"/>
    </row>
    <row r="197" spans="8:8" ht="14.25" customHeight="1" x14ac:dyDescent="0.35">
      <c r="H197" s="46"/>
    </row>
    <row r="198" spans="8:8" ht="14.25" customHeight="1" x14ac:dyDescent="0.35">
      <c r="H198" s="46"/>
    </row>
    <row r="199" spans="8:8" ht="14.25" customHeight="1" x14ac:dyDescent="0.35">
      <c r="H199" s="46"/>
    </row>
    <row r="200" spans="8:8" ht="14.25" customHeight="1" x14ac:dyDescent="0.35">
      <c r="H200" s="46"/>
    </row>
    <row r="201" spans="8:8" ht="14.25" customHeight="1" x14ac:dyDescent="0.35">
      <c r="H201" s="46"/>
    </row>
    <row r="202" spans="8:8" ht="14.25" customHeight="1" x14ac:dyDescent="0.35">
      <c r="H202" s="46"/>
    </row>
    <row r="203" spans="8:8" ht="14.25" customHeight="1" x14ac:dyDescent="0.35">
      <c r="H203" s="46"/>
    </row>
    <row r="204" spans="8:8" ht="14.25" customHeight="1" x14ac:dyDescent="0.35">
      <c r="H204" s="46"/>
    </row>
    <row r="205" spans="8:8" ht="14.25" customHeight="1" x14ac:dyDescent="0.35">
      <c r="H205" s="46"/>
    </row>
    <row r="206" spans="8:8" ht="14.25" customHeight="1" x14ac:dyDescent="0.35">
      <c r="H206" s="46"/>
    </row>
    <row r="207" spans="8:8" ht="14.25" customHeight="1" x14ac:dyDescent="0.35">
      <c r="H207" s="46"/>
    </row>
    <row r="208" spans="8:8" ht="14.25" customHeight="1" x14ac:dyDescent="0.35">
      <c r="H208" s="46"/>
    </row>
    <row r="209" spans="8:8" ht="14.25" customHeight="1" x14ac:dyDescent="0.35">
      <c r="H209" s="46"/>
    </row>
    <row r="210" spans="8:8" ht="14.25" customHeight="1" x14ac:dyDescent="0.35">
      <c r="H210" s="46"/>
    </row>
    <row r="211" spans="8:8" ht="14.25" customHeight="1" x14ac:dyDescent="0.35">
      <c r="H211" s="46"/>
    </row>
    <row r="212" spans="8:8" ht="14.25" customHeight="1" x14ac:dyDescent="0.35">
      <c r="H212" s="46"/>
    </row>
    <row r="213" spans="8:8" ht="14.25" customHeight="1" x14ac:dyDescent="0.35">
      <c r="H213" s="46"/>
    </row>
    <row r="214" spans="8:8" ht="14.25" customHeight="1" x14ac:dyDescent="0.35">
      <c r="H214" s="46"/>
    </row>
    <row r="215" spans="8:8" ht="14.25" customHeight="1" x14ac:dyDescent="0.35">
      <c r="H215" s="46"/>
    </row>
    <row r="216" spans="8:8" ht="14.25" customHeight="1" x14ac:dyDescent="0.35">
      <c r="H216" s="46"/>
    </row>
    <row r="217" spans="8:8" ht="14.25" customHeight="1" x14ac:dyDescent="0.35">
      <c r="H217" s="46"/>
    </row>
    <row r="218" spans="8:8" ht="14.25" customHeight="1" x14ac:dyDescent="0.35">
      <c r="H218" s="46"/>
    </row>
    <row r="219" spans="8:8" ht="14.25" customHeight="1" x14ac:dyDescent="0.35">
      <c r="H219" s="46"/>
    </row>
    <row r="220" spans="8:8" ht="14.25" customHeight="1" x14ac:dyDescent="0.35">
      <c r="H220" s="46"/>
    </row>
    <row r="221" spans="8:8" ht="14.25" customHeight="1" x14ac:dyDescent="0.35">
      <c r="H221" s="46"/>
    </row>
    <row r="222" spans="8:8" ht="14.25" customHeight="1" x14ac:dyDescent="0.35">
      <c r="H222" s="46"/>
    </row>
    <row r="223" spans="8:8" ht="14.25" customHeight="1" x14ac:dyDescent="0.35">
      <c r="H223" s="46"/>
    </row>
    <row r="224" spans="8:8" ht="14.25" customHeight="1" x14ac:dyDescent="0.35">
      <c r="H224" s="46"/>
    </row>
    <row r="225" spans="8:8" ht="14.25" customHeight="1" x14ac:dyDescent="0.35">
      <c r="H225" s="46"/>
    </row>
    <row r="226" spans="8:8" ht="14.25" customHeight="1" x14ac:dyDescent="0.35">
      <c r="H226" s="46"/>
    </row>
    <row r="227" spans="8:8" ht="14.25" customHeight="1" x14ac:dyDescent="0.35">
      <c r="H227" s="46"/>
    </row>
    <row r="228" spans="8:8" ht="14.25" customHeight="1" x14ac:dyDescent="0.35">
      <c r="H228" s="46"/>
    </row>
    <row r="229" spans="8:8" ht="14.25" customHeight="1" x14ac:dyDescent="0.35">
      <c r="H229" s="46"/>
    </row>
    <row r="230" spans="8:8" ht="14.25" customHeight="1" x14ac:dyDescent="0.35">
      <c r="H230" s="46"/>
    </row>
    <row r="231" spans="8:8" ht="14.25" customHeight="1" x14ac:dyDescent="0.35">
      <c r="H231" s="46"/>
    </row>
    <row r="232" spans="8:8" ht="14.25" customHeight="1" x14ac:dyDescent="0.35">
      <c r="H232" s="46"/>
    </row>
    <row r="233" spans="8:8" ht="14.25" customHeight="1" x14ac:dyDescent="0.35">
      <c r="H233" s="46"/>
    </row>
    <row r="234" spans="8:8" ht="14.25" customHeight="1" x14ac:dyDescent="0.35">
      <c r="H234" s="46"/>
    </row>
    <row r="235" spans="8:8" ht="14.25" customHeight="1" x14ac:dyDescent="0.35">
      <c r="H235" s="46"/>
    </row>
    <row r="236" spans="8:8" ht="14.25" customHeight="1" x14ac:dyDescent="0.35">
      <c r="H236" s="46"/>
    </row>
    <row r="237" spans="8:8" ht="14.25" customHeight="1" x14ac:dyDescent="0.35">
      <c r="H237" s="46"/>
    </row>
    <row r="238" spans="8:8" ht="14.25" customHeight="1" x14ac:dyDescent="0.35">
      <c r="H238" s="46"/>
    </row>
    <row r="239" spans="8:8" ht="14.25" customHeight="1" x14ac:dyDescent="0.35">
      <c r="H239" s="46"/>
    </row>
    <row r="240" spans="8:8" ht="14.25" customHeight="1" x14ac:dyDescent="0.35">
      <c r="H240" s="46"/>
    </row>
    <row r="241" spans="8:8" ht="14.25" customHeight="1" x14ac:dyDescent="0.35">
      <c r="H241" s="46"/>
    </row>
    <row r="242" spans="8:8" ht="14.25" customHeight="1" x14ac:dyDescent="0.35">
      <c r="H242" s="46"/>
    </row>
    <row r="243" spans="8:8" ht="14.25" customHeight="1" x14ac:dyDescent="0.35">
      <c r="H243" s="46"/>
    </row>
    <row r="244" spans="8:8" ht="14.25" customHeight="1" x14ac:dyDescent="0.35">
      <c r="H244" s="46"/>
    </row>
    <row r="245" spans="8:8" ht="14.25" customHeight="1" x14ac:dyDescent="0.35">
      <c r="H245" s="46"/>
    </row>
    <row r="246" spans="8:8" ht="14.25" customHeight="1" x14ac:dyDescent="0.35">
      <c r="H246" s="46"/>
    </row>
    <row r="247" spans="8:8" ht="14.25" customHeight="1" x14ac:dyDescent="0.35">
      <c r="H247" s="46"/>
    </row>
    <row r="248" spans="8:8" ht="14.25" customHeight="1" x14ac:dyDescent="0.35">
      <c r="H248" s="46"/>
    </row>
    <row r="249" spans="8:8" ht="14.25" customHeight="1" x14ac:dyDescent="0.35">
      <c r="H249" s="46"/>
    </row>
    <row r="250" spans="8:8" ht="14.25" customHeight="1" x14ac:dyDescent="0.35">
      <c r="H250" s="46"/>
    </row>
    <row r="251" spans="8:8" ht="14.25" customHeight="1" x14ac:dyDescent="0.35">
      <c r="H251" s="46"/>
    </row>
    <row r="252" spans="8:8" ht="14.25" customHeight="1" x14ac:dyDescent="0.35">
      <c r="H252" s="46"/>
    </row>
    <row r="253" spans="8:8" ht="14.25" customHeight="1" x14ac:dyDescent="0.35">
      <c r="H253" s="46"/>
    </row>
    <row r="254" spans="8:8" ht="14.25" customHeight="1" x14ac:dyDescent="0.35">
      <c r="H254" s="46"/>
    </row>
    <row r="255" spans="8:8" ht="14.25" customHeight="1" x14ac:dyDescent="0.35">
      <c r="H255" s="46"/>
    </row>
    <row r="256" spans="8:8" ht="14.25" customHeight="1" x14ac:dyDescent="0.35">
      <c r="H256" s="46"/>
    </row>
    <row r="257" spans="8:8" ht="14.25" customHeight="1" x14ac:dyDescent="0.35">
      <c r="H257" s="46"/>
    </row>
    <row r="258" spans="8:8" ht="14.25" customHeight="1" x14ac:dyDescent="0.35">
      <c r="H258" s="46"/>
    </row>
    <row r="259" spans="8:8" ht="14.25" customHeight="1" x14ac:dyDescent="0.35">
      <c r="H259" s="46"/>
    </row>
    <row r="260" spans="8:8" ht="14.25" customHeight="1" x14ac:dyDescent="0.35">
      <c r="H260" s="46"/>
    </row>
    <row r="261" spans="8:8" ht="14.25" customHeight="1" x14ac:dyDescent="0.35">
      <c r="H261" s="46"/>
    </row>
    <row r="262" spans="8:8" ht="14.25" customHeight="1" x14ac:dyDescent="0.35">
      <c r="H262" s="46"/>
    </row>
    <row r="263" spans="8:8" ht="14.25" customHeight="1" x14ac:dyDescent="0.35">
      <c r="H263" s="46"/>
    </row>
    <row r="264" spans="8:8" ht="14.25" customHeight="1" x14ac:dyDescent="0.35">
      <c r="H264" s="46"/>
    </row>
    <row r="265" spans="8:8" ht="14.25" customHeight="1" x14ac:dyDescent="0.35">
      <c r="H265" s="46"/>
    </row>
    <row r="266" spans="8:8" ht="14.25" customHeight="1" x14ac:dyDescent="0.35">
      <c r="H266" s="46"/>
    </row>
    <row r="267" spans="8:8" ht="14.25" customHeight="1" x14ac:dyDescent="0.35">
      <c r="H267" s="46"/>
    </row>
    <row r="268" spans="8:8" ht="14.25" customHeight="1" x14ac:dyDescent="0.35">
      <c r="H268" s="46"/>
    </row>
    <row r="269" spans="8:8" ht="14.25" customHeight="1" x14ac:dyDescent="0.35">
      <c r="H269" s="46"/>
    </row>
    <row r="270" spans="8:8" ht="14.25" customHeight="1" x14ac:dyDescent="0.35">
      <c r="H270" s="46"/>
    </row>
    <row r="271" spans="8:8" ht="14.25" customHeight="1" x14ac:dyDescent="0.35">
      <c r="H271" s="46"/>
    </row>
    <row r="272" spans="8:8" ht="14.25" customHeight="1" x14ac:dyDescent="0.35">
      <c r="H272" s="46"/>
    </row>
    <row r="273" spans="8:8" ht="14.25" customHeight="1" x14ac:dyDescent="0.35">
      <c r="H273" s="46"/>
    </row>
    <row r="274" spans="8:8" ht="14.25" customHeight="1" x14ac:dyDescent="0.35">
      <c r="H274" s="46"/>
    </row>
    <row r="275" spans="8:8" ht="14.25" customHeight="1" x14ac:dyDescent="0.35">
      <c r="H275" s="46"/>
    </row>
    <row r="276" spans="8:8" ht="14.25" customHeight="1" x14ac:dyDescent="0.35">
      <c r="H276" s="46"/>
    </row>
    <row r="277" spans="8:8" ht="14.25" customHeight="1" x14ac:dyDescent="0.35">
      <c r="H277" s="46"/>
    </row>
    <row r="278" spans="8:8" ht="14.25" customHeight="1" x14ac:dyDescent="0.35">
      <c r="H278" s="46"/>
    </row>
    <row r="279" spans="8:8" ht="14.25" customHeight="1" x14ac:dyDescent="0.35">
      <c r="H279" s="46"/>
    </row>
    <row r="280" spans="8:8" ht="14.25" customHeight="1" x14ac:dyDescent="0.35">
      <c r="H280" s="46"/>
    </row>
    <row r="281" spans="8:8" ht="14.25" customHeight="1" x14ac:dyDescent="0.35">
      <c r="H281" s="46"/>
    </row>
    <row r="282" spans="8:8" ht="14.25" customHeight="1" x14ac:dyDescent="0.35">
      <c r="H282" s="46"/>
    </row>
    <row r="283" spans="8:8" ht="14.25" customHeight="1" x14ac:dyDescent="0.35">
      <c r="H283" s="46"/>
    </row>
    <row r="284" spans="8:8" ht="14.25" customHeight="1" x14ac:dyDescent="0.35">
      <c r="H284" s="46"/>
    </row>
    <row r="285" spans="8:8" ht="14.25" customHeight="1" x14ac:dyDescent="0.35">
      <c r="H285" s="46"/>
    </row>
    <row r="286" spans="8:8" ht="14.25" customHeight="1" x14ac:dyDescent="0.35">
      <c r="H286" s="46"/>
    </row>
    <row r="287" spans="8:8" ht="14.25" customHeight="1" x14ac:dyDescent="0.35">
      <c r="H287" s="46"/>
    </row>
    <row r="288" spans="8:8" ht="14.25" customHeight="1" x14ac:dyDescent="0.35">
      <c r="H288" s="46"/>
    </row>
    <row r="289" spans="8:8" ht="14.25" customHeight="1" x14ac:dyDescent="0.35">
      <c r="H289" s="46"/>
    </row>
    <row r="290" spans="8:8" ht="14.25" customHeight="1" x14ac:dyDescent="0.35">
      <c r="H290" s="46"/>
    </row>
    <row r="291" spans="8:8" ht="14.25" customHeight="1" x14ac:dyDescent="0.35">
      <c r="H291" s="46"/>
    </row>
    <row r="292" spans="8:8" ht="14.25" customHeight="1" x14ac:dyDescent="0.35">
      <c r="H292" s="46"/>
    </row>
    <row r="293" spans="8:8" ht="14.25" customHeight="1" x14ac:dyDescent="0.35">
      <c r="H293" s="46"/>
    </row>
    <row r="294" spans="8:8" ht="14.25" customHeight="1" x14ac:dyDescent="0.35">
      <c r="H294" s="46"/>
    </row>
    <row r="295" spans="8:8" ht="14.25" customHeight="1" x14ac:dyDescent="0.35">
      <c r="H295" s="46"/>
    </row>
    <row r="296" spans="8:8" ht="14.25" customHeight="1" x14ac:dyDescent="0.35">
      <c r="H296" s="46"/>
    </row>
    <row r="297" spans="8:8" ht="14.25" customHeight="1" x14ac:dyDescent="0.35">
      <c r="H297" s="46"/>
    </row>
    <row r="298" spans="8:8" ht="14.25" customHeight="1" x14ac:dyDescent="0.35">
      <c r="H298" s="46"/>
    </row>
    <row r="299" spans="8:8" ht="14.25" customHeight="1" x14ac:dyDescent="0.35">
      <c r="H299" s="46"/>
    </row>
    <row r="300" spans="8:8" ht="14.25" customHeight="1" x14ac:dyDescent="0.35">
      <c r="H300" s="46"/>
    </row>
    <row r="301" spans="8:8" ht="14.25" customHeight="1" x14ac:dyDescent="0.35">
      <c r="H301" s="46"/>
    </row>
    <row r="302" spans="8:8" ht="14.25" customHeight="1" x14ac:dyDescent="0.35">
      <c r="H302" s="46"/>
    </row>
    <row r="303" spans="8:8" ht="14.25" customHeight="1" x14ac:dyDescent="0.35">
      <c r="H303" s="46"/>
    </row>
    <row r="304" spans="8:8" ht="14.25" customHeight="1" x14ac:dyDescent="0.35">
      <c r="H304" s="46"/>
    </row>
    <row r="305" spans="8:8" ht="14.25" customHeight="1" x14ac:dyDescent="0.35">
      <c r="H305" s="46"/>
    </row>
    <row r="306" spans="8:8" ht="14.25" customHeight="1" x14ac:dyDescent="0.35">
      <c r="H306" s="46"/>
    </row>
    <row r="307" spans="8:8" ht="14.25" customHeight="1" x14ac:dyDescent="0.35">
      <c r="H307" s="46"/>
    </row>
    <row r="308" spans="8:8" ht="14.25" customHeight="1" x14ac:dyDescent="0.35">
      <c r="H308" s="46"/>
    </row>
    <row r="309" spans="8:8" ht="14.25" customHeight="1" x14ac:dyDescent="0.35">
      <c r="H309" s="46"/>
    </row>
    <row r="310" spans="8:8" ht="14.25" customHeight="1" x14ac:dyDescent="0.35">
      <c r="H310" s="46"/>
    </row>
    <row r="311" spans="8:8" ht="14.25" customHeight="1" x14ac:dyDescent="0.35">
      <c r="H311" s="46"/>
    </row>
    <row r="312" spans="8:8" ht="14.25" customHeight="1" x14ac:dyDescent="0.35">
      <c r="H312" s="46"/>
    </row>
    <row r="313" spans="8:8" ht="14.25" customHeight="1" x14ac:dyDescent="0.35">
      <c r="H313" s="46"/>
    </row>
    <row r="314" spans="8:8" ht="14.25" customHeight="1" x14ac:dyDescent="0.35">
      <c r="H314" s="46"/>
    </row>
    <row r="315" spans="8:8" ht="14.25" customHeight="1" x14ac:dyDescent="0.35">
      <c r="H315" s="46"/>
    </row>
    <row r="316" spans="8:8" ht="14.25" customHeight="1" x14ac:dyDescent="0.35">
      <c r="H316" s="46"/>
    </row>
    <row r="317" spans="8:8" ht="14.25" customHeight="1" x14ac:dyDescent="0.35">
      <c r="H317" s="46"/>
    </row>
    <row r="318" spans="8:8" ht="14.25" customHeight="1" x14ac:dyDescent="0.35">
      <c r="H318" s="46"/>
    </row>
    <row r="319" spans="8:8" ht="14.25" customHeight="1" x14ac:dyDescent="0.35">
      <c r="H319" s="46"/>
    </row>
    <row r="320" spans="8:8" ht="14.25" customHeight="1" x14ac:dyDescent="0.35">
      <c r="H320" s="46"/>
    </row>
    <row r="321" spans="8:8" ht="14.25" customHeight="1" x14ac:dyDescent="0.35">
      <c r="H321" s="46"/>
    </row>
    <row r="322" spans="8:8" ht="14.25" customHeight="1" x14ac:dyDescent="0.35">
      <c r="H322" s="46"/>
    </row>
    <row r="323" spans="8:8" ht="14.25" customHeight="1" x14ac:dyDescent="0.35">
      <c r="H323" s="46"/>
    </row>
    <row r="324" spans="8:8" ht="14.25" customHeight="1" x14ac:dyDescent="0.35">
      <c r="H324" s="46"/>
    </row>
    <row r="325" spans="8:8" ht="14.25" customHeight="1" x14ac:dyDescent="0.35">
      <c r="H325" s="46"/>
    </row>
    <row r="326" spans="8:8" ht="14.25" customHeight="1" x14ac:dyDescent="0.35">
      <c r="H326" s="46"/>
    </row>
    <row r="327" spans="8:8" ht="14.25" customHeight="1" x14ac:dyDescent="0.35">
      <c r="H327" s="46"/>
    </row>
    <row r="328" spans="8:8" ht="14.25" customHeight="1" x14ac:dyDescent="0.35">
      <c r="H328" s="46"/>
    </row>
    <row r="329" spans="8:8" ht="14.25" customHeight="1" x14ac:dyDescent="0.35">
      <c r="H329" s="46"/>
    </row>
    <row r="330" spans="8:8" ht="14.25" customHeight="1" x14ac:dyDescent="0.35">
      <c r="H330" s="46"/>
    </row>
    <row r="331" spans="8:8" ht="14.25" customHeight="1" x14ac:dyDescent="0.35">
      <c r="H331" s="46"/>
    </row>
    <row r="332" spans="8:8" ht="14.25" customHeight="1" x14ac:dyDescent="0.35">
      <c r="H332" s="46"/>
    </row>
    <row r="333" spans="8:8" ht="14.25" customHeight="1" x14ac:dyDescent="0.35">
      <c r="H333" s="46"/>
    </row>
    <row r="334" spans="8:8" ht="14.25" customHeight="1" x14ac:dyDescent="0.35">
      <c r="H334" s="46"/>
    </row>
    <row r="335" spans="8:8" ht="14.25" customHeight="1" x14ac:dyDescent="0.35">
      <c r="H335" s="46"/>
    </row>
    <row r="336" spans="8:8" ht="14.25" customHeight="1" x14ac:dyDescent="0.35">
      <c r="H336" s="46"/>
    </row>
    <row r="337" spans="8:8" ht="14.25" customHeight="1" x14ac:dyDescent="0.35">
      <c r="H337" s="46"/>
    </row>
    <row r="338" spans="8:8" ht="14.25" customHeight="1" x14ac:dyDescent="0.35">
      <c r="H338" s="46"/>
    </row>
    <row r="339" spans="8:8" ht="14.25" customHeight="1" x14ac:dyDescent="0.35">
      <c r="H339" s="46"/>
    </row>
    <row r="340" spans="8:8" ht="14.25" customHeight="1" x14ac:dyDescent="0.35">
      <c r="H340" s="46"/>
    </row>
    <row r="341" spans="8:8" ht="14.25" customHeight="1" x14ac:dyDescent="0.35">
      <c r="H341" s="46"/>
    </row>
    <row r="342" spans="8:8" ht="14.25" customHeight="1" x14ac:dyDescent="0.35">
      <c r="H342" s="46"/>
    </row>
    <row r="343" spans="8:8" ht="14.25" customHeight="1" x14ac:dyDescent="0.35">
      <c r="H343" s="46"/>
    </row>
    <row r="344" spans="8:8" ht="14.25" customHeight="1" x14ac:dyDescent="0.35">
      <c r="H344" s="46"/>
    </row>
    <row r="345" spans="8:8" ht="14.25" customHeight="1" x14ac:dyDescent="0.35">
      <c r="H345" s="46"/>
    </row>
    <row r="346" spans="8:8" ht="14.25" customHeight="1" x14ac:dyDescent="0.35">
      <c r="H346" s="46"/>
    </row>
    <row r="347" spans="8:8" ht="14.25" customHeight="1" x14ac:dyDescent="0.35">
      <c r="H347" s="46"/>
    </row>
    <row r="348" spans="8:8" ht="14.25" customHeight="1" x14ac:dyDescent="0.35">
      <c r="H348" s="46"/>
    </row>
    <row r="349" spans="8:8" ht="14.25" customHeight="1" x14ac:dyDescent="0.35">
      <c r="H349" s="46"/>
    </row>
    <row r="350" spans="8:8" ht="14.25" customHeight="1" x14ac:dyDescent="0.35">
      <c r="H350" s="46"/>
    </row>
    <row r="351" spans="8:8" ht="14.25" customHeight="1" x14ac:dyDescent="0.35">
      <c r="H351" s="46"/>
    </row>
    <row r="352" spans="8:8" ht="14.25" customHeight="1" x14ac:dyDescent="0.35">
      <c r="H352" s="46"/>
    </row>
    <row r="353" spans="8:8" ht="14.25" customHeight="1" x14ac:dyDescent="0.35">
      <c r="H353" s="46"/>
    </row>
    <row r="354" spans="8:8" ht="14.25" customHeight="1" x14ac:dyDescent="0.35">
      <c r="H354" s="46"/>
    </row>
    <row r="355" spans="8:8" ht="14.25" customHeight="1" x14ac:dyDescent="0.35">
      <c r="H355" s="46"/>
    </row>
    <row r="356" spans="8:8" ht="14.25" customHeight="1" x14ac:dyDescent="0.35">
      <c r="H356" s="46"/>
    </row>
    <row r="357" spans="8:8" ht="14.25" customHeight="1" x14ac:dyDescent="0.35">
      <c r="H357" s="46"/>
    </row>
    <row r="358" spans="8:8" ht="14.25" customHeight="1" x14ac:dyDescent="0.35">
      <c r="H358" s="46"/>
    </row>
    <row r="359" spans="8:8" ht="14.25" customHeight="1" x14ac:dyDescent="0.35">
      <c r="H359" s="46"/>
    </row>
    <row r="360" spans="8:8" ht="14.25" customHeight="1" x14ac:dyDescent="0.35">
      <c r="H360" s="46"/>
    </row>
    <row r="361" spans="8:8" ht="14.25" customHeight="1" x14ac:dyDescent="0.35">
      <c r="H361" s="46"/>
    </row>
    <row r="362" spans="8:8" ht="14.25" customHeight="1" x14ac:dyDescent="0.35">
      <c r="H362" s="46"/>
    </row>
    <row r="363" spans="8:8" ht="14.25" customHeight="1" x14ac:dyDescent="0.35">
      <c r="H363" s="46"/>
    </row>
    <row r="364" spans="8:8" ht="14.25" customHeight="1" x14ac:dyDescent="0.35">
      <c r="H364" s="46"/>
    </row>
    <row r="365" spans="8:8" ht="14.25" customHeight="1" x14ac:dyDescent="0.35">
      <c r="H365" s="46"/>
    </row>
    <row r="366" spans="8:8" ht="14.25" customHeight="1" x14ac:dyDescent="0.35">
      <c r="H366" s="46"/>
    </row>
    <row r="367" spans="8:8" ht="14.25" customHeight="1" x14ac:dyDescent="0.35">
      <c r="H367" s="46"/>
    </row>
    <row r="368" spans="8:8" ht="14.25" customHeight="1" x14ac:dyDescent="0.35">
      <c r="H368" s="46"/>
    </row>
    <row r="369" spans="8:8" ht="14.25" customHeight="1" x14ac:dyDescent="0.35">
      <c r="H369" s="46"/>
    </row>
    <row r="370" spans="8:8" ht="14.25" customHeight="1" x14ac:dyDescent="0.35">
      <c r="H370" s="46"/>
    </row>
    <row r="371" spans="8:8" ht="14.25" customHeight="1" x14ac:dyDescent="0.35">
      <c r="H371" s="46"/>
    </row>
    <row r="372" spans="8:8" ht="14.25" customHeight="1" x14ac:dyDescent="0.35">
      <c r="H372" s="46"/>
    </row>
    <row r="373" spans="8:8" ht="14.25" customHeight="1" x14ac:dyDescent="0.35">
      <c r="H373" s="46"/>
    </row>
    <row r="374" spans="8:8" ht="14.25" customHeight="1" x14ac:dyDescent="0.35">
      <c r="H374" s="46"/>
    </row>
    <row r="375" spans="8:8" ht="14.25" customHeight="1" x14ac:dyDescent="0.35">
      <c r="H375" s="46"/>
    </row>
    <row r="376" spans="8:8" ht="14.25" customHeight="1" x14ac:dyDescent="0.35">
      <c r="H376" s="46"/>
    </row>
    <row r="377" spans="8:8" ht="14.25" customHeight="1" x14ac:dyDescent="0.35">
      <c r="H377" s="46"/>
    </row>
    <row r="378" spans="8:8" ht="14.25" customHeight="1" x14ac:dyDescent="0.35">
      <c r="H378" s="46"/>
    </row>
    <row r="379" spans="8:8" ht="14.25" customHeight="1" x14ac:dyDescent="0.35">
      <c r="H379" s="46"/>
    </row>
    <row r="380" spans="8:8" ht="14.25" customHeight="1" x14ac:dyDescent="0.35">
      <c r="H380" s="46"/>
    </row>
    <row r="381" spans="8:8" ht="14.25" customHeight="1" x14ac:dyDescent="0.35">
      <c r="H381" s="46"/>
    </row>
    <row r="382" spans="8:8" ht="14.25" customHeight="1" x14ac:dyDescent="0.35">
      <c r="H382" s="46"/>
    </row>
    <row r="383" spans="8:8" ht="14.25" customHeight="1" x14ac:dyDescent="0.35">
      <c r="H383" s="46"/>
    </row>
    <row r="384" spans="8:8" ht="14.25" customHeight="1" x14ac:dyDescent="0.35">
      <c r="H384" s="46"/>
    </row>
    <row r="385" spans="8:8" ht="14.25" customHeight="1" x14ac:dyDescent="0.35">
      <c r="H385" s="46"/>
    </row>
    <row r="386" spans="8:8" ht="14.25" customHeight="1" x14ac:dyDescent="0.35">
      <c r="H386" s="46"/>
    </row>
    <row r="387" spans="8:8" ht="14.25" customHeight="1" x14ac:dyDescent="0.35">
      <c r="H387" s="46"/>
    </row>
    <row r="388" spans="8:8" ht="14.25" customHeight="1" x14ac:dyDescent="0.35">
      <c r="H388" s="46"/>
    </row>
    <row r="389" spans="8:8" ht="14.25" customHeight="1" x14ac:dyDescent="0.35">
      <c r="H389" s="46"/>
    </row>
    <row r="390" spans="8:8" ht="14.25" customHeight="1" x14ac:dyDescent="0.35">
      <c r="H390" s="46"/>
    </row>
    <row r="391" spans="8:8" ht="14.25" customHeight="1" x14ac:dyDescent="0.35">
      <c r="H391" s="46"/>
    </row>
    <row r="392" spans="8:8" ht="14.25" customHeight="1" x14ac:dyDescent="0.35">
      <c r="H392" s="46"/>
    </row>
    <row r="393" spans="8:8" ht="14.25" customHeight="1" x14ac:dyDescent="0.35">
      <c r="H393" s="46"/>
    </row>
    <row r="394" spans="8:8" ht="14.25" customHeight="1" x14ac:dyDescent="0.35">
      <c r="H394" s="46"/>
    </row>
    <row r="395" spans="8:8" ht="14.25" customHeight="1" x14ac:dyDescent="0.35">
      <c r="H395" s="46"/>
    </row>
    <row r="396" spans="8:8" ht="14.25" customHeight="1" x14ac:dyDescent="0.35">
      <c r="H396" s="46"/>
    </row>
    <row r="397" spans="8:8" ht="14.25" customHeight="1" x14ac:dyDescent="0.35">
      <c r="H397" s="46"/>
    </row>
    <row r="398" spans="8:8" ht="14.25" customHeight="1" x14ac:dyDescent="0.35">
      <c r="H398" s="46"/>
    </row>
    <row r="399" spans="8:8" ht="14.25" customHeight="1" x14ac:dyDescent="0.35">
      <c r="H399" s="46"/>
    </row>
    <row r="400" spans="8:8" ht="14.25" customHeight="1" x14ac:dyDescent="0.35">
      <c r="H400" s="46"/>
    </row>
    <row r="401" spans="8:8" ht="14.25" customHeight="1" x14ac:dyDescent="0.35">
      <c r="H401" s="46"/>
    </row>
    <row r="402" spans="8:8" ht="14.25" customHeight="1" x14ac:dyDescent="0.35">
      <c r="H402" s="46"/>
    </row>
    <row r="403" spans="8:8" ht="14.25" customHeight="1" x14ac:dyDescent="0.35">
      <c r="H403" s="46"/>
    </row>
    <row r="404" spans="8:8" ht="14.25" customHeight="1" x14ac:dyDescent="0.35">
      <c r="H404" s="46"/>
    </row>
    <row r="405" spans="8:8" ht="14.25" customHeight="1" x14ac:dyDescent="0.35">
      <c r="H405" s="46"/>
    </row>
    <row r="406" spans="8:8" ht="14.25" customHeight="1" x14ac:dyDescent="0.35">
      <c r="H406" s="46"/>
    </row>
    <row r="407" spans="8:8" ht="14.25" customHeight="1" x14ac:dyDescent="0.35">
      <c r="H407" s="46"/>
    </row>
    <row r="408" spans="8:8" ht="14.25" customHeight="1" x14ac:dyDescent="0.35">
      <c r="H408" s="46"/>
    </row>
    <row r="409" spans="8:8" ht="14.25" customHeight="1" x14ac:dyDescent="0.35">
      <c r="H409" s="46"/>
    </row>
    <row r="410" spans="8:8" ht="14.25" customHeight="1" x14ac:dyDescent="0.35">
      <c r="H410" s="46"/>
    </row>
    <row r="411" spans="8:8" ht="14.25" customHeight="1" x14ac:dyDescent="0.35">
      <c r="H411" s="46"/>
    </row>
    <row r="412" spans="8:8" ht="14.25" customHeight="1" x14ac:dyDescent="0.35">
      <c r="H412" s="46"/>
    </row>
    <row r="413" spans="8:8" ht="14.25" customHeight="1" x14ac:dyDescent="0.35">
      <c r="H413" s="46"/>
    </row>
    <row r="414" spans="8:8" ht="14.25" customHeight="1" x14ac:dyDescent="0.35">
      <c r="H414" s="46"/>
    </row>
    <row r="415" spans="8:8" ht="14.25" customHeight="1" x14ac:dyDescent="0.35">
      <c r="H415" s="46"/>
    </row>
    <row r="416" spans="8:8" ht="14.25" customHeight="1" x14ac:dyDescent="0.35">
      <c r="H416" s="46"/>
    </row>
    <row r="417" spans="8:8" ht="14.25" customHeight="1" x14ac:dyDescent="0.35">
      <c r="H417" s="46"/>
    </row>
    <row r="418" spans="8:8" ht="14.25" customHeight="1" x14ac:dyDescent="0.35">
      <c r="H418" s="46"/>
    </row>
    <row r="419" spans="8:8" ht="14.25" customHeight="1" x14ac:dyDescent="0.35">
      <c r="H419" s="46"/>
    </row>
    <row r="420" spans="8:8" ht="14.25" customHeight="1" x14ac:dyDescent="0.35">
      <c r="H420" s="46"/>
    </row>
    <row r="421" spans="8:8" ht="14.25" customHeight="1" x14ac:dyDescent="0.35">
      <c r="H421" s="46"/>
    </row>
    <row r="422" spans="8:8" ht="14.25" customHeight="1" x14ac:dyDescent="0.35">
      <c r="H422" s="46"/>
    </row>
    <row r="423" spans="8:8" ht="14.25" customHeight="1" x14ac:dyDescent="0.35">
      <c r="H423" s="46"/>
    </row>
    <row r="424" spans="8:8" ht="14.25" customHeight="1" x14ac:dyDescent="0.35">
      <c r="H424" s="46"/>
    </row>
    <row r="425" spans="8:8" ht="14.25" customHeight="1" x14ac:dyDescent="0.35">
      <c r="H425" s="46"/>
    </row>
    <row r="426" spans="8:8" ht="14.25" customHeight="1" x14ac:dyDescent="0.35">
      <c r="H426" s="46"/>
    </row>
    <row r="427" spans="8:8" ht="14.25" customHeight="1" x14ac:dyDescent="0.35">
      <c r="H427" s="46"/>
    </row>
    <row r="428" spans="8:8" ht="14.25" customHeight="1" x14ac:dyDescent="0.35">
      <c r="H428" s="46"/>
    </row>
    <row r="429" spans="8:8" ht="14.25" customHeight="1" x14ac:dyDescent="0.35">
      <c r="H429" s="46"/>
    </row>
    <row r="430" spans="8:8" ht="14.25" customHeight="1" x14ac:dyDescent="0.35">
      <c r="H430" s="46"/>
    </row>
    <row r="431" spans="8:8" ht="14.25" customHeight="1" x14ac:dyDescent="0.35">
      <c r="H431" s="46"/>
    </row>
    <row r="432" spans="8:8" ht="14.25" customHeight="1" x14ac:dyDescent="0.35">
      <c r="H432" s="46"/>
    </row>
    <row r="433" spans="8:8" ht="14.25" customHeight="1" x14ac:dyDescent="0.35">
      <c r="H433" s="46"/>
    </row>
    <row r="434" spans="8:8" ht="14.25" customHeight="1" x14ac:dyDescent="0.35">
      <c r="H434" s="46"/>
    </row>
    <row r="435" spans="8:8" ht="14.25" customHeight="1" x14ac:dyDescent="0.35">
      <c r="H435" s="46"/>
    </row>
    <row r="436" spans="8:8" ht="14.25" customHeight="1" x14ac:dyDescent="0.35">
      <c r="H436" s="46"/>
    </row>
    <row r="437" spans="8:8" ht="14.25" customHeight="1" x14ac:dyDescent="0.35">
      <c r="H437" s="46"/>
    </row>
    <row r="438" spans="8:8" ht="14.25" customHeight="1" x14ac:dyDescent="0.35">
      <c r="H438" s="46"/>
    </row>
    <row r="439" spans="8:8" ht="14.25" customHeight="1" x14ac:dyDescent="0.35">
      <c r="H439" s="46"/>
    </row>
    <row r="440" spans="8:8" ht="14.25" customHeight="1" x14ac:dyDescent="0.35">
      <c r="H440" s="46"/>
    </row>
    <row r="441" spans="8:8" ht="14.25" customHeight="1" x14ac:dyDescent="0.35">
      <c r="H441" s="46"/>
    </row>
    <row r="442" spans="8:8" ht="14.25" customHeight="1" x14ac:dyDescent="0.35">
      <c r="H442" s="46"/>
    </row>
    <row r="443" spans="8:8" ht="14.25" customHeight="1" x14ac:dyDescent="0.35">
      <c r="H443" s="46"/>
    </row>
    <row r="444" spans="8:8" ht="14.25" customHeight="1" x14ac:dyDescent="0.35">
      <c r="H444" s="46"/>
    </row>
    <row r="445" spans="8:8" ht="14.25" customHeight="1" x14ac:dyDescent="0.35">
      <c r="H445" s="46"/>
    </row>
    <row r="446" spans="8:8" ht="14.25" customHeight="1" x14ac:dyDescent="0.35">
      <c r="H446" s="46"/>
    </row>
    <row r="447" spans="8:8" ht="14.25" customHeight="1" x14ac:dyDescent="0.35">
      <c r="H447" s="46"/>
    </row>
    <row r="448" spans="8:8" ht="14.25" customHeight="1" x14ac:dyDescent="0.35">
      <c r="H448" s="46"/>
    </row>
    <row r="449" spans="8:8" ht="14.25" customHeight="1" x14ac:dyDescent="0.35">
      <c r="H449" s="46"/>
    </row>
    <row r="450" spans="8:8" ht="14.25" customHeight="1" x14ac:dyDescent="0.35">
      <c r="H450" s="46"/>
    </row>
    <row r="451" spans="8:8" ht="14.25" customHeight="1" x14ac:dyDescent="0.35">
      <c r="H451" s="46"/>
    </row>
    <row r="452" spans="8:8" ht="14.25" customHeight="1" x14ac:dyDescent="0.35">
      <c r="H452" s="46"/>
    </row>
    <row r="453" spans="8:8" ht="14.25" customHeight="1" x14ac:dyDescent="0.35">
      <c r="H453" s="46"/>
    </row>
    <row r="454" spans="8:8" ht="14.25" customHeight="1" x14ac:dyDescent="0.35">
      <c r="H454" s="46"/>
    </row>
    <row r="455" spans="8:8" ht="14.25" customHeight="1" x14ac:dyDescent="0.35">
      <c r="H455" s="46"/>
    </row>
    <row r="456" spans="8:8" ht="14.25" customHeight="1" x14ac:dyDescent="0.35">
      <c r="H456" s="46"/>
    </row>
    <row r="457" spans="8:8" ht="14.25" customHeight="1" x14ac:dyDescent="0.35">
      <c r="H457" s="46"/>
    </row>
    <row r="458" spans="8:8" ht="14.25" customHeight="1" x14ac:dyDescent="0.35">
      <c r="H458" s="46"/>
    </row>
    <row r="459" spans="8:8" ht="14.25" customHeight="1" x14ac:dyDescent="0.35">
      <c r="H459" s="46"/>
    </row>
    <row r="460" spans="8:8" ht="14.25" customHeight="1" x14ac:dyDescent="0.35">
      <c r="H460" s="46"/>
    </row>
    <row r="461" spans="8:8" ht="14.25" customHeight="1" x14ac:dyDescent="0.35">
      <c r="H461" s="46"/>
    </row>
    <row r="462" spans="8:8" ht="14.25" customHeight="1" x14ac:dyDescent="0.35">
      <c r="H462" s="46"/>
    </row>
    <row r="463" spans="8:8" ht="14.25" customHeight="1" x14ac:dyDescent="0.35">
      <c r="H463" s="46"/>
    </row>
    <row r="464" spans="8:8" ht="14.25" customHeight="1" x14ac:dyDescent="0.35">
      <c r="H464" s="46"/>
    </row>
    <row r="465" spans="8:8" ht="14.25" customHeight="1" x14ac:dyDescent="0.35">
      <c r="H465" s="46"/>
    </row>
    <row r="466" spans="8:8" ht="14.25" customHeight="1" x14ac:dyDescent="0.35">
      <c r="H466" s="46"/>
    </row>
    <row r="467" spans="8:8" ht="14.25" customHeight="1" x14ac:dyDescent="0.35">
      <c r="H467" s="46"/>
    </row>
    <row r="468" spans="8:8" ht="14.25" customHeight="1" x14ac:dyDescent="0.35">
      <c r="H468" s="46"/>
    </row>
    <row r="469" spans="8:8" ht="14.25" customHeight="1" x14ac:dyDescent="0.35">
      <c r="H469" s="46"/>
    </row>
    <row r="470" spans="8:8" ht="14.25" customHeight="1" x14ac:dyDescent="0.35">
      <c r="H470" s="46"/>
    </row>
    <row r="471" spans="8:8" ht="14.25" customHeight="1" x14ac:dyDescent="0.35">
      <c r="H471" s="46"/>
    </row>
    <row r="472" spans="8:8" ht="14.25" customHeight="1" x14ac:dyDescent="0.35">
      <c r="H472" s="46"/>
    </row>
    <row r="473" spans="8:8" ht="14.25" customHeight="1" x14ac:dyDescent="0.35">
      <c r="H473" s="46"/>
    </row>
    <row r="474" spans="8:8" ht="14.25" customHeight="1" x14ac:dyDescent="0.35">
      <c r="H474" s="46"/>
    </row>
    <row r="475" spans="8:8" ht="14.25" customHeight="1" x14ac:dyDescent="0.35">
      <c r="H475" s="46"/>
    </row>
    <row r="476" spans="8:8" ht="14.25" customHeight="1" x14ac:dyDescent="0.35">
      <c r="H476" s="46"/>
    </row>
    <row r="477" spans="8:8" ht="14.25" customHeight="1" x14ac:dyDescent="0.35">
      <c r="H477" s="46"/>
    </row>
    <row r="478" spans="8:8" ht="14.25" customHeight="1" x14ac:dyDescent="0.35">
      <c r="H478" s="46"/>
    </row>
    <row r="479" spans="8:8" ht="14.25" customHeight="1" x14ac:dyDescent="0.35">
      <c r="H479" s="46"/>
    </row>
    <row r="480" spans="8:8" ht="14.25" customHeight="1" x14ac:dyDescent="0.35">
      <c r="H480" s="46"/>
    </row>
    <row r="481" spans="8:8" ht="14.25" customHeight="1" x14ac:dyDescent="0.35">
      <c r="H481" s="46"/>
    </row>
    <row r="482" spans="8:8" ht="14.25" customHeight="1" x14ac:dyDescent="0.35">
      <c r="H482" s="46"/>
    </row>
    <row r="483" spans="8:8" ht="14.25" customHeight="1" x14ac:dyDescent="0.35">
      <c r="H483" s="46"/>
    </row>
    <row r="484" spans="8:8" ht="14.25" customHeight="1" x14ac:dyDescent="0.35">
      <c r="H484" s="46"/>
    </row>
    <row r="485" spans="8:8" ht="14.25" customHeight="1" x14ac:dyDescent="0.35">
      <c r="H485" s="46"/>
    </row>
    <row r="486" spans="8:8" ht="14.25" customHeight="1" x14ac:dyDescent="0.35">
      <c r="H486" s="46"/>
    </row>
    <row r="487" spans="8:8" ht="14.25" customHeight="1" x14ac:dyDescent="0.35">
      <c r="H487" s="46"/>
    </row>
    <row r="488" spans="8:8" ht="14.25" customHeight="1" x14ac:dyDescent="0.35">
      <c r="H488" s="46"/>
    </row>
    <row r="489" spans="8:8" ht="14.25" customHeight="1" x14ac:dyDescent="0.35">
      <c r="H489" s="46"/>
    </row>
    <row r="490" spans="8:8" ht="14.25" customHeight="1" x14ac:dyDescent="0.35">
      <c r="H490" s="46"/>
    </row>
    <row r="491" spans="8:8" ht="14.25" customHeight="1" x14ac:dyDescent="0.35">
      <c r="H491" s="46"/>
    </row>
    <row r="492" spans="8:8" ht="14.25" customHeight="1" x14ac:dyDescent="0.35">
      <c r="H492" s="46"/>
    </row>
    <row r="493" spans="8:8" ht="14.25" customHeight="1" x14ac:dyDescent="0.35">
      <c r="H493" s="46"/>
    </row>
    <row r="494" spans="8:8" ht="14.25" customHeight="1" x14ac:dyDescent="0.35">
      <c r="H494" s="46"/>
    </row>
    <row r="495" spans="8:8" ht="14.25" customHeight="1" x14ac:dyDescent="0.35">
      <c r="H495" s="46"/>
    </row>
    <row r="496" spans="8:8" ht="14.25" customHeight="1" x14ac:dyDescent="0.35">
      <c r="H496" s="46"/>
    </row>
    <row r="497" spans="8:8" ht="14.25" customHeight="1" x14ac:dyDescent="0.35">
      <c r="H497" s="46"/>
    </row>
    <row r="498" spans="8:8" ht="14.25" customHeight="1" x14ac:dyDescent="0.35">
      <c r="H498" s="46"/>
    </row>
    <row r="499" spans="8:8" ht="14.25" customHeight="1" x14ac:dyDescent="0.35">
      <c r="H499" s="46"/>
    </row>
    <row r="500" spans="8:8" ht="14.25" customHeight="1" x14ac:dyDescent="0.35">
      <c r="H500" s="46"/>
    </row>
    <row r="501" spans="8:8" ht="14.25" customHeight="1" x14ac:dyDescent="0.35">
      <c r="H501" s="46"/>
    </row>
    <row r="502" spans="8:8" ht="14.25" customHeight="1" x14ac:dyDescent="0.35">
      <c r="H502" s="46"/>
    </row>
    <row r="503" spans="8:8" ht="14.25" customHeight="1" x14ac:dyDescent="0.35">
      <c r="H503" s="46"/>
    </row>
    <row r="504" spans="8:8" ht="14.25" customHeight="1" x14ac:dyDescent="0.35">
      <c r="H504" s="46"/>
    </row>
    <row r="505" spans="8:8" ht="14.25" customHeight="1" x14ac:dyDescent="0.35">
      <c r="H505" s="46"/>
    </row>
    <row r="506" spans="8:8" ht="14.25" customHeight="1" x14ac:dyDescent="0.35">
      <c r="H506" s="46"/>
    </row>
    <row r="507" spans="8:8" ht="14.25" customHeight="1" x14ac:dyDescent="0.35">
      <c r="H507" s="46"/>
    </row>
    <row r="508" spans="8:8" ht="14.25" customHeight="1" x14ac:dyDescent="0.35">
      <c r="H508" s="46"/>
    </row>
    <row r="509" spans="8:8" ht="14.25" customHeight="1" x14ac:dyDescent="0.35">
      <c r="H509" s="46"/>
    </row>
    <row r="510" spans="8:8" ht="14.25" customHeight="1" x14ac:dyDescent="0.35">
      <c r="H510" s="46"/>
    </row>
    <row r="511" spans="8:8" ht="14.25" customHeight="1" x14ac:dyDescent="0.35">
      <c r="H511" s="46"/>
    </row>
    <row r="512" spans="8:8" ht="14.25" customHeight="1" x14ac:dyDescent="0.35">
      <c r="H512" s="46"/>
    </row>
    <row r="513" spans="8:8" ht="14.25" customHeight="1" x14ac:dyDescent="0.35">
      <c r="H513" s="46"/>
    </row>
    <row r="514" spans="8:8" ht="14.25" customHeight="1" x14ac:dyDescent="0.35">
      <c r="H514" s="46"/>
    </row>
    <row r="515" spans="8:8" ht="14.25" customHeight="1" x14ac:dyDescent="0.35">
      <c r="H515" s="46"/>
    </row>
    <row r="516" spans="8:8" ht="14.25" customHeight="1" x14ac:dyDescent="0.35">
      <c r="H516" s="46"/>
    </row>
    <row r="517" spans="8:8" ht="14.25" customHeight="1" x14ac:dyDescent="0.35">
      <c r="H517" s="46"/>
    </row>
    <row r="518" spans="8:8" ht="14.25" customHeight="1" x14ac:dyDescent="0.35">
      <c r="H518" s="46"/>
    </row>
    <row r="519" spans="8:8" ht="14.25" customHeight="1" x14ac:dyDescent="0.35">
      <c r="H519" s="46"/>
    </row>
    <row r="520" spans="8:8" ht="14.25" customHeight="1" x14ac:dyDescent="0.35">
      <c r="H520" s="46"/>
    </row>
    <row r="521" spans="8:8" ht="14.25" customHeight="1" x14ac:dyDescent="0.35">
      <c r="H521" s="46"/>
    </row>
    <row r="522" spans="8:8" ht="14.25" customHeight="1" x14ac:dyDescent="0.35">
      <c r="H522" s="46"/>
    </row>
    <row r="523" spans="8:8" ht="14.25" customHeight="1" x14ac:dyDescent="0.35">
      <c r="H523" s="46"/>
    </row>
    <row r="524" spans="8:8" ht="14.25" customHeight="1" x14ac:dyDescent="0.35">
      <c r="H524" s="46"/>
    </row>
    <row r="525" spans="8:8" ht="14.25" customHeight="1" x14ac:dyDescent="0.35">
      <c r="H525" s="46"/>
    </row>
    <row r="526" spans="8:8" ht="14.25" customHeight="1" x14ac:dyDescent="0.35">
      <c r="H526" s="46"/>
    </row>
    <row r="527" spans="8:8" ht="14.25" customHeight="1" x14ac:dyDescent="0.35">
      <c r="H527" s="46"/>
    </row>
    <row r="528" spans="8:8" ht="14.25" customHeight="1" x14ac:dyDescent="0.35">
      <c r="H528" s="46"/>
    </row>
    <row r="529" spans="8:8" ht="14.25" customHeight="1" x14ac:dyDescent="0.35">
      <c r="H529" s="46"/>
    </row>
    <row r="530" spans="8:8" ht="14.25" customHeight="1" x14ac:dyDescent="0.35">
      <c r="H530" s="46"/>
    </row>
    <row r="531" spans="8:8" ht="14.25" customHeight="1" x14ac:dyDescent="0.35">
      <c r="H531" s="46"/>
    </row>
    <row r="532" spans="8:8" ht="14.25" customHeight="1" x14ac:dyDescent="0.35">
      <c r="H532" s="46"/>
    </row>
    <row r="533" spans="8:8" ht="14.25" customHeight="1" x14ac:dyDescent="0.35">
      <c r="H533" s="46"/>
    </row>
    <row r="534" spans="8:8" ht="14.25" customHeight="1" x14ac:dyDescent="0.35">
      <c r="H534" s="46"/>
    </row>
    <row r="535" spans="8:8" ht="14.25" customHeight="1" x14ac:dyDescent="0.35">
      <c r="H535" s="46"/>
    </row>
    <row r="536" spans="8:8" ht="14.25" customHeight="1" x14ac:dyDescent="0.35">
      <c r="H536" s="46"/>
    </row>
    <row r="537" spans="8:8" ht="14.25" customHeight="1" x14ac:dyDescent="0.35">
      <c r="H537" s="46"/>
    </row>
    <row r="538" spans="8:8" ht="14.25" customHeight="1" x14ac:dyDescent="0.35">
      <c r="H538" s="46"/>
    </row>
    <row r="539" spans="8:8" ht="14.25" customHeight="1" x14ac:dyDescent="0.35">
      <c r="H539" s="46"/>
    </row>
    <row r="540" spans="8:8" ht="14.25" customHeight="1" x14ac:dyDescent="0.35">
      <c r="H540" s="46"/>
    </row>
    <row r="541" spans="8:8" ht="14.25" customHeight="1" x14ac:dyDescent="0.35">
      <c r="H541" s="46"/>
    </row>
    <row r="542" spans="8:8" ht="14.25" customHeight="1" x14ac:dyDescent="0.35">
      <c r="H542" s="46"/>
    </row>
    <row r="543" spans="8:8" ht="14.25" customHeight="1" x14ac:dyDescent="0.35">
      <c r="H543" s="46"/>
    </row>
    <row r="544" spans="8:8" ht="14.25" customHeight="1" x14ac:dyDescent="0.35">
      <c r="H544" s="46"/>
    </row>
    <row r="545" spans="8:8" ht="14.25" customHeight="1" x14ac:dyDescent="0.35">
      <c r="H545" s="46"/>
    </row>
    <row r="546" spans="8:8" ht="14.25" customHeight="1" x14ac:dyDescent="0.35">
      <c r="H546" s="46"/>
    </row>
    <row r="547" spans="8:8" ht="14.25" customHeight="1" x14ac:dyDescent="0.35">
      <c r="H547" s="46"/>
    </row>
    <row r="548" spans="8:8" ht="14.25" customHeight="1" x14ac:dyDescent="0.35">
      <c r="H548" s="46"/>
    </row>
    <row r="549" spans="8:8" ht="14.25" customHeight="1" x14ac:dyDescent="0.35">
      <c r="H549" s="46"/>
    </row>
    <row r="550" spans="8:8" ht="14.25" customHeight="1" x14ac:dyDescent="0.35">
      <c r="H550" s="46"/>
    </row>
    <row r="551" spans="8:8" ht="14.25" customHeight="1" x14ac:dyDescent="0.35">
      <c r="H551" s="46"/>
    </row>
    <row r="552" spans="8:8" ht="14.25" customHeight="1" x14ac:dyDescent="0.35">
      <c r="H552" s="46"/>
    </row>
    <row r="553" spans="8:8" ht="14.25" customHeight="1" x14ac:dyDescent="0.35">
      <c r="H553" s="46"/>
    </row>
    <row r="554" spans="8:8" ht="14.25" customHeight="1" x14ac:dyDescent="0.35">
      <c r="H554" s="46"/>
    </row>
    <row r="555" spans="8:8" ht="14.25" customHeight="1" x14ac:dyDescent="0.35">
      <c r="H555" s="46"/>
    </row>
    <row r="556" spans="8:8" ht="14.25" customHeight="1" x14ac:dyDescent="0.35">
      <c r="H556" s="46"/>
    </row>
    <row r="557" spans="8:8" ht="14.25" customHeight="1" x14ac:dyDescent="0.35">
      <c r="H557" s="46"/>
    </row>
    <row r="558" spans="8:8" ht="14.25" customHeight="1" x14ac:dyDescent="0.35">
      <c r="H558" s="46"/>
    </row>
    <row r="559" spans="8:8" ht="14.25" customHeight="1" x14ac:dyDescent="0.35">
      <c r="H559" s="46"/>
    </row>
    <row r="560" spans="8:8" ht="14.25" customHeight="1" x14ac:dyDescent="0.35">
      <c r="H560" s="46"/>
    </row>
    <row r="561" spans="8:8" ht="14.25" customHeight="1" x14ac:dyDescent="0.35">
      <c r="H561" s="46"/>
    </row>
    <row r="562" spans="8:8" ht="14.25" customHeight="1" x14ac:dyDescent="0.35">
      <c r="H562" s="46"/>
    </row>
    <row r="563" spans="8:8" ht="14.25" customHeight="1" x14ac:dyDescent="0.35">
      <c r="H563" s="46"/>
    </row>
    <row r="564" spans="8:8" ht="14.25" customHeight="1" x14ac:dyDescent="0.35">
      <c r="H564" s="46"/>
    </row>
    <row r="565" spans="8:8" ht="14.25" customHeight="1" x14ac:dyDescent="0.35">
      <c r="H565" s="46"/>
    </row>
    <row r="566" spans="8:8" ht="14.25" customHeight="1" x14ac:dyDescent="0.35">
      <c r="H566" s="46"/>
    </row>
    <row r="567" spans="8:8" ht="14.25" customHeight="1" x14ac:dyDescent="0.35">
      <c r="H567" s="46"/>
    </row>
    <row r="568" spans="8:8" ht="14.25" customHeight="1" x14ac:dyDescent="0.35">
      <c r="H568" s="46"/>
    </row>
    <row r="569" spans="8:8" ht="14.25" customHeight="1" x14ac:dyDescent="0.35">
      <c r="H569" s="46"/>
    </row>
    <row r="570" spans="8:8" ht="14.25" customHeight="1" x14ac:dyDescent="0.35">
      <c r="H570" s="46"/>
    </row>
    <row r="571" spans="8:8" ht="14.25" customHeight="1" x14ac:dyDescent="0.35">
      <c r="H571" s="46"/>
    </row>
    <row r="572" spans="8:8" ht="14.25" customHeight="1" x14ac:dyDescent="0.35">
      <c r="H572" s="46"/>
    </row>
    <row r="573" spans="8:8" ht="14.25" customHeight="1" x14ac:dyDescent="0.35">
      <c r="H573" s="46"/>
    </row>
    <row r="574" spans="8:8" ht="14.25" customHeight="1" x14ac:dyDescent="0.35">
      <c r="H574" s="46"/>
    </row>
    <row r="575" spans="8:8" ht="14.25" customHeight="1" x14ac:dyDescent="0.35">
      <c r="H575" s="46"/>
    </row>
    <row r="576" spans="8:8" ht="14.25" customHeight="1" x14ac:dyDescent="0.35">
      <c r="H576" s="46"/>
    </row>
    <row r="577" spans="8:8" ht="14.25" customHeight="1" x14ac:dyDescent="0.35">
      <c r="H577" s="46"/>
    </row>
    <row r="578" spans="8:8" ht="14.25" customHeight="1" x14ac:dyDescent="0.35">
      <c r="H578" s="46"/>
    </row>
    <row r="579" spans="8:8" ht="14.25" customHeight="1" x14ac:dyDescent="0.35">
      <c r="H579" s="46"/>
    </row>
    <row r="580" spans="8:8" ht="14.25" customHeight="1" x14ac:dyDescent="0.35">
      <c r="H580" s="46"/>
    </row>
    <row r="581" spans="8:8" ht="14.25" customHeight="1" x14ac:dyDescent="0.35">
      <c r="H581" s="46"/>
    </row>
    <row r="582" spans="8:8" ht="14.25" customHeight="1" x14ac:dyDescent="0.35">
      <c r="H582" s="46"/>
    </row>
    <row r="583" spans="8:8" ht="14.25" customHeight="1" x14ac:dyDescent="0.35">
      <c r="H583" s="46"/>
    </row>
    <row r="584" spans="8:8" ht="14.25" customHeight="1" x14ac:dyDescent="0.35">
      <c r="H584" s="46"/>
    </row>
    <row r="585" spans="8:8" ht="14.25" customHeight="1" x14ac:dyDescent="0.35">
      <c r="H585" s="46"/>
    </row>
    <row r="586" spans="8:8" ht="14.25" customHeight="1" x14ac:dyDescent="0.35">
      <c r="H586" s="46"/>
    </row>
    <row r="587" spans="8:8" ht="14.25" customHeight="1" x14ac:dyDescent="0.35">
      <c r="H587" s="46"/>
    </row>
    <row r="588" spans="8:8" ht="14.25" customHeight="1" x14ac:dyDescent="0.35">
      <c r="H588" s="46"/>
    </row>
    <row r="589" spans="8:8" ht="14.25" customHeight="1" x14ac:dyDescent="0.35">
      <c r="H589" s="46"/>
    </row>
    <row r="590" spans="8:8" ht="14.25" customHeight="1" x14ac:dyDescent="0.35">
      <c r="H590" s="46"/>
    </row>
    <row r="591" spans="8:8" ht="14.25" customHeight="1" x14ac:dyDescent="0.35">
      <c r="H591" s="46"/>
    </row>
    <row r="592" spans="8:8" ht="14.25" customHeight="1" x14ac:dyDescent="0.35">
      <c r="H592" s="46"/>
    </row>
    <row r="593" spans="8:8" ht="14.25" customHeight="1" x14ac:dyDescent="0.35">
      <c r="H593" s="46"/>
    </row>
    <row r="594" spans="8:8" ht="14.25" customHeight="1" x14ac:dyDescent="0.35">
      <c r="H594" s="46"/>
    </row>
    <row r="595" spans="8:8" ht="14.25" customHeight="1" x14ac:dyDescent="0.35">
      <c r="H595" s="46"/>
    </row>
    <row r="596" spans="8:8" ht="14.25" customHeight="1" x14ac:dyDescent="0.35">
      <c r="H596" s="46"/>
    </row>
    <row r="597" spans="8:8" ht="14.25" customHeight="1" x14ac:dyDescent="0.35">
      <c r="H597" s="46"/>
    </row>
    <row r="598" spans="8:8" ht="14.25" customHeight="1" x14ac:dyDescent="0.35">
      <c r="H598" s="46"/>
    </row>
    <row r="599" spans="8:8" ht="14.25" customHeight="1" x14ac:dyDescent="0.35">
      <c r="H599" s="46"/>
    </row>
    <row r="600" spans="8:8" ht="14.25" customHeight="1" x14ac:dyDescent="0.35">
      <c r="H600" s="46"/>
    </row>
    <row r="601" spans="8:8" ht="14.25" customHeight="1" x14ac:dyDescent="0.35">
      <c r="H601" s="46"/>
    </row>
    <row r="602" spans="8:8" ht="14.25" customHeight="1" x14ac:dyDescent="0.35">
      <c r="H602" s="46"/>
    </row>
    <row r="603" spans="8:8" ht="14.25" customHeight="1" x14ac:dyDescent="0.35">
      <c r="H603" s="46"/>
    </row>
    <row r="604" spans="8:8" ht="14.25" customHeight="1" x14ac:dyDescent="0.35">
      <c r="H604" s="46"/>
    </row>
    <row r="605" spans="8:8" ht="14.25" customHeight="1" x14ac:dyDescent="0.35">
      <c r="H605" s="46"/>
    </row>
    <row r="606" spans="8:8" ht="14.25" customHeight="1" x14ac:dyDescent="0.35">
      <c r="H606" s="46"/>
    </row>
    <row r="607" spans="8:8" ht="14.25" customHeight="1" x14ac:dyDescent="0.35">
      <c r="H607" s="46"/>
    </row>
    <row r="608" spans="8:8" ht="14.25" customHeight="1" x14ac:dyDescent="0.35">
      <c r="H608" s="46"/>
    </row>
    <row r="609" spans="8:8" ht="14.25" customHeight="1" x14ac:dyDescent="0.35">
      <c r="H609" s="46"/>
    </row>
    <row r="610" spans="8:8" ht="14.25" customHeight="1" x14ac:dyDescent="0.35">
      <c r="H610" s="46"/>
    </row>
    <row r="611" spans="8:8" ht="14.25" customHeight="1" x14ac:dyDescent="0.35">
      <c r="H611" s="46"/>
    </row>
    <row r="612" spans="8:8" ht="14.25" customHeight="1" x14ac:dyDescent="0.35">
      <c r="H612" s="46"/>
    </row>
    <row r="613" spans="8:8" ht="14.25" customHeight="1" x14ac:dyDescent="0.35">
      <c r="H613" s="46"/>
    </row>
    <row r="614" spans="8:8" ht="14.25" customHeight="1" x14ac:dyDescent="0.35">
      <c r="H614" s="46"/>
    </row>
    <row r="615" spans="8:8" ht="14.25" customHeight="1" x14ac:dyDescent="0.35">
      <c r="H615" s="46"/>
    </row>
    <row r="616" spans="8:8" ht="14.25" customHeight="1" x14ac:dyDescent="0.35">
      <c r="H616" s="46"/>
    </row>
    <row r="617" spans="8:8" ht="14.25" customHeight="1" x14ac:dyDescent="0.35">
      <c r="H617" s="46"/>
    </row>
    <row r="618" spans="8:8" ht="14.25" customHeight="1" x14ac:dyDescent="0.35">
      <c r="H618" s="46"/>
    </row>
    <row r="619" spans="8:8" ht="14.25" customHeight="1" x14ac:dyDescent="0.35">
      <c r="H619" s="46"/>
    </row>
    <row r="620" spans="8:8" ht="14.25" customHeight="1" x14ac:dyDescent="0.35">
      <c r="H620" s="46"/>
    </row>
    <row r="621" spans="8:8" ht="14.25" customHeight="1" x14ac:dyDescent="0.35">
      <c r="H621" s="46"/>
    </row>
    <row r="622" spans="8:8" ht="14.25" customHeight="1" x14ac:dyDescent="0.35">
      <c r="H622" s="46"/>
    </row>
    <row r="623" spans="8:8" ht="14.25" customHeight="1" x14ac:dyDescent="0.35">
      <c r="H623" s="46"/>
    </row>
    <row r="624" spans="8:8" ht="14.25" customHeight="1" x14ac:dyDescent="0.35">
      <c r="H624" s="46"/>
    </row>
    <row r="625" spans="8:8" ht="14.25" customHeight="1" x14ac:dyDescent="0.35">
      <c r="H625" s="46"/>
    </row>
    <row r="626" spans="8:8" ht="14.25" customHeight="1" x14ac:dyDescent="0.35">
      <c r="H626" s="46"/>
    </row>
    <row r="627" spans="8:8" ht="14.25" customHeight="1" x14ac:dyDescent="0.35">
      <c r="H627" s="46"/>
    </row>
    <row r="628" spans="8:8" ht="14.25" customHeight="1" x14ac:dyDescent="0.35">
      <c r="H628" s="46"/>
    </row>
    <row r="629" spans="8:8" ht="14.25" customHeight="1" x14ac:dyDescent="0.35">
      <c r="H629" s="46"/>
    </row>
    <row r="630" spans="8:8" ht="14.25" customHeight="1" x14ac:dyDescent="0.35">
      <c r="H630" s="46"/>
    </row>
    <row r="631" spans="8:8" ht="14.25" customHeight="1" x14ac:dyDescent="0.35">
      <c r="H631" s="46"/>
    </row>
    <row r="632" spans="8:8" ht="14.25" customHeight="1" x14ac:dyDescent="0.35">
      <c r="H632" s="46"/>
    </row>
    <row r="633" spans="8:8" ht="14.25" customHeight="1" x14ac:dyDescent="0.35">
      <c r="H633" s="46"/>
    </row>
    <row r="634" spans="8:8" ht="14.25" customHeight="1" x14ac:dyDescent="0.35">
      <c r="H634" s="46"/>
    </row>
    <row r="635" spans="8:8" ht="14.25" customHeight="1" x14ac:dyDescent="0.35">
      <c r="H635" s="46"/>
    </row>
    <row r="636" spans="8:8" ht="14.25" customHeight="1" x14ac:dyDescent="0.35">
      <c r="H636" s="46"/>
    </row>
    <row r="637" spans="8:8" ht="14.25" customHeight="1" x14ac:dyDescent="0.35">
      <c r="H637" s="46"/>
    </row>
    <row r="638" spans="8:8" ht="14.25" customHeight="1" x14ac:dyDescent="0.35">
      <c r="H638" s="46"/>
    </row>
    <row r="639" spans="8:8" ht="14.25" customHeight="1" x14ac:dyDescent="0.35">
      <c r="H639" s="46"/>
    </row>
    <row r="640" spans="8:8" ht="14.25" customHeight="1" x14ac:dyDescent="0.35">
      <c r="H640" s="46"/>
    </row>
    <row r="641" spans="8:8" ht="14.25" customHeight="1" x14ac:dyDescent="0.35">
      <c r="H641" s="46"/>
    </row>
    <row r="642" spans="8:8" ht="14.25" customHeight="1" x14ac:dyDescent="0.35">
      <c r="H642" s="46"/>
    </row>
    <row r="643" spans="8:8" ht="14.25" customHeight="1" x14ac:dyDescent="0.35">
      <c r="H643" s="46"/>
    </row>
    <row r="644" spans="8:8" ht="14.25" customHeight="1" x14ac:dyDescent="0.35">
      <c r="H644" s="46"/>
    </row>
    <row r="645" spans="8:8" ht="14.25" customHeight="1" x14ac:dyDescent="0.35">
      <c r="H645" s="46"/>
    </row>
    <row r="646" spans="8:8" ht="14.25" customHeight="1" x14ac:dyDescent="0.35">
      <c r="H646" s="46"/>
    </row>
    <row r="647" spans="8:8" ht="14.25" customHeight="1" x14ac:dyDescent="0.35">
      <c r="H647" s="46"/>
    </row>
    <row r="648" spans="8:8" ht="14.25" customHeight="1" x14ac:dyDescent="0.35">
      <c r="H648" s="46"/>
    </row>
    <row r="649" spans="8:8" ht="14.25" customHeight="1" x14ac:dyDescent="0.35">
      <c r="H649" s="46"/>
    </row>
    <row r="650" spans="8:8" ht="14.25" customHeight="1" x14ac:dyDescent="0.35">
      <c r="H650" s="46"/>
    </row>
    <row r="651" spans="8:8" ht="14.25" customHeight="1" x14ac:dyDescent="0.35">
      <c r="H651" s="46"/>
    </row>
    <row r="652" spans="8:8" ht="14.25" customHeight="1" x14ac:dyDescent="0.35">
      <c r="H652" s="46"/>
    </row>
    <row r="653" spans="8:8" ht="14.25" customHeight="1" x14ac:dyDescent="0.35">
      <c r="H653" s="46"/>
    </row>
    <row r="654" spans="8:8" ht="14.25" customHeight="1" x14ac:dyDescent="0.35">
      <c r="H654" s="46"/>
    </row>
    <row r="655" spans="8:8" ht="14.25" customHeight="1" x14ac:dyDescent="0.35">
      <c r="H655" s="46"/>
    </row>
    <row r="656" spans="8:8" ht="14.25" customHeight="1" x14ac:dyDescent="0.35">
      <c r="H656" s="46"/>
    </row>
    <row r="657" spans="8:8" ht="14.25" customHeight="1" x14ac:dyDescent="0.35">
      <c r="H657" s="46"/>
    </row>
    <row r="658" spans="8:8" ht="14.25" customHeight="1" x14ac:dyDescent="0.35">
      <c r="H658" s="46"/>
    </row>
    <row r="659" spans="8:8" ht="14.25" customHeight="1" x14ac:dyDescent="0.35">
      <c r="H659" s="46"/>
    </row>
    <row r="660" spans="8:8" ht="14.25" customHeight="1" x14ac:dyDescent="0.35">
      <c r="H660" s="46"/>
    </row>
    <row r="661" spans="8:8" ht="14.25" customHeight="1" x14ac:dyDescent="0.35">
      <c r="H661" s="46"/>
    </row>
    <row r="662" spans="8:8" ht="14.25" customHeight="1" x14ac:dyDescent="0.35">
      <c r="H662" s="46"/>
    </row>
    <row r="663" spans="8:8" ht="14.25" customHeight="1" x14ac:dyDescent="0.35">
      <c r="H663" s="46"/>
    </row>
    <row r="664" spans="8:8" ht="14.25" customHeight="1" x14ac:dyDescent="0.35">
      <c r="H664" s="46"/>
    </row>
    <row r="665" spans="8:8" ht="14.25" customHeight="1" x14ac:dyDescent="0.35">
      <c r="H665" s="46"/>
    </row>
    <row r="666" spans="8:8" ht="14.25" customHeight="1" x14ac:dyDescent="0.35">
      <c r="H666" s="46"/>
    </row>
    <row r="667" spans="8:8" ht="14.25" customHeight="1" x14ac:dyDescent="0.35">
      <c r="H667" s="46"/>
    </row>
    <row r="668" spans="8:8" ht="14.25" customHeight="1" x14ac:dyDescent="0.35">
      <c r="H668" s="46"/>
    </row>
    <row r="669" spans="8:8" ht="14.25" customHeight="1" x14ac:dyDescent="0.35">
      <c r="H669" s="46"/>
    </row>
    <row r="670" spans="8:8" ht="14.25" customHeight="1" x14ac:dyDescent="0.35">
      <c r="H670" s="46"/>
    </row>
    <row r="671" spans="8:8" ht="14.25" customHeight="1" x14ac:dyDescent="0.35">
      <c r="H671" s="46"/>
    </row>
    <row r="672" spans="8:8" ht="14.25" customHeight="1" x14ac:dyDescent="0.35">
      <c r="H672" s="46"/>
    </row>
    <row r="673" spans="8:8" ht="14.25" customHeight="1" x14ac:dyDescent="0.35">
      <c r="H673" s="46"/>
    </row>
    <row r="674" spans="8:8" ht="14.25" customHeight="1" x14ac:dyDescent="0.35">
      <c r="H674" s="46"/>
    </row>
    <row r="675" spans="8:8" ht="14.25" customHeight="1" x14ac:dyDescent="0.35">
      <c r="H675" s="46"/>
    </row>
    <row r="676" spans="8:8" ht="14.25" customHeight="1" x14ac:dyDescent="0.35">
      <c r="H676" s="46"/>
    </row>
    <row r="677" spans="8:8" ht="14.25" customHeight="1" x14ac:dyDescent="0.35">
      <c r="H677" s="46"/>
    </row>
    <row r="678" spans="8:8" ht="14.25" customHeight="1" x14ac:dyDescent="0.35">
      <c r="H678" s="46"/>
    </row>
    <row r="679" spans="8:8" ht="14.25" customHeight="1" x14ac:dyDescent="0.35">
      <c r="H679" s="46"/>
    </row>
    <row r="680" spans="8:8" ht="14.25" customHeight="1" x14ac:dyDescent="0.35">
      <c r="H680" s="46"/>
    </row>
    <row r="681" spans="8:8" ht="14.25" customHeight="1" x14ac:dyDescent="0.35">
      <c r="H681" s="46"/>
    </row>
    <row r="682" spans="8:8" ht="14.25" customHeight="1" x14ac:dyDescent="0.35">
      <c r="H682" s="46"/>
    </row>
    <row r="683" spans="8:8" ht="14.25" customHeight="1" x14ac:dyDescent="0.35">
      <c r="H683" s="46"/>
    </row>
    <row r="684" spans="8:8" ht="14.25" customHeight="1" x14ac:dyDescent="0.35">
      <c r="H684" s="46"/>
    </row>
    <row r="685" spans="8:8" ht="14.25" customHeight="1" x14ac:dyDescent="0.35">
      <c r="H685" s="46"/>
    </row>
    <row r="686" spans="8:8" ht="14.25" customHeight="1" x14ac:dyDescent="0.35">
      <c r="H686" s="46"/>
    </row>
    <row r="687" spans="8:8" ht="14.25" customHeight="1" x14ac:dyDescent="0.35">
      <c r="H687" s="46"/>
    </row>
    <row r="688" spans="8:8" ht="14.25" customHeight="1" x14ac:dyDescent="0.35">
      <c r="H688" s="46"/>
    </row>
    <row r="689" spans="8:8" ht="14.25" customHeight="1" x14ac:dyDescent="0.35">
      <c r="H689" s="46"/>
    </row>
    <row r="690" spans="8:8" ht="14.25" customHeight="1" x14ac:dyDescent="0.35">
      <c r="H690" s="46"/>
    </row>
    <row r="691" spans="8:8" ht="14.25" customHeight="1" x14ac:dyDescent="0.35">
      <c r="H691" s="46"/>
    </row>
    <row r="692" spans="8:8" ht="14.25" customHeight="1" x14ac:dyDescent="0.35">
      <c r="H692" s="46"/>
    </row>
    <row r="693" spans="8:8" ht="14.25" customHeight="1" x14ac:dyDescent="0.35">
      <c r="H693" s="46"/>
    </row>
    <row r="694" spans="8:8" ht="14.25" customHeight="1" x14ac:dyDescent="0.35">
      <c r="H694" s="46"/>
    </row>
    <row r="695" spans="8:8" ht="14.25" customHeight="1" x14ac:dyDescent="0.35">
      <c r="H695" s="46"/>
    </row>
    <row r="696" spans="8:8" ht="14.25" customHeight="1" x14ac:dyDescent="0.35">
      <c r="H696" s="46"/>
    </row>
    <row r="697" spans="8:8" ht="14.25" customHeight="1" x14ac:dyDescent="0.35">
      <c r="H697" s="46"/>
    </row>
    <row r="698" spans="8:8" ht="14.25" customHeight="1" x14ac:dyDescent="0.35">
      <c r="H698" s="46"/>
    </row>
    <row r="699" spans="8:8" ht="14.25" customHeight="1" x14ac:dyDescent="0.35">
      <c r="H699" s="46"/>
    </row>
    <row r="700" spans="8:8" ht="14.25" customHeight="1" x14ac:dyDescent="0.35">
      <c r="H700" s="46"/>
    </row>
    <row r="701" spans="8:8" ht="14.25" customHeight="1" x14ac:dyDescent="0.35">
      <c r="H701" s="46"/>
    </row>
    <row r="702" spans="8:8" ht="14.25" customHeight="1" x14ac:dyDescent="0.35">
      <c r="H702" s="46"/>
    </row>
    <row r="703" spans="8:8" ht="14.25" customHeight="1" x14ac:dyDescent="0.35">
      <c r="H703" s="46"/>
    </row>
    <row r="704" spans="8:8" ht="14.25" customHeight="1" x14ac:dyDescent="0.35">
      <c r="H704" s="46"/>
    </row>
    <row r="705" spans="8:8" ht="14.25" customHeight="1" x14ac:dyDescent="0.35">
      <c r="H705" s="46"/>
    </row>
    <row r="706" spans="8:8" ht="14.25" customHeight="1" x14ac:dyDescent="0.35">
      <c r="H706" s="46"/>
    </row>
    <row r="707" spans="8:8" ht="14.25" customHeight="1" x14ac:dyDescent="0.35">
      <c r="H707" s="46"/>
    </row>
    <row r="708" spans="8:8" ht="14.25" customHeight="1" x14ac:dyDescent="0.35">
      <c r="H708" s="46"/>
    </row>
    <row r="709" spans="8:8" ht="14.25" customHeight="1" x14ac:dyDescent="0.35">
      <c r="H709" s="46"/>
    </row>
    <row r="710" spans="8:8" ht="14.25" customHeight="1" x14ac:dyDescent="0.35">
      <c r="H710" s="46"/>
    </row>
    <row r="711" spans="8:8" ht="14.25" customHeight="1" x14ac:dyDescent="0.35">
      <c r="H711" s="46"/>
    </row>
    <row r="712" spans="8:8" ht="14.25" customHeight="1" x14ac:dyDescent="0.35">
      <c r="H712" s="46"/>
    </row>
    <row r="713" spans="8:8" ht="14.25" customHeight="1" x14ac:dyDescent="0.35">
      <c r="H713" s="46"/>
    </row>
    <row r="714" spans="8:8" ht="14.25" customHeight="1" x14ac:dyDescent="0.35">
      <c r="H714" s="46"/>
    </row>
    <row r="715" spans="8:8" ht="14.25" customHeight="1" x14ac:dyDescent="0.35">
      <c r="H715" s="46"/>
    </row>
    <row r="716" spans="8:8" ht="14.25" customHeight="1" x14ac:dyDescent="0.35">
      <c r="H716" s="46"/>
    </row>
    <row r="717" spans="8:8" ht="14.25" customHeight="1" x14ac:dyDescent="0.35">
      <c r="H717" s="46"/>
    </row>
    <row r="718" spans="8:8" ht="14.25" customHeight="1" x14ac:dyDescent="0.35">
      <c r="H718" s="46"/>
    </row>
    <row r="719" spans="8:8" ht="14.25" customHeight="1" x14ac:dyDescent="0.35">
      <c r="H719" s="46"/>
    </row>
    <row r="720" spans="8:8" ht="14.25" customHeight="1" x14ac:dyDescent="0.35">
      <c r="H720" s="46"/>
    </row>
    <row r="721" spans="8:8" ht="14.25" customHeight="1" x14ac:dyDescent="0.35">
      <c r="H721" s="46"/>
    </row>
    <row r="722" spans="8:8" ht="14.25" customHeight="1" x14ac:dyDescent="0.35">
      <c r="H722" s="46"/>
    </row>
    <row r="723" spans="8:8" ht="14.25" customHeight="1" x14ac:dyDescent="0.35">
      <c r="H723" s="46"/>
    </row>
    <row r="724" spans="8:8" ht="14.25" customHeight="1" x14ac:dyDescent="0.35">
      <c r="H724" s="46"/>
    </row>
    <row r="725" spans="8:8" ht="14.25" customHeight="1" x14ac:dyDescent="0.35">
      <c r="H725" s="46"/>
    </row>
    <row r="726" spans="8:8" ht="14.25" customHeight="1" x14ac:dyDescent="0.35">
      <c r="H726" s="46"/>
    </row>
    <row r="727" spans="8:8" ht="14.25" customHeight="1" x14ac:dyDescent="0.35">
      <c r="H727" s="46"/>
    </row>
    <row r="728" spans="8:8" ht="14.25" customHeight="1" x14ac:dyDescent="0.35">
      <c r="H728" s="46"/>
    </row>
    <row r="729" spans="8:8" ht="14.25" customHeight="1" x14ac:dyDescent="0.35">
      <c r="H729" s="46"/>
    </row>
    <row r="730" spans="8:8" ht="14.25" customHeight="1" x14ac:dyDescent="0.35">
      <c r="H730" s="46"/>
    </row>
    <row r="731" spans="8:8" ht="14.25" customHeight="1" x14ac:dyDescent="0.35">
      <c r="H731" s="46"/>
    </row>
    <row r="732" spans="8:8" ht="14.25" customHeight="1" x14ac:dyDescent="0.35">
      <c r="H732" s="46"/>
    </row>
    <row r="733" spans="8:8" ht="14.25" customHeight="1" x14ac:dyDescent="0.35">
      <c r="H733" s="46"/>
    </row>
    <row r="734" spans="8:8" ht="14.25" customHeight="1" x14ac:dyDescent="0.35">
      <c r="H734" s="46"/>
    </row>
    <row r="735" spans="8:8" ht="14.25" customHeight="1" x14ac:dyDescent="0.35">
      <c r="H735" s="46"/>
    </row>
    <row r="736" spans="8:8" ht="14.25" customHeight="1" x14ac:dyDescent="0.35">
      <c r="H736" s="46"/>
    </row>
    <row r="737" spans="8:8" ht="14.25" customHeight="1" x14ac:dyDescent="0.35">
      <c r="H737" s="46"/>
    </row>
    <row r="738" spans="8:8" ht="14.25" customHeight="1" x14ac:dyDescent="0.35">
      <c r="H738" s="46"/>
    </row>
    <row r="739" spans="8:8" ht="14.25" customHeight="1" x14ac:dyDescent="0.35">
      <c r="H739" s="46"/>
    </row>
    <row r="740" spans="8:8" ht="14.25" customHeight="1" x14ac:dyDescent="0.35">
      <c r="H740" s="46"/>
    </row>
    <row r="741" spans="8:8" ht="14.25" customHeight="1" x14ac:dyDescent="0.35">
      <c r="H741" s="46"/>
    </row>
    <row r="742" spans="8:8" ht="14.25" customHeight="1" x14ac:dyDescent="0.35">
      <c r="H742" s="46"/>
    </row>
    <row r="743" spans="8:8" ht="14.25" customHeight="1" x14ac:dyDescent="0.35">
      <c r="H743" s="46"/>
    </row>
    <row r="744" spans="8:8" ht="14.25" customHeight="1" x14ac:dyDescent="0.35">
      <c r="H744" s="46"/>
    </row>
    <row r="745" spans="8:8" ht="14.25" customHeight="1" x14ac:dyDescent="0.35">
      <c r="H745" s="46"/>
    </row>
    <row r="746" spans="8:8" ht="14.25" customHeight="1" x14ac:dyDescent="0.35">
      <c r="H746" s="46"/>
    </row>
    <row r="747" spans="8:8" ht="14.25" customHeight="1" x14ac:dyDescent="0.35">
      <c r="H747" s="46"/>
    </row>
    <row r="748" spans="8:8" ht="14.25" customHeight="1" x14ac:dyDescent="0.35">
      <c r="H748" s="46"/>
    </row>
    <row r="749" spans="8:8" ht="14.25" customHeight="1" x14ac:dyDescent="0.35">
      <c r="H749" s="46"/>
    </row>
    <row r="750" spans="8:8" ht="14.25" customHeight="1" x14ac:dyDescent="0.35">
      <c r="H750" s="46"/>
    </row>
    <row r="751" spans="8:8" ht="14.25" customHeight="1" x14ac:dyDescent="0.35">
      <c r="H751" s="46"/>
    </row>
    <row r="752" spans="8:8" ht="14.25" customHeight="1" x14ac:dyDescent="0.35">
      <c r="H752" s="46"/>
    </row>
    <row r="753" spans="8:8" ht="14.25" customHeight="1" x14ac:dyDescent="0.35">
      <c r="H753" s="46"/>
    </row>
    <row r="754" spans="8:8" ht="14.25" customHeight="1" x14ac:dyDescent="0.35">
      <c r="H754" s="46"/>
    </row>
    <row r="755" spans="8:8" ht="14.25" customHeight="1" x14ac:dyDescent="0.35">
      <c r="H755" s="46"/>
    </row>
    <row r="756" spans="8:8" ht="14.25" customHeight="1" x14ac:dyDescent="0.35">
      <c r="H756" s="46"/>
    </row>
    <row r="757" spans="8:8" ht="14.25" customHeight="1" x14ac:dyDescent="0.35">
      <c r="H757" s="46"/>
    </row>
    <row r="758" spans="8:8" ht="14.25" customHeight="1" x14ac:dyDescent="0.35">
      <c r="H758" s="46"/>
    </row>
    <row r="759" spans="8:8" ht="14.25" customHeight="1" x14ac:dyDescent="0.35">
      <c r="H759" s="46"/>
    </row>
    <row r="760" spans="8:8" ht="14.25" customHeight="1" x14ac:dyDescent="0.35">
      <c r="H760" s="46"/>
    </row>
    <row r="761" spans="8:8" ht="14.25" customHeight="1" x14ac:dyDescent="0.35">
      <c r="H761" s="46"/>
    </row>
    <row r="762" spans="8:8" ht="14.25" customHeight="1" x14ac:dyDescent="0.35">
      <c r="H762" s="46"/>
    </row>
    <row r="763" spans="8:8" ht="14.25" customHeight="1" x14ac:dyDescent="0.35">
      <c r="H763" s="46"/>
    </row>
    <row r="764" spans="8:8" ht="14.25" customHeight="1" x14ac:dyDescent="0.35">
      <c r="H764" s="46"/>
    </row>
    <row r="765" spans="8:8" ht="14.25" customHeight="1" x14ac:dyDescent="0.35">
      <c r="H765" s="46"/>
    </row>
    <row r="766" spans="8:8" ht="14.25" customHeight="1" x14ac:dyDescent="0.35">
      <c r="H766" s="46"/>
    </row>
    <row r="767" spans="8:8" ht="14.25" customHeight="1" x14ac:dyDescent="0.35">
      <c r="H767" s="46"/>
    </row>
    <row r="768" spans="8:8" ht="14.25" customHeight="1" x14ac:dyDescent="0.35">
      <c r="H768" s="46"/>
    </row>
    <row r="769" spans="8:8" ht="14.25" customHeight="1" x14ac:dyDescent="0.35">
      <c r="H769" s="46"/>
    </row>
    <row r="770" spans="8:8" ht="14.25" customHeight="1" x14ac:dyDescent="0.35">
      <c r="H770" s="46"/>
    </row>
    <row r="771" spans="8:8" ht="14.25" customHeight="1" x14ac:dyDescent="0.35">
      <c r="H771" s="46"/>
    </row>
    <row r="772" spans="8:8" ht="14.25" customHeight="1" x14ac:dyDescent="0.35">
      <c r="H772" s="46"/>
    </row>
    <row r="773" spans="8:8" ht="14.25" customHeight="1" x14ac:dyDescent="0.35">
      <c r="H773" s="46"/>
    </row>
    <row r="774" spans="8:8" ht="14.25" customHeight="1" x14ac:dyDescent="0.35">
      <c r="H774" s="46"/>
    </row>
    <row r="775" spans="8:8" ht="14.25" customHeight="1" x14ac:dyDescent="0.35">
      <c r="H775" s="46"/>
    </row>
    <row r="776" spans="8:8" ht="14.25" customHeight="1" x14ac:dyDescent="0.35">
      <c r="H776" s="46"/>
    </row>
    <row r="777" spans="8:8" ht="14.25" customHeight="1" x14ac:dyDescent="0.35">
      <c r="H777" s="46"/>
    </row>
    <row r="778" spans="8:8" ht="14.25" customHeight="1" x14ac:dyDescent="0.35">
      <c r="H778" s="46"/>
    </row>
    <row r="779" spans="8:8" ht="14.25" customHeight="1" x14ac:dyDescent="0.35">
      <c r="H779" s="46"/>
    </row>
    <row r="780" spans="8:8" ht="14.25" customHeight="1" x14ac:dyDescent="0.35">
      <c r="H780" s="46"/>
    </row>
    <row r="781" spans="8:8" ht="14.25" customHeight="1" x14ac:dyDescent="0.35">
      <c r="H781" s="46"/>
    </row>
    <row r="782" spans="8:8" ht="14.25" customHeight="1" x14ac:dyDescent="0.35">
      <c r="H782" s="46"/>
    </row>
    <row r="783" spans="8:8" ht="14.25" customHeight="1" x14ac:dyDescent="0.35">
      <c r="H783" s="46"/>
    </row>
    <row r="784" spans="8:8" ht="14.25" customHeight="1" x14ac:dyDescent="0.35">
      <c r="H784" s="46"/>
    </row>
    <row r="785" spans="8:8" ht="14.25" customHeight="1" x14ac:dyDescent="0.35">
      <c r="H785" s="46"/>
    </row>
    <row r="786" spans="8:8" ht="14.25" customHeight="1" x14ac:dyDescent="0.35">
      <c r="H786" s="46"/>
    </row>
    <row r="787" spans="8:8" ht="14.25" customHeight="1" x14ac:dyDescent="0.35">
      <c r="H787" s="46"/>
    </row>
    <row r="788" spans="8:8" ht="14.25" customHeight="1" x14ac:dyDescent="0.35">
      <c r="H788" s="46"/>
    </row>
    <row r="789" spans="8:8" ht="14.25" customHeight="1" x14ac:dyDescent="0.35">
      <c r="H789" s="46"/>
    </row>
    <row r="790" spans="8:8" ht="14.25" customHeight="1" x14ac:dyDescent="0.35">
      <c r="H790" s="46"/>
    </row>
    <row r="791" spans="8:8" ht="14.25" customHeight="1" x14ac:dyDescent="0.35">
      <c r="H791" s="46"/>
    </row>
    <row r="792" spans="8:8" ht="14.25" customHeight="1" x14ac:dyDescent="0.35">
      <c r="H792" s="46"/>
    </row>
    <row r="793" spans="8:8" ht="14.25" customHeight="1" x14ac:dyDescent="0.35">
      <c r="H793" s="46"/>
    </row>
    <row r="794" spans="8:8" ht="14.25" customHeight="1" x14ac:dyDescent="0.35">
      <c r="H794" s="46"/>
    </row>
    <row r="795" spans="8:8" ht="14.25" customHeight="1" x14ac:dyDescent="0.35">
      <c r="H795" s="46"/>
    </row>
    <row r="796" spans="8:8" ht="14.25" customHeight="1" x14ac:dyDescent="0.35">
      <c r="H796" s="46"/>
    </row>
    <row r="797" spans="8:8" ht="14.25" customHeight="1" x14ac:dyDescent="0.35">
      <c r="H797" s="46"/>
    </row>
    <row r="798" spans="8:8" ht="14.25" customHeight="1" x14ac:dyDescent="0.35">
      <c r="H798" s="46"/>
    </row>
    <row r="799" spans="8:8" ht="14.25" customHeight="1" x14ac:dyDescent="0.35">
      <c r="H799" s="46"/>
    </row>
    <row r="800" spans="8:8" ht="14.25" customHeight="1" x14ac:dyDescent="0.35">
      <c r="H800" s="46"/>
    </row>
    <row r="801" spans="8:8" ht="14.25" customHeight="1" x14ac:dyDescent="0.35">
      <c r="H801" s="46"/>
    </row>
    <row r="802" spans="8:8" ht="14.25" customHeight="1" x14ac:dyDescent="0.35">
      <c r="H802" s="46"/>
    </row>
    <row r="803" spans="8:8" ht="14.25" customHeight="1" x14ac:dyDescent="0.35">
      <c r="H803" s="46"/>
    </row>
    <row r="804" spans="8:8" ht="14.25" customHeight="1" x14ac:dyDescent="0.35">
      <c r="H804" s="46"/>
    </row>
    <row r="805" spans="8:8" ht="14.25" customHeight="1" x14ac:dyDescent="0.35">
      <c r="H805" s="46"/>
    </row>
    <row r="806" spans="8:8" ht="14.25" customHeight="1" x14ac:dyDescent="0.35">
      <c r="H806" s="46"/>
    </row>
    <row r="807" spans="8:8" ht="14.25" customHeight="1" x14ac:dyDescent="0.35">
      <c r="H807" s="46"/>
    </row>
    <row r="808" spans="8:8" ht="14.25" customHeight="1" x14ac:dyDescent="0.35">
      <c r="H808" s="46"/>
    </row>
    <row r="809" spans="8:8" ht="14.25" customHeight="1" x14ac:dyDescent="0.35">
      <c r="H809" s="46"/>
    </row>
    <row r="810" spans="8:8" ht="14.25" customHeight="1" x14ac:dyDescent="0.35">
      <c r="H810" s="46"/>
    </row>
    <row r="811" spans="8:8" ht="14.25" customHeight="1" x14ac:dyDescent="0.35">
      <c r="H811" s="46"/>
    </row>
    <row r="812" spans="8:8" ht="14.25" customHeight="1" x14ac:dyDescent="0.35">
      <c r="H812" s="46"/>
    </row>
    <row r="813" spans="8:8" ht="14.25" customHeight="1" x14ac:dyDescent="0.35">
      <c r="H813" s="46"/>
    </row>
    <row r="814" spans="8:8" ht="14.25" customHeight="1" x14ac:dyDescent="0.35">
      <c r="H814" s="46"/>
    </row>
    <row r="815" spans="8:8" ht="14.25" customHeight="1" x14ac:dyDescent="0.35">
      <c r="H815" s="46"/>
    </row>
    <row r="816" spans="8:8" ht="14.25" customHeight="1" x14ac:dyDescent="0.35">
      <c r="H816" s="46"/>
    </row>
    <row r="817" spans="8:8" ht="14.25" customHeight="1" x14ac:dyDescent="0.35">
      <c r="H817" s="46"/>
    </row>
    <row r="818" spans="8:8" ht="14.25" customHeight="1" x14ac:dyDescent="0.35">
      <c r="H818" s="46"/>
    </row>
    <row r="819" spans="8:8" ht="14.25" customHeight="1" x14ac:dyDescent="0.35">
      <c r="H819" s="46"/>
    </row>
    <row r="820" spans="8:8" ht="14.25" customHeight="1" x14ac:dyDescent="0.35">
      <c r="H820" s="46"/>
    </row>
    <row r="821" spans="8:8" ht="14.25" customHeight="1" x14ac:dyDescent="0.35">
      <c r="H821" s="46"/>
    </row>
    <row r="822" spans="8:8" ht="14.25" customHeight="1" x14ac:dyDescent="0.35">
      <c r="H822" s="46"/>
    </row>
    <row r="823" spans="8:8" ht="14.25" customHeight="1" x14ac:dyDescent="0.35">
      <c r="H823" s="46"/>
    </row>
    <row r="824" spans="8:8" ht="14.25" customHeight="1" x14ac:dyDescent="0.35">
      <c r="H824" s="46"/>
    </row>
    <row r="825" spans="8:8" ht="14.25" customHeight="1" x14ac:dyDescent="0.35">
      <c r="H825" s="46"/>
    </row>
    <row r="826" spans="8:8" ht="14.25" customHeight="1" x14ac:dyDescent="0.35">
      <c r="H826" s="46"/>
    </row>
    <row r="827" spans="8:8" ht="14.25" customHeight="1" x14ac:dyDescent="0.35">
      <c r="H827" s="46"/>
    </row>
    <row r="828" spans="8:8" ht="14.25" customHeight="1" x14ac:dyDescent="0.35">
      <c r="H828" s="46"/>
    </row>
    <row r="829" spans="8:8" ht="14.25" customHeight="1" x14ac:dyDescent="0.35">
      <c r="H829" s="46"/>
    </row>
    <row r="830" spans="8:8" ht="14.25" customHeight="1" x14ac:dyDescent="0.35">
      <c r="H830" s="46"/>
    </row>
    <row r="831" spans="8:8" ht="14.25" customHeight="1" x14ac:dyDescent="0.35">
      <c r="H831" s="46"/>
    </row>
    <row r="832" spans="8:8" ht="14.25" customHeight="1" x14ac:dyDescent="0.35">
      <c r="H832" s="46"/>
    </row>
    <row r="833" spans="8:8" ht="14.25" customHeight="1" x14ac:dyDescent="0.35">
      <c r="H833" s="46"/>
    </row>
    <row r="834" spans="8:8" ht="14.25" customHeight="1" x14ac:dyDescent="0.35">
      <c r="H834" s="46"/>
    </row>
    <row r="835" spans="8:8" ht="14.25" customHeight="1" x14ac:dyDescent="0.35">
      <c r="H835" s="46"/>
    </row>
    <row r="836" spans="8:8" ht="14.25" customHeight="1" x14ac:dyDescent="0.35">
      <c r="H836" s="46"/>
    </row>
    <row r="837" spans="8:8" ht="14.25" customHeight="1" x14ac:dyDescent="0.35">
      <c r="H837" s="46"/>
    </row>
    <row r="838" spans="8:8" ht="14.25" customHeight="1" x14ac:dyDescent="0.35">
      <c r="H838" s="46"/>
    </row>
    <row r="839" spans="8:8" ht="14.25" customHeight="1" x14ac:dyDescent="0.35">
      <c r="H839" s="46"/>
    </row>
    <row r="840" spans="8:8" ht="14.25" customHeight="1" x14ac:dyDescent="0.35">
      <c r="H840" s="46"/>
    </row>
    <row r="841" spans="8:8" ht="14.25" customHeight="1" x14ac:dyDescent="0.35">
      <c r="H841" s="46"/>
    </row>
    <row r="842" spans="8:8" ht="14.25" customHeight="1" x14ac:dyDescent="0.35">
      <c r="H842" s="46"/>
    </row>
    <row r="843" spans="8:8" ht="14.25" customHeight="1" x14ac:dyDescent="0.35">
      <c r="H843" s="46"/>
    </row>
    <row r="844" spans="8:8" ht="14.25" customHeight="1" x14ac:dyDescent="0.35">
      <c r="H844" s="46"/>
    </row>
    <row r="845" spans="8:8" ht="14.25" customHeight="1" x14ac:dyDescent="0.35">
      <c r="H845" s="46"/>
    </row>
    <row r="846" spans="8:8" ht="14.25" customHeight="1" x14ac:dyDescent="0.35">
      <c r="H846" s="46"/>
    </row>
    <row r="847" spans="8:8" ht="14.25" customHeight="1" x14ac:dyDescent="0.35">
      <c r="H847" s="46"/>
    </row>
    <row r="848" spans="8:8" ht="14.25" customHeight="1" x14ac:dyDescent="0.35">
      <c r="H848" s="46"/>
    </row>
    <row r="849" spans="8:8" ht="14.25" customHeight="1" x14ac:dyDescent="0.35">
      <c r="H849" s="46"/>
    </row>
    <row r="850" spans="8:8" ht="14.25" customHeight="1" x14ac:dyDescent="0.35">
      <c r="H850" s="46"/>
    </row>
    <row r="851" spans="8:8" ht="14.25" customHeight="1" x14ac:dyDescent="0.35">
      <c r="H851" s="46"/>
    </row>
    <row r="852" spans="8:8" ht="14.25" customHeight="1" x14ac:dyDescent="0.35">
      <c r="H852" s="46"/>
    </row>
    <row r="853" spans="8:8" ht="14.25" customHeight="1" x14ac:dyDescent="0.35">
      <c r="H853" s="46"/>
    </row>
    <row r="854" spans="8:8" ht="14.25" customHeight="1" x14ac:dyDescent="0.35">
      <c r="H854" s="46"/>
    </row>
    <row r="855" spans="8:8" ht="14.25" customHeight="1" x14ac:dyDescent="0.35">
      <c r="H855" s="46"/>
    </row>
    <row r="856" spans="8:8" ht="14.25" customHeight="1" x14ac:dyDescent="0.35">
      <c r="H856" s="46"/>
    </row>
    <row r="857" spans="8:8" ht="14.25" customHeight="1" x14ac:dyDescent="0.35">
      <c r="H857" s="46"/>
    </row>
    <row r="858" spans="8:8" ht="14.25" customHeight="1" x14ac:dyDescent="0.35">
      <c r="H858" s="46"/>
    </row>
    <row r="859" spans="8:8" ht="14.25" customHeight="1" x14ac:dyDescent="0.35">
      <c r="H859" s="46"/>
    </row>
    <row r="860" spans="8:8" ht="14.25" customHeight="1" x14ac:dyDescent="0.35">
      <c r="H860" s="46"/>
    </row>
    <row r="861" spans="8:8" ht="14.25" customHeight="1" x14ac:dyDescent="0.35">
      <c r="H861" s="46"/>
    </row>
    <row r="862" spans="8:8" ht="14.25" customHeight="1" x14ac:dyDescent="0.35">
      <c r="H862" s="46"/>
    </row>
    <row r="863" spans="8:8" ht="14.25" customHeight="1" x14ac:dyDescent="0.35">
      <c r="H863" s="46"/>
    </row>
    <row r="864" spans="8:8" ht="14.25" customHeight="1" x14ac:dyDescent="0.35">
      <c r="H864" s="46"/>
    </row>
    <row r="865" spans="8:8" ht="14.25" customHeight="1" x14ac:dyDescent="0.35">
      <c r="H865" s="46"/>
    </row>
    <row r="866" spans="8:8" ht="14.25" customHeight="1" x14ac:dyDescent="0.35">
      <c r="H866" s="46"/>
    </row>
    <row r="867" spans="8:8" ht="14.25" customHeight="1" x14ac:dyDescent="0.35">
      <c r="H867" s="46"/>
    </row>
    <row r="868" spans="8:8" ht="14.25" customHeight="1" x14ac:dyDescent="0.35">
      <c r="H868" s="46"/>
    </row>
    <row r="869" spans="8:8" ht="14.25" customHeight="1" x14ac:dyDescent="0.35">
      <c r="H869" s="46"/>
    </row>
    <row r="870" spans="8:8" ht="14.25" customHeight="1" x14ac:dyDescent="0.35">
      <c r="H870" s="46"/>
    </row>
    <row r="871" spans="8:8" ht="14.25" customHeight="1" x14ac:dyDescent="0.35">
      <c r="H871" s="46"/>
    </row>
    <row r="872" spans="8:8" ht="14.25" customHeight="1" x14ac:dyDescent="0.35">
      <c r="H872" s="46"/>
    </row>
    <row r="873" spans="8:8" ht="14.25" customHeight="1" x14ac:dyDescent="0.35">
      <c r="H873" s="46"/>
    </row>
    <row r="874" spans="8:8" ht="14.25" customHeight="1" x14ac:dyDescent="0.35">
      <c r="H874" s="46"/>
    </row>
    <row r="875" spans="8:8" ht="14.25" customHeight="1" x14ac:dyDescent="0.35">
      <c r="H875" s="46"/>
    </row>
    <row r="876" spans="8:8" ht="14.25" customHeight="1" x14ac:dyDescent="0.35">
      <c r="H876" s="46"/>
    </row>
    <row r="877" spans="8:8" ht="14.25" customHeight="1" x14ac:dyDescent="0.35">
      <c r="H877" s="46"/>
    </row>
    <row r="878" spans="8:8" ht="14.25" customHeight="1" x14ac:dyDescent="0.35">
      <c r="H878" s="46"/>
    </row>
    <row r="879" spans="8:8" ht="14.25" customHeight="1" x14ac:dyDescent="0.35">
      <c r="H879" s="46"/>
    </row>
    <row r="880" spans="8:8" ht="14.25" customHeight="1" x14ac:dyDescent="0.35">
      <c r="H880" s="46"/>
    </row>
    <row r="881" spans="8:8" ht="14.25" customHeight="1" x14ac:dyDescent="0.35">
      <c r="H881" s="46"/>
    </row>
    <row r="882" spans="8:8" ht="14.25" customHeight="1" x14ac:dyDescent="0.35">
      <c r="H882" s="46"/>
    </row>
    <row r="883" spans="8:8" ht="14.25" customHeight="1" x14ac:dyDescent="0.35">
      <c r="H883" s="46"/>
    </row>
    <row r="884" spans="8:8" ht="14.25" customHeight="1" x14ac:dyDescent="0.35">
      <c r="H884" s="46"/>
    </row>
    <row r="885" spans="8:8" ht="14.25" customHeight="1" x14ac:dyDescent="0.35">
      <c r="H885" s="46"/>
    </row>
    <row r="886" spans="8:8" ht="14.25" customHeight="1" x14ac:dyDescent="0.35">
      <c r="H886" s="46"/>
    </row>
    <row r="887" spans="8:8" ht="14.25" customHeight="1" x14ac:dyDescent="0.35">
      <c r="H887" s="46"/>
    </row>
    <row r="888" spans="8:8" ht="14.25" customHeight="1" x14ac:dyDescent="0.35">
      <c r="H888" s="46"/>
    </row>
    <row r="889" spans="8:8" ht="14.25" customHeight="1" x14ac:dyDescent="0.35">
      <c r="H889" s="46"/>
    </row>
    <row r="890" spans="8:8" ht="14.25" customHeight="1" x14ac:dyDescent="0.35">
      <c r="H890" s="46"/>
    </row>
    <row r="891" spans="8:8" ht="14.25" customHeight="1" x14ac:dyDescent="0.35">
      <c r="H891" s="46"/>
    </row>
    <row r="892" spans="8:8" ht="14.25" customHeight="1" x14ac:dyDescent="0.35">
      <c r="H892" s="46"/>
    </row>
    <row r="893" spans="8:8" ht="14.25" customHeight="1" x14ac:dyDescent="0.35">
      <c r="H893" s="46"/>
    </row>
    <row r="894" spans="8:8" ht="14.25" customHeight="1" x14ac:dyDescent="0.35">
      <c r="H894" s="46"/>
    </row>
    <row r="895" spans="8:8" ht="14.25" customHeight="1" x14ac:dyDescent="0.35">
      <c r="H895" s="46"/>
    </row>
    <row r="896" spans="8:8" ht="14.25" customHeight="1" x14ac:dyDescent="0.35">
      <c r="H896" s="46"/>
    </row>
    <row r="897" spans="8:8" ht="14.25" customHeight="1" x14ac:dyDescent="0.35">
      <c r="H897" s="46"/>
    </row>
    <row r="898" spans="8:8" ht="14.25" customHeight="1" x14ac:dyDescent="0.35">
      <c r="H898" s="46"/>
    </row>
    <row r="899" spans="8:8" ht="14.25" customHeight="1" x14ac:dyDescent="0.35">
      <c r="H899" s="46"/>
    </row>
    <row r="900" spans="8:8" ht="14.25" customHeight="1" x14ac:dyDescent="0.35">
      <c r="H900" s="46"/>
    </row>
    <row r="901" spans="8:8" ht="14.25" customHeight="1" x14ac:dyDescent="0.35">
      <c r="H901" s="46"/>
    </row>
    <row r="902" spans="8:8" ht="14.25" customHeight="1" x14ac:dyDescent="0.35">
      <c r="H902" s="46"/>
    </row>
    <row r="903" spans="8:8" ht="14.25" customHeight="1" x14ac:dyDescent="0.35">
      <c r="H903" s="46"/>
    </row>
    <row r="904" spans="8:8" ht="14.25" customHeight="1" x14ac:dyDescent="0.35">
      <c r="H904" s="46"/>
    </row>
    <row r="905" spans="8:8" ht="14.25" customHeight="1" x14ac:dyDescent="0.35">
      <c r="H905" s="46"/>
    </row>
    <row r="906" spans="8:8" ht="14.25" customHeight="1" x14ac:dyDescent="0.35">
      <c r="H906" s="46"/>
    </row>
    <row r="907" spans="8:8" ht="14.25" customHeight="1" x14ac:dyDescent="0.35">
      <c r="H907" s="46"/>
    </row>
    <row r="908" spans="8:8" ht="14.25" customHeight="1" x14ac:dyDescent="0.35">
      <c r="H908" s="46"/>
    </row>
    <row r="909" spans="8:8" ht="14.25" customHeight="1" x14ac:dyDescent="0.35">
      <c r="H909" s="46"/>
    </row>
    <row r="910" spans="8:8" ht="14.25" customHeight="1" x14ac:dyDescent="0.35">
      <c r="H910" s="46"/>
    </row>
    <row r="911" spans="8:8" ht="14.25" customHeight="1" x14ac:dyDescent="0.35">
      <c r="H911" s="46"/>
    </row>
    <row r="912" spans="8:8" ht="14.25" customHeight="1" x14ac:dyDescent="0.35">
      <c r="H912" s="46"/>
    </row>
    <row r="913" spans="8:8" ht="14.25" customHeight="1" x14ac:dyDescent="0.35">
      <c r="H913" s="46"/>
    </row>
    <row r="914" spans="8:8" ht="14.25" customHeight="1" x14ac:dyDescent="0.35">
      <c r="H914" s="46"/>
    </row>
    <row r="915" spans="8:8" ht="14.25" customHeight="1" x14ac:dyDescent="0.35">
      <c r="H915" s="46"/>
    </row>
    <row r="916" spans="8:8" ht="14.25" customHeight="1" x14ac:dyDescent="0.35">
      <c r="H916" s="46"/>
    </row>
    <row r="917" spans="8:8" ht="14.25" customHeight="1" x14ac:dyDescent="0.35">
      <c r="H917" s="46"/>
    </row>
    <row r="918" spans="8:8" ht="14.25" customHeight="1" x14ac:dyDescent="0.35">
      <c r="H918" s="46"/>
    </row>
    <row r="919" spans="8:8" ht="14.25" customHeight="1" x14ac:dyDescent="0.35">
      <c r="H919" s="46"/>
    </row>
    <row r="920" spans="8:8" ht="14.25" customHeight="1" x14ac:dyDescent="0.35">
      <c r="H920" s="46"/>
    </row>
    <row r="921" spans="8:8" ht="14.25" customHeight="1" x14ac:dyDescent="0.35">
      <c r="H921" s="46"/>
    </row>
    <row r="922" spans="8:8" ht="14.25" customHeight="1" x14ac:dyDescent="0.35">
      <c r="H922" s="46"/>
    </row>
    <row r="923" spans="8:8" ht="14.25" customHeight="1" x14ac:dyDescent="0.35">
      <c r="H923" s="46"/>
    </row>
    <row r="924" spans="8:8" ht="14.25" customHeight="1" x14ac:dyDescent="0.35">
      <c r="H924" s="46"/>
    </row>
    <row r="925" spans="8:8" ht="14.25" customHeight="1" x14ac:dyDescent="0.35">
      <c r="H925" s="46"/>
    </row>
    <row r="926" spans="8:8" ht="14.25" customHeight="1" x14ac:dyDescent="0.35">
      <c r="H926" s="46"/>
    </row>
    <row r="927" spans="8:8" ht="14.25" customHeight="1" x14ac:dyDescent="0.35">
      <c r="H927" s="46"/>
    </row>
    <row r="928" spans="8:8" ht="14.25" customHeight="1" x14ac:dyDescent="0.35">
      <c r="H928" s="46"/>
    </row>
    <row r="929" spans="8:8" ht="14.25" customHeight="1" x14ac:dyDescent="0.35">
      <c r="H929" s="46"/>
    </row>
    <row r="930" spans="8:8" ht="14.25" customHeight="1" x14ac:dyDescent="0.35">
      <c r="H930" s="46"/>
    </row>
    <row r="931" spans="8:8" ht="14.25" customHeight="1" x14ac:dyDescent="0.35">
      <c r="H931" s="46"/>
    </row>
    <row r="932" spans="8:8" ht="14.25" customHeight="1" x14ac:dyDescent="0.35">
      <c r="H932" s="46"/>
    </row>
    <row r="933" spans="8:8" ht="14.25" customHeight="1" x14ac:dyDescent="0.35">
      <c r="H933" s="46"/>
    </row>
    <row r="934" spans="8:8" ht="14.25" customHeight="1" x14ac:dyDescent="0.35">
      <c r="H934" s="46"/>
    </row>
    <row r="935" spans="8:8" ht="14.25" customHeight="1" x14ac:dyDescent="0.35">
      <c r="H935" s="46"/>
    </row>
    <row r="936" spans="8:8" ht="14.25" customHeight="1" x14ac:dyDescent="0.35">
      <c r="H936" s="46"/>
    </row>
    <row r="937" spans="8:8" ht="14.25" customHeight="1" x14ac:dyDescent="0.35">
      <c r="H937" s="46"/>
    </row>
    <row r="938" spans="8:8" ht="14.25" customHeight="1" x14ac:dyDescent="0.35">
      <c r="H938" s="46"/>
    </row>
    <row r="939" spans="8:8" ht="14.25" customHeight="1" x14ac:dyDescent="0.35">
      <c r="H939" s="46"/>
    </row>
    <row r="940" spans="8:8" ht="14.25" customHeight="1" x14ac:dyDescent="0.35">
      <c r="H940" s="46"/>
    </row>
    <row r="941" spans="8:8" ht="14.25" customHeight="1" x14ac:dyDescent="0.35">
      <c r="H941" s="46"/>
    </row>
    <row r="942" spans="8:8" ht="14.25" customHeight="1" x14ac:dyDescent="0.35">
      <c r="H942" s="46"/>
    </row>
    <row r="943" spans="8:8" ht="14.25" customHeight="1" x14ac:dyDescent="0.35">
      <c r="H943" s="46"/>
    </row>
    <row r="944" spans="8:8" ht="14.25" customHeight="1" x14ac:dyDescent="0.35">
      <c r="H944" s="46"/>
    </row>
    <row r="945" spans="8:8" ht="14.25" customHeight="1" x14ac:dyDescent="0.35">
      <c r="H945" s="46"/>
    </row>
    <row r="946" spans="8:8" ht="14.25" customHeight="1" x14ac:dyDescent="0.35">
      <c r="H946" s="46"/>
    </row>
    <row r="947" spans="8:8" ht="14.25" customHeight="1" x14ac:dyDescent="0.35">
      <c r="H947" s="46"/>
    </row>
    <row r="948" spans="8:8" ht="14.25" customHeight="1" x14ac:dyDescent="0.35">
      <c r="H948" s="46"/>
    </row>
    <row r="949" spans="8:8" ht="14.25" customHeight="1" x14ac:dyDescent="0.35">
      <c r="H949" s="46"/>
    </row>
    <row r="950" spans="8:8" ht="14.25" customHeight="1" x14ac:dyDescent="0.35">
      <c r="H950" s="46"/>
    </row>
    <row r="951" spans="8:8" ht="14.25" customHeight="1" x14ac:dyDescent="0.35">
      <c r="H951" s="46"/>
    </row>
    <row r="952" spans="8:8" ht="14.25" customHeight="1" x14ac:dyDescent="0.35">
      <c r="H952" s="46"/>
    </row>
    <row r="953" spans="8:8" ht="14.25" customHeight="1" x14ac:dyDescent="0.35">
      <c r="H953" s="46"/>
    </row>
    <row r="954" spans="8:8" ht="14.25" customHeight="1" x14ac:dyDescent="0.35">
      <c r="H954" s="46"/>
    </row>
    <row r="955" spans="8:8" ht="14.25" customHeight="1" x14ac:dyDescent="0.35">
      <c r="H955" s="46"/>
    </row>
    <row r="956" spans="8:8" ht="14.25" customHeight="1" x14ac:dyDescent="0.35">
      <c r="H956" s="46"/>
    </row>
    <row r="957" spans="8:8" ht="14.25" customHeight="1" x14ac:dyDescent="0.35">
      <c r="H957" s="46"/>
    </row>
    <row r="958" spans="8:8" ht="14.25" customHeight="1" x14ac:dyDescent="0.35">
      <c r="H958" s="46"/>
    </row>
    <row r="959" spans="8:8" ht="14.25" customHeight="1" x14ac:dyDescent="0.35">
      <c r="H959" s="46"/>
    </row>
    <row r="960" spans="8:8" ht="14.25" customHeight="1" x14ac:dyDescent="0.35">
      <c r="H960" s="46"/>
    </row>
    <row r="961" spans="8:8" ht="14.25" customHeight="1" x14ac:dyDescent="0.35">
      <c r="H961" s="46"/>
    </row>
    <row r="962" spans="8:8" ht="14.25" customHeight="1" x14ac:dyDescent="0.35">
      <c r="H962" s="46"/>
    </row>
    <row r="963" spans="8:8" ht="14.25" customHeight="1" x14ac:dyDescent="0.35">
      <c r="H963" s="46"/>
    </row>
    <row r="964" spans="8:8" ht="14.25" customHeight="1" x14ac:dyDescent="0.35">
      <c r="H964" s="46"/>
    </row>
    <row r="965" spans="8:8" ht="14.25" customHeight="1" x14ac:dyDescent="0.35">
      <c r="H965" s="46"/>
    </row>
    <row r="966" spans="8:8" ht="14.25" customHeight="1" x14ac:dyDescent="0.35">
      <c r="H966" s="46"/>
    </row>
    <row r="967" spans="8:8" ht="14.25" customHeight="1" x14ac:dyDescent="0.35">
      <c r="H967" s="46"/>
    </row>
    <row r="968" spans="8:8" ht="14.25" customHeight="1" x14ac:dyDescent="0.35">
      <c r="H968" s="46"/>
    </row>
    <row r="969" spans="8:8" ht="14.25" customHeight="1" x14ac:dyDescent="0.35">
      <c r="H969" s="46"/>
    </row>
    <row r="970" spans="8:8" ht="14.25" customHeight="1" x14ac:dyDescent="0.35">
      <c r="H970" s="46"/>
    </row>
    <row r="971" spans="8:8" ht="14.25" customHeight="1" x14ac:dyDescent="0.35">
      <c r="H971" s="46"/>
    </row>
    <row r="972" spans="8:8" ht="14.25" customHeight="1" x14ac:dyDescent="0.35">
      <c r="H972" s="46"/>
    </row>
    <row r="973" spans="8:8" ht="14.25" customHeight="1" x14ac:dyDescent="0.35">
      <c r="H973" s="46"/>
    </row>
    <row r="974" spans="8:8" ht="14.25" customHeight="1" x14ac:dyDescent="0.35">
      <c r="H974" s="46"/>
    </row>
    <row r="975" spans="8:8" ht="14.25" customHeight="1" x14ac:dyDescent="0.35">
      <c r="H975" s="46"/>
    </row>
    <row r="976" spans="8:8" ht="14.25" customHeight="1" x14ac:dyDescent="0.35">
      <c r="H976" s="46"/>
    </row>
    <row r="977" spans="8:8" ht="14.25" customHeight="1" x14ac:dyDescent="0.35">
      <c r="H977" s="46"/>
    </row>
    <row r="978" spans="8:8" ht="14.25" customHeight="1" x14ac:dyDescent="0.35">
      <c r="H978" s="46"/>
    </row>
    <row r="979" spans="8:8" ht="14.25" customHeight="1" x14ac:dyDescent="0.35">
      <c r="H979" s="46"/>
    </row>
    <row r="980" spans="8:8" ht="14.25" customHeight="1" x14ac:dyDescent="0.35">
      <c r="H980" s="46"/>
    </row>
    <row r="981" spans="8:8" ht="14.25" customHeight="1" x14ac:dyDescent="0.35">
      <c r="H981" s="46"/>
    </row>
    <row r="982" spans="8:8" ht="14.25" customHeight="1" x14ac:dyDescent="0.35">
      <c r="H982" s="46"/>
    </row>
    <row r="983" spans="8:8" ht="14.25" customHeight="1" x14ac:dyDescent="0.35">
      <c r="H983" s="46"/>
    </row>
    <row r="984" spans="8:8" ht="14.25" customHeight="1" x14ac:dyDescent="0.35">
      <c r="H984" s="46"/>
    </row>
    <row r="985" spans="8:8" ht="14.25" customHeight="1" x14ac:dyDescent="0.35">
      <c r="H985" s="46"/>
    </row>
    <row r="986" spans="8:8" ht="14.25" customHeight="1" x14ac:dyDescent="0.35">
      <c r="H986" s="46"/>
    </row>
    <row r="987" spans="8:8" ht="14.25" customHeight="1" x14ac:dyDescent="0.35">
      <c r="H987" s="46"/>
    </row>
    <row r="988" spans="8:8" ht="14.25" customHeight="1" x14ac:dyDescent="0.35">
      <c r="H988" s="46"/>
    </row>
    <row r="989" spans="8:8" ht="14.25" customHeight="1" x14ac:dyDescent="0.35">
      <c r="H989" s="46"/>
    </row>
    <row r="990" spans="8:8" ht="14.25" customHeight="1" x14ac:dyDescent="0.35">
      <c r="H990" s="46"/>
    </row>
    <row r="991" spans="8:8" ht="14.25" customHeight="1" x14ac:dyDescent="0.35">
      <c r="H991" s="46"/>
    </row>
    <row r="992" spans="8:8" ht="14.25" customHeight="1" x14ac:dyDescent="0.35">
      <c r="H992" s="46"/>
    </row>
    <row r="993" spans="8:8" ht="14.25" customHeight="1" x14ac:dyDescent="0.35">
      <c r="H993" s="46"/>
    </row>
    <row r="994" spans="8:8" ht="14.25" customHeight="1" x14ac:dyDescent="0.35">
      <c r="H994" s="46"/>
    </row>
    <row r="995" spans="8:8" ht="14.25" customHeight="1" x14ac:dyDescent="0.35">
      <c r="H995" s="46"/>
    </row>
    <row r="996" spans="8:8" ht="14.25" customHeight="1" x14ac:dyDescent="0.35">
      <c r="H996" s="46"/>
    </row>
    <row r="997" spans="8:8" ht="14.25" customHeight="1" x14ac:dyDescent="0.35">
      <c r="H997" s="46"/>
    </row>
    <row r="998" spans="8:8" ht="14.25" customHeight="1" x14ac:dyDescent="0.35">
      <c r="H998" s="46"/>
    </row>
    <row r="999" spans="8:8" ht="14.25" customHeight="1" x14ac:dyDescent="0.35">
      <c r="H999" s="46"/>
    </row>
    <row r="1000" spans="8:8" ht="14.25" customHeight="1" x14ac:dyDescent="0.35">
      <c r="H1000" s="46"/>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8AB9-EE0D-4C0B-ADE0-8260B003D7BD}">
  <sheetPr codeName="Sheet3"/>
  <dimension ref="A1"/>
  <sheetViews>
    <sheetView zoomScale="110" zoomScaleNormal="110" workbookViewId="0"/>
  </sheetViews>
  <sheetFormatPr defaultRowHeight="14.5" x14ac:dyDescent="0.35"/>
  <cols>
    <col min="1" max="16384" width="8.7265625" style="125"/>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AB1000"/>
  <sheetViews>
    <sheetView workbookViewId="0">
      <selection activeCell="C18" sqref="C18"/>
    </sheetView>
  </sheetViews>
  <sheetFormatPr defaultColWidth="14.453125" defaultRowHeight="15" customHeight="1" x14ac:dyDescent="0.35"/>
  <cols>
    <col min="1" max="1" width="11.36328125" customWidth="1"/>
    <col min="2" max="2" width="13.90625" customWidth="1"/>
    <col min="3" max="3" width="14" customWidth="1"/>
    <col min="4" max="4" width="9.6328125" customWidth="1"/>
    <col min="5" max="5" width="8.6328125" customWidth="1"/>
    <col min="6" max="6" width="9.6328125" customWidth="1"/>
    <col min="7" max="7" width="11.453125" customWidth="1"/>
    <col min="8" max="8" width="9" customWidth="1"/>
    <col min="9" max="9" width="8" customWidth="1"/>
    <col min="10" max="10" width="12.36328125" customWidth="1"/>
    <col min="11" max="11" width="12.453125" customWidth="1"/>
    <col min="12" max="13" width="14.36328125" customWidth="1"/>
    <col min="14" max="14" width="10" customWidth="1"/>
    <col min="15" max="16" width="13" customWidth="1"/>
    <col min="17" max="17" width="8.6328125" customWidth="1"/>
    <col min="18" max="18" width="12.6328125" customWidth="1"/>
    <col min="19" max="19" width="6.453125" customWidth="1"/>
    <col min="20" max="20" width="12.36328125" customWidth="1"/>
    <col min="21" max="21" width="12.453125" customWidth="1"/>
    <col min="22" max="23" width="19.36328125" customWidth="1"/>
    <col min="24" max="25" width="9.36328125" customWidth="1"/>
    <col min="26" max="26" width="9.6328125" customWidth="1"/>
    <col min="27" max="28" width="8.6328125" customWidth="1"/>
  </cols>
  <sheetData>
    <row r="1" spans="1:28" ht="14.25" customHeight="1" x14ac:dyDescent="0.35">
      <c r="A1" s="126" t="s">
        <v>28</v>
      </c>
      <c r="B1" s="14" t="s">
        <v>29</v>
      </c>
      <c r="C1" s="15" t="s">
        <v>30</v>
      </c>
      <c r="D1" s="15" t="s">
        <v>31</v>
      </c>
      <c r="E1" s="15" t="s">
        <v>32</v>
      </c>
      <c r="F1" s="15" t="s">
        <v>33</v>
      </c>
      <c r="H1" s="193" t="s">
        <v>3</v>
      </c>
      <c r="I1" s="194"/>
      <c r="J1" s="194"/>
      <c r="K1" s="194"/>
      <c r="L1" s="194"/>
      <c r="M1" s="194"/>
      <c r="N1" s="194"/>
      <c r="O1" s="194"/>
      <c r="P1" s="194"/>
      <c r="Q1" s="192"/>
      <c r="R1" s="195" t="s">
        <v>5</v>
      </c>
      <c r="S1" s="194"/>
      <c r="T1" s="194"/>
      <c r="U1" s="192"/>
      <c r="V1" s="196" t="s">
        <v>6</v>
      </c>
      <c r="W1" s="194"/>
      <c r="X1" s="194"/>
      <c r="Y1" s="192"/>
      <c r="Z1" s="197" t="s">
        <v>7</v>
      </c>
      <c r="AA1" s="194"/>
      <c r="AB1" s="192"/>
    </row>
    <row r="2" spans="1:28" ht="14.25" customHeight="1" x14ac:dyDescent="0.35">
      <c r="A2" s="14" t="e">
        <f>uvod!#REF!</f>
        <v>#REF!</v>
      </c>
      <c r="B2" s="14" t="e">
        <f>uvod!#REF!</f>
        <v>#REF!</v>
      </c>
      <c r="C2" s="15">
        <f>F19</f>
        <v>21</v>
      </c>
      <c r="D2" s="15">
        <f>SUM(R3:U3)</f>
        <v>21</v>
      </c>
      <c r="E2" s="15">
        <f>Z37+F60+P58+Z61</f>
        <v>16</v>
      </c>
      <c r="F2" s="15">
        <f>F82+P87+Z84</f>
        <v>14</v>
      </c>
      <c r="H2" s="16" t="s">
        <v>34</v>
      </c>
      <c r="I2" s="16" t="s">
        <v>35</v>
      </c>
      <c r="J2" s="16" t="s">
        <v>36</v>
      </c>
      <c r="K2" s="16" t="s">
        <v>37</v>
      </c>
      <c r="L2" s="16" t="s">
        <v>38</v>
      </c>
      <c r="M2" s="16" t="s">
        <v>39</v>
      </c>
      <c r="N2" s="16" t="s">
        <v>40</v>
      </c>
      <c r="O2" s="16" t="s">
        <v>41</v>
      </c>
      <c r="P2" s="16" t="s">
        <v>42</v>
      </c>
      <c r="Q2" s="16" t="s">
        <v>43</v>
      </c>
      <c r="R2" s="17" t="s">
        <v>44</v>
      </c>
      <c r="S2" s="17" t="s">
        <v>45</v>
      </c>
      <c r="T2" s="17" t="s">
        <v>46</v>
      </c>
      <c r="U2" s="17" t="s">
        <v>47</v>
      </c>
      <c r="V2" s="18" t="s">
        <v>48</v>
      </c>
      <c r="W2" s="18" t="s">
        <v>49</v>
      </c>
      <c r="X2" s="18" t="s">
        <v>50</v>
      </c>
      <c r="Y2" s="18" t="s">
        <v>51</v>
      </c>
      <c r="Z2" s="19" t="s">
        <v>52</v>
      </c>
      <c r="AA2" s="19" t="s">
        <v>53</v>
      </c>
      <c r="AB2" s="19" t="s">
        <v>54</v>
      </c>
    </row>
    <row r="3" spans="1:28" ht="14.25" customHeight="1" x14ac:dyDescent="0.35">
      <c r="A3" s="14"/>
      <c r="B3" s="14"/>
      <c r="C3" s="15" t="s">
        <v>268</v>
      </c>
      <c r="D3" s="15" t="s">
        <v>268</v>
      </c>
      <c r="E3" s="15" t="s">
        <v>268</v>
      </c>
      <c r="F3" s="15" t="s">
        <v>268</v>
      </c>
      <c r="H3" s="16">
        <f>F9</f>
        <v>2</v>
      </c>
      <c r="I3" s="16">
        <f>F10</f>
        <v>2</v>
      </c>
      <c r="J3" s="16">
        <f>F11</f>
        <v>2</v>
      </c>
      <c r="K3" s="16">
        <f>F12</f>
        <v>2</v>
      </c>
      <c r="L3" s="16">
        <f>F13</f>
        <v>2</v>
      </c>
      <c r="M3" s="16">
        <f>F14</f>
        <v>3</v>
      </c>
      <c r="N3" s="16">
        <f>F15</f>
        <v>2</v>
      </c>
      <c r="O3" s="16">
        <f>F16</f>
        <v>2</v>
      </c>
      <c r="P3" s="16">
        <f>F17</f>
        <v>2</v>
      </c>
      <c r="Q3" s="16">
        <f>F18</f>
        <v>2</v>
      </c>
      <c r="R3" s="17">
        <f>ROUND(P25,1)</f>
        <v>6</v>
      </c>
      <c r="S3" s="17">
        <f>Z12</f>
        <v>5</v>
      </c>
      <c r="T3" s="17">
        <f>F34</f>
        <v>4</v>
      </c>
      <c r="U3" s="17">
        <f>P37</f>
        <v>6</v>
      </c>
      <c r="V3" s="18">
        <f>Z37</f>
        <v>6</v>
      </c>
      <c r="W3" s="18">
        <f>F60</f>
        <v>5</v>
      </c>
      <c r="X3" s="18">
        <f>P58</f>
        <v>0</v>
      </c>
      <c r="Y3" s="18">
        <f>Z61</f>
        <v>5</v>
      </c>
      <c r="Z3" s="19">
        <f>F82</f>
        <v>5</v>
      </c>
      <c r="AA3" s="19">
        <f>P87</f>
        <v>6</v>
      </c>
      <c r="AB3" s="19">
        <f>Z84</f>
        <v>3</v>
      </c>
    </row>
    <row r="4" spans="1:28" ht="14.25" customHeight="1" x14ac:dyDescent="0.35">
      <c r="A4" s="14"/>
      <c r="B4" s="14" t="s">
        <v>55</v>
      </c>
      <c r="C4" s="12" t="str">
        <f>uvod!B7</f>
        <v>ne</v>
      </c>
      <c r="D4" s="12" t="str">
        <f>uvod!B8</f>
        <v>ne</v>
      </c>
      <c r="E4" s="12" t="str">
        <f>uvod!B9</f>
        <v>ne</v>
      </c>
      <c r="F4" s="12" t="str">
        <f>uvod!B10</f>
        <v>ne</v>
      </c>
    </row>
    <row r="5" spans="1:28" ht="14.25" customHeight="1" x14ac:dyDescent="0.35">
      <c r="A5" s="14"/>
      <c r="B5" s="14"/>
    </row>
    <row r="6" spans="1:28" ht="14.25" customHeight="1" x14ac:dyDescent="0.35">
      <c r="L6" s="20" t="s">
        <v>56</v>
      </c>
      <c r="M6" s="21">
        <v>0.18</v>
      </c>
      <c r="N6" s="20" t="s">
        <v>57</v>
      </c>
      <c r="O6" s="14">
        <v>21000</v>
      </c>
    </row>
    <row r="7" spans="1:28" ht="14.25" customHeight="1" x14ac:dyDescent="0.35">
      <c r="A7" s="3" t="s">
        <v>58</v>
      </c>
    </row>
    <row r="8" spans="1:28" ht="14.25" customHeight="1" x14ac:dyDescent="0.35">
      <c r="A8" s="22" t="s">
        <v>59</v>
      </c>
      <c r="B8" s="22" t="s">
        <v>60</v>
      </c>
      <c r="C8" s="22" t="s">
        <v>61</v>
      </c>
      <c r="D8" s="22" t="s">
        <v>62</v>
      </c>
      <c r="E8" s="22" t="s">
        <v>63</v>
      </c>
      <c r="F8" s="22" t="s">
        <v>64</v>
      </c>
      <c r="G8" s="22" t="s">
        <v>65</v>
      </c>
      <c r="H8" s="23"/>
      <c r="I8" s="24"/>
      <c r="J8" s="23"/>
      <c r="K8" s="22" t="s">
        <v>59</v>
      </c>
      <c r="L8" s="22" t="s">
        <v>60</v>
      </c>
      <c r="M8" s="22" t="s">
        <v>61</v>
      </c>
      <c r="N8" s="22" t="s">
        <v>62</v>
      </c>
      <c r="O8" s="22" t="s">
        <v>63</v>
      </c>
      <c r="P8" s="22" t="s">
        <v>64</v>
      </c>
      <c r="Q8" s="22" t="s">
        <v>65</v>
      </c>
      <c r="S8" s="25"/>
      <c r="U8" s="22" t="s">
        <v>59</v>
      </c>
      <c r="V8" s="22" t="s">
        <v>60</v>
      </c>
      <c r="W8" s="22" t="s">
        <v>61</v>
      </c>
      <c r="X8" s="22" t="s">
        <v>62</v>
      </c>
      <c r="Y8" s="22" t="s">
        <v>63</v>
      </c>
      <c r="Z8" s="22" t="s">
        <v>64</v>
      </c>
      <c r="AA8" s="22" t="s">
        <v>65</v>
      </c>
    </row>
    <row r="9" spans="1:28" ht="14.25" customHeight="1" x14ac:dyDescent="0.35">
      <c r="A9" s="22">
        <v>1</v>
      </c>
      <c r="B9" s="26">
        <v>1.4170000000000003</v>
      </c>
      <c r="C9" s="26">
        <f>'1. ish zad 1-10'!C3</f>
        <v>1.4170000000000003</v>
      </c>
      <c r="D9" s="27">
        <f>IF(ROUND(B9,2)=ROUND(C9,2),2,0)</f>
        <v>2</v>
      </c>
      <c r="E9" s="28"/>
      <c r="F9" s="27">
        <f t="shared" ref="F9:F18" si="0">IF(ISBLANK(E9),D9,E9)</f>
        <v>2</v>
      </c>
      <c r="G9" s="27" t="s">
        <v>66</v>
      </c>
      <c r="H9" s="14"/>
      <c r="I9" s="29"/>
      <c r="J9" s="14"/>
      <c r="K9" s="30">
        <v>11</v>
      </c>
      <c r="L9" s="188">
        <v>210</v>
      </c>
      <c r="M9" s="188">
        <f>'2. ish zad 11'!C10</f>
        <v>210</v>
      </c>
      <c r="N9" s="27">
        <f>IF(ROUND(L9,2)=ROUND(M9,2),0.375,0)</f>
        <v>0.375</v>
      </c>
      <c r="O9" s="28"/>
      <c r="P9" s="27">
        <f t="shared" ref="P9:P24" si="1">IF(ISBLANK(O9),N9,O9)</f>
        <v>0.375</v>
      </c>
      <c r="Q9" s="27" t="s">
        <v>270</v>
      </c>
      <c r="S9" s="25"/>
      <c r="U9" s="32">
        <v>12</v>
      </c>
      <c r="V9" s="33">
        <v>21551.246290944004</v>
      </c>
      <c r="W9" s="33">
        <f>'2. ish zad 12'!C14</f>
        <v>21551.246290944</v>
      </c>
      <c r="X9" s="27">
        <f t="shared" ref="X9:X10" si="2">IF(ROUND(V9,2)=ROUND(W9,2),1,0)</f>
        <v>1</v>
      </c>
      <c r="Y9" s="34"/>
      <c r="Z9" s="27">
        <f t="shared" ref="Z9:Z11" si="3">IF(ISBLANK(Y9),X9,Y9)</f>
        <v>1</v>
      </c>
      <c r="AA9" s="27" t="s">
        <v>67</v>
      </c>
    </row>
    <row r="10" spans="1:28" ht="14.25" customHeight="1" x14ac:dyDescent="0.35">
      <c r="A10" s="22">
        <v>2</v>
      </c>
      <c r="B10" s="35">
        <v>-0.10315789473684212</v>
      </c>
      <c r="C10" s="35">
        <f>'1. ish zad 1-10'!C8</f>
        <v>-0.10315789473684212</v>
      </c>
      <c r="D10" s="27">
        <f>IF(ABS(ROUND(B10,4))=ABS(ROUND(C10,4)),2,IF(ROUND(B10,4)+1=ROUND(C10,4),"provjeri odgovor",0))</f>
        <v>2</v>
      </c>
      <c r="E10" s="28"/>
      <c r="F10" s="27">
        <f t="shared" si="0"/>
        <v>2</v>
      </c>
      <c r="G10" s="27" t="s">
        <v>66</v>
      </c>
      <c r="H10" s="14"/>
      <c r="I10" s="29"/>
      <c r="J10" s="14"/>
      <c r="K10" s="14"/>
      <c r="L10" s="188">
        <v>70</v>
      </c>
      <c r="M10" s="188">
        <f>'2. ish zad 11'!C11</f>
        <v>70</v>
      </c>
      <c r="N10" s="27">
        <f t="shared" ref="N10:N24" si="4">IF(ROUND(L10,2)=ROUND(M10,2),0.375,0)</f>
        <v>0.375</v>
      </c>
      <c r="O10" s="28"/>
      <c r="P10" s="27">
        <f t="shared" si="1"/>
        <v>0.375</v>
      </c>
      <c r="Q10" s="27" t="s">
        <v>270</v>
      </c>
      <c r="S10" s="25"/>
      <c r="V10" s="33">
        <v>18275.012260328967</v>
      </c>
      <c r="W10" s="33">
        <f>'2. ish zad 12'!C16</f>
        <v>18275.012260328964</v>
      </c>
      <c r="X10" s="27">
        <f t="shared" si="2"/>
        <v>1</v>
      </c>
      <c r="Y10" s="34"/>
      <c r="Z10" s="27">
        <f t="shared" si="3"/>
        <v>1</v>
      </c>
      <c r="AA10" s="27" t="s">
        <v>67</v>
      </c>
    </row>
    <row r="11" spans="1:28" ht="14.25" customHeight="1" x14ac:dyDescent="0.35">
      <c r="A11" s="22">
        <v>3</v>
      </c>
      <c r="B11" s="35">
        <v>1.1541666666666666</v>
      </c>
      <c r="C11" s="35">
        <f>'1. ish zad 1-10'!C13</f>
        <v>1.1541666666666666</v>
      </c>
      <c r="D11" s="27">
        <f>IF(ROUND(B11,4)=ROUND(C11,4),2,0)</f>
        <v>2</v>
      </c>
      <c r="E11" s="28"/>
      <c r="F11" s="27">
        <f t="shared" si="0"/>
        <v>2</v>
      </c>
      <c r="G11" s="27" t="s">
        <v>66</v>
      </c>
      <c r="H11" s="14"/>
      <c r="I11" s="29"/>
      <c r="J11" s="14"/>
      <c r="K11" s="14"/>
      <c r="L11" s="188">
        <v>280</v>
      </c>
      <c r="M11" s="188">
        <f>'2. ish zad 11'!C12</f>
        <v>280</v>
      </c>
      <c r="N11" s="27">
        <f t="shared" si="4"/>
        <v>0.375</v>
      </c>
      <c r="O11" s="28"/>
      <c r="P11" s="27">
        <f t="shared" si="1"/>
        <v>0.375</v>
      </c>
      <c r="Q11" s="27" t="s">
        <v>270</v>
      </c>
      <c r="S11" s="25"/>
      <c r="V11" s="33">
        <v>20534.253860750916</v>
      </c>
      <c r="W11" s="33">
        <f>'2. ish zad 12'!C18</f>
        <v>20534.253860750909</v>
      </c>
      <c r="X11" s="27">
        <f>IF(ROUND(V11,2)=ROUND(W11,2),3,0)</f>
        <v>3</v>
      </c>
      <c r="Y11" s="34"/>
      <c r="Z11" s="27">
        <f t="shared" si="3"/>
        <v>3</v>
      </c>
      <c r="AA11" s="27" t="s">
        <v>68</v>
      </c>
    </row>
    <row r="12" spans="1:28" ht="14.25" customHeight="1" x14ac:dyDescent="0.35">
      <c r="A12" s="22">
        <v>4</v>
      </c>
      <c r="B12" s="35">
        <v>-4.8780487804878092E-2</v>
      </c>
      <c r="C12" s="35">
        <f>'1. ish zad 1-10'!C18</f>
        <v>-4.8780487804878092E-2</v>
      </c>
      <c r="D12" s="27">
        <f>IF(ABS(ROUND(B12,4))=ABS(ROUND(C12,4)),2,IF(ROUND(B12,4)+1=ROUND(C12,4),"provjeri odgovor",0))</f>
        <v>2</v>
      </c>
      <c r="E12" s="28"/>
      <c r="F12" s="27">
        <f t="shared" si="0"/>
        <v>2</v>
      </c>
      <c r="G12" s="27" t="s">
        <v>66</v>
      </c>
      <c r="H12" s="14"/>
      <c r="I12" s="29"/>
      <c r="J12" s="14"/>
      <c r="K12" s="14"/>
      <c r="L12" s="188">
        <v>1120</v>
      </c>
      <c r="M12" s="188">
        <f>'2. ish zad 11'!C13</f>
        <v>1120</v>
      </c>
      <c r="N12" s="27">
        <f t="shared" si="4"/>
        <v>0.375</v>
      </c>
      <c r="O12" s="28"/>
      <c r="P12" s="27">
        <f t="shared" si="1"/>
        <v>0.375</v>
      </c>
      <c r="Q12" s="27" t="s">
        <v>270</v>
      </c>
      <c r="S12" s="25"/>
      <c r="U12" s="22" t="s">
        <v>69</v>
      </c>
      <c r="V12" s="27"/>
      <c r="W12" s="27"/>
      <c r="X12" s="22"/>
      <c r="Y12" s="36"/>
      <c r="Z12" s="22">
        <f>SUM(Z9:Z11)</f>
        <v>5</v>
      </c>
      <c r="AA12" s="22" t="s">
        <v>70</v>
      </c>
    </row>
    <row r="13" spans="1:28" ht="14.25" customHeight="1" x14ac:dyDescent="0.35">
      <c r="A13" s="22">
        <v>5</v>
      </c>
      <c r="B13" s="26">
        <v>1.1550000000000002</v>
      </c>
      <c r="C13" s="26">
        <f>'1. ish zad 1-10'!C23</f>
        <v>1.1550000000000002</v>
      </c>
      <c r="D13" s="27">
        <f t="shared" ref="D13" si="5">IF(ROUND(B13,2)=ROUND(C13,2),2,0)</f>
        <v>2</v>
      </c>
      <c r="E13" s="28"/>
      <c r="F13" s="27">
        <f t="shared" si="0"/>
        <v>2</v>
      </c>
      <c r="G13" s="27" t="s">
        <v>66</v>
      </c>
      <c r="H13" s="14"/>
      <c r="I13" s="29"/>
      <c r="J13" s="14"/>
      <c r="K13" s="14"/>
      <c r="L13" s="188">
        <v>1227.6999999999998</v>
      </c>
      <c r="M13" s="188">
        <f>'2. ish zad 11'!C14</f>
        <v>1227.6999999999998</v>
      </c>
      <c r="N13" s="27">
        <f t="shared" si="4"/>
        <v>0.375</v>
      </c>
      <c r="O13" s="28"/>
      <c r="P13" s="27">
        <f t="shared" si="1"/>
        <v>0.375</v>
      </c>
      <c r="Q13" s="27" t="s">
        <v>270</v>
      </c>
      <c r="S13" s="25"/>
    </row>
    <row r="14" spans="1:28" ht="14.25" customHeight="1" x14ac:dyDescent="0.35">
      <c r="A14" s="22">
        <v>6</v>
      </c>
      <c r="B14" s="26">
        <v>26.4</v>
      </c>
      <c r="C14" s="26">
        <f>'1. ish zad 1-10'!C28</f>
        <v>26.4</v>
      </c>
      <c r="D14" s="27">
        <f>IF(ROUND(B14,2)=ROUND(C14,2),3,0)</f>
        <v>3</v>
      </c>
      <c r="E14" s="28"/>
      <c r="F14" s="27">
        <f t="shared" si="0"/>
        <v>3</v>
      </c>
      <c r="G14" s="27" t="s">
        <v>269</v>
      </c>
      <c r="H14" s="14"/>
      <c r="I14" s="29"/>
      <c r="J14" s="14"/>
      <c r="K14" s="14"/>
      <c r="L14" s="188">
        <v>1120</v>
      </c>
      <c r="M14" s="188">
        <f>'2. ish zad 11'!C15</f>
        <v>1120</v>
      </c>
      <c r="N14" s="27">
        <f t="shared" si="4"/>
        <v>0.375</v>
      </c>
      <c r="O14" s="28"/>
      <c r="P14" s="27">
        <f t="shared" si="1"/>
        <v>0.375</v>
      </c>
      <c r="Q14" s="27" t="s">
        <v>270</v>
      </c>
      <c r="S14" s="25"/>
    </row>
    <row r="15" spans="1:28" ht="14.25" customHeight="1" x14ac:dyDescent="0.35">
      <c r="A15" s="22">
        <v>7</v>
      </c>
      <c r="B15" s="37">
        <v>4181</v>
      </c>
      <c r="C15" s="27">
        <f>'1. ish zad 1-10'!C34</f>
        <v>4181</v>
      </c>
      <c r="D15" s="27">
        <f>IF(B15=C15,2,0)</f>
        <v>2</v>
      </c>
      <c r="E15" s="28"/>
      <c r="F15" s="27">
        <f t="shared" si="0"/>
        <v>2</v>
      </c>
      <c r="G15" s="27" t="s">
        <v>66</v>
      </c>
      <c r="H15" s="14"/>
      <c r="I15" s="29"/>
      <c r="J15" s="14"/>
      <c r="K15" s="14"/>
      <c r="L15" s="188">
        <v>107.69999999999982</v>
      </c>
      <c r="M15" s="188">
        <f>'2. ish zad 11'!C16</f>
        <v>107.69999999999982</v>
      </c>
      <c r="N15" s="27">
        <f t="shared" si="4"/>
        <v>0.375</v>
      </c>
      <c r="O15" s="28"/>
      <c r="P15" s="27">
        <f t="shared" si="1"/>
        <v>0.375</v>
      </c>
      <c r="Q15" s="27" t="s">
        <v>270</v>
      </c>
      <c r="S15" s="25"/>
    </row>
    <row r="16" spans="1:28" ht="14.25" customHeight="1" x14ac:dyDescent="0.35">
      <c r="A16" s="22">
        <v>8</v>
      </c>
      <c r="B16" s="35">
        <v>2.0090887347524514E-2</v>
      </c>
      <c r="C16" s="35">
        <f>'1. ish zad 1-10'!C39</f>
        <v>2.0090887347524514E-2</v>
      </c>
      <c r="D16" s="27">
        <f>IF(ROUND(B16,3)=ROUND(C16,3),2,0)</f>
        <v>2</v>
      </c>
      <c r="E16" s="28"/>
      <c r="F16" s="27">
        <f t="shared" si="0"/>
        <v>2</v>
      </c>
      <c r="G16" s="27" t="s">
        <v>66</v>
      </c>
      <c r="H16" s="14"/>
      <c r="I16" s="29"/>
      <c r="J16" s="14"/>
      <c r="K16" s="14"/>
      <c r="L16" s="188">
        <v>0</v>
      </c>
      <c r="M16" s="188">
        <f>'2. ish zad 11'!C17</f>
        <v>0</v>
      </c>
      <c r="N16" s="27">
        <f t="shared" si="4"/>
        <v>0.375</v>
      </c>
      <c r="O16" s="28"/>
      <c r="P16" s="27">
        <f t="shared" si="1"/>
        <v>0.375</v>
      </c>
      <c r="Q16" s="27" t="s">
        <v>270</v>
      </c>
      <c r="S16" s="25"/>
    </row>
    <row r="17" spans="1:27" ht="14.25" customHeight="1" x14ac:dyDescent="0.35">
      <c r="A17" s="22">
        <v>9</v>
      </c>
      <c r="B17" s="35">
        <v>8.7956242768486376E-2</v>
      </c>
      <c r="C17" s="35">
        <f>'1. ish zad 1-10'!C44</f>
        <v>8.7956242768486376E-2</v>
      </c>
      <c r="D17" s="27">
        <f t="shared" ref="D17:D18" si="6">IF(ROUND(B17,3)=ROUND(C17,3),2,0)</f>
        <v>2</v>
      </c>
      <c r="E17" s="28"/>
      <c r="F17" s="27">
        <f t="shared" si="0"/>
        <v>2</v>
      </c>
      <c r="G17" s="27" t="s">
        <v>66</v>
      </c>
      <c r="H17" s="14"/>
      <c r="I17" s="29"/>
      <c r="J17" s="14"/>
      <c r="K17" s="14"/>
      <c r="L17" s="188">
        <v>0</v>
      </c>
      <c r="M17" s="188">
        <f>'2. ish zad 11'!C18</f>
        <v>0</v>
      </c>
      <c r="N17" s="27">
        <f t="shared" si="4"/>
        <v>0.375</v>
      </c>
      <c r="O17" s="28"/>
      <c r="P17" s="27">
        <f t="shared" si="1"/>
        <v>0.375</v>
      </c>
      <c r="Q17" s="27" t="s">
        <v>270</v>
      </c>
      <c r="S17" s="25"/>
    </row>
    <row r="18" spans="1:27" ht="14.25" customHeight="1" x14ac:dyDescent="0.35">
      <c r="A18" s="22">
        <v>10</v>
      </c>
      <c r="B18" s="35">
        <v>0.28540925266903905</v>
      </c>
      <c r="C18" s="35">
        <f>'1. ish zad 1-10'!C50</f>
        <v>0.28540925266903905</v>
      </c>
      <c r="D18" s="27">
        <f t="shared" si="6"/>
        <v>2</v>
      </c>
      <c r="E18" s="28"/>
      <c r="F18" s="27">
        <f t="shared" si="0"/>
        <v>2</v>
      </c>
      <c r="G18" s="27" t="s">
        <v>66</v>
      </c>
      <c r="H18" s="14"/>
      <c r="I18" s="29"/>
      <c r="J18" s="14"/>
      <c r="K18" s="14"/>
      <c r="L18" s="188"/>
      <c r="M18" s="188">
        <f>'2. ish zad 11'!C19</f>
        <v>0</v>
      </c>
      <c r="N18" s="27">
        <f t="shared" si="4"/>
        <v>0.375</v>
      </c>
      <c r="O18" s="28"/>
      <c r="P18" s="27">
        <f t="shared" si="1"/>
        <v>0.375</v>
      </c>
      <c r="Q18" s="27" t="s">
        <v>270</v>
      </c>
      <c r="S18" s="25"/>
    </row>
    <row r="19" spans="1:27" ht="14.25" customHeight="1" x14ac:dyDescent="0.35">
      <c r="A19" s="22" t="s">
        <v>69</v>
      </c>
      <c r="B19" s="38"/>
      <c r="C19" s="38"/>
      <c r="D19" s="22"/>
      <c r="E19" s="36"/>
      <c r="F19" s="22">
        <f>SUM(F9:F18)</f>
        <v>21</v>
      </c>
      <c r="G19" s="22" t="s">
        <v>268</v>
      </c>
      <c r="H19" s="23"/>
      <c r="I19" s="24"/>
      <c r="J19" s="14"/>
      <c r="K19" s="14"/>
      <c r="L19" s="188">
        <v>0</v>
      </c>
      <c r="M19" s="188">
        <f>'2. ish zad 11'!C20</f>
        <v>0</v>
      </c>
      <c r="N19" s="27">
        <f t="shared" si="4"/>
        <v>0.375</v>
      </c>
      <c r="O19" s="28"/>
      <c r="P19" s="27">
        <f t="shared" si="1"/>
        <v>0.375</v>
      </c>
      <c r="Q19" s="27" t="s">
        <v>270</v>
      </c>
      <c r="S19" s="25"/>
    </row>
    <row r="20" spans="1:27" ht="14.25" customHeight="1" x14ac:dyDescent="0.35">
      <c r="I20" s="25"/>
      <c r="J20" s="14"/>
      <c r="K20" s="14"/>
      <c r="L20" s="188">
        <v>0</v>
      </c>
      <c r="M20" s="188">
        <f>'2. ish zad 11'!C21</f>
        <v>0</v>
      </c>
      <c r="N20" s="27">
        <f t="shared" si="4"/>
        <v>0.375</v>
      </c>
      <c r="O20" s="28"/>
      <c r="P20" s="27">
        <f t="shared" si="1"/>
        <v>0.375</v>
      </c>
      <c r="Q20" s="27" t="s">
        <v>270</v>
      </c>
      <c r="S20" s="25"/>
    </row>
    <row r="21" spans="1:27" ht="14.25" customHeight="1" x14ac:dyDescent="0.35">
      <c r="I21" s="25"/>
      <c r="J21" s="23"/>
      <c r="K21" s="14"/>
      <c r="L21" s="188">
        <v>1120</v>
      </c>
      <c r="M21" s="188">
        <f>'2. ish zad 11'!C22</f>
        <v>1120</v>
      </c>
      <c r="N21" s="27">
        <f t="shared" si="4"/>
        <v>0.375</v>
      </c>
      <c r="O21" s="28"/>
      <c r="P21" s="27">
        <f t="shared" si="1"/>
        <v>0.375</v>
      </c>
      <c r="Q21" s="27" t="s">
        <v>270</v>
      </c>
      <c r="S21" s="25"/>
    </row>
    <row r="22" spans="1:27" ht="14.25" customHeight="1" x14ac:dyDescent="0.35">
      <c r="I22" s="25"/>
      <c r="K22" s="14"/>
      <c r="L22" s="188">
        <v>231</v>
      </c>
      <c r="M22" s="188">
        <f>'2. ish zad 11'!C23</f>
        <v>231</v>
      </c>
      <c r="N22" s="27">
        <f t="shared" si="4"/>
        <v>0.375</v>
      </c>
      <c r="O22" s="28"/>
      <c r="P22" s="27">
        <f t="shared" si="1"/>
        <v>0.375</v>
      </c>
      <c r="Q22" s="27" t="s">
        <v>270</v>
      </c>
      <c r="S22" s="25"/>
    </row>
    <row r="23" spans="1:27" ht="14.25" customHeight="1" x14ac:dyDescent="0.35">
      <c r="I23" s="25"/>
      <c r="K23" s="14"/>
      <c r="L23" s="188">
        <v>1631</v>
      </c>
      <c r="M23" s="188">
        <f>'2. ish zad 11'!C24</f>
        <v>1631</v>
      </c>
      <c r="N23" s="27">
        <f t="shared" si="4"/>
        <v>0.375</v>
      </c>
      <c r="O23" s="28"/>
      <c r="P23" s="27">
        <f t="shared" si="1"/>
        <v>0.375</v>
      </c>
      <c r="Q23" s="27" t="s">
        <v>270</v>
      </c>
      <c r="S23" s="25"/>
    </row>
    <row r="24" spans="1:27" ht="14.25" customHeight="1" x14ac:dyDescent="0.35">
      <c r="I24" s="25"/>
      <c r="K24" s="14"/>
      <c r="L24" s="35">
        <v>0.68669527896995708</v>
      </c>
      <c r="M24" s="189">
        <f>'2. ish zad 11'!C25</f>
        <v>0.68669527896995708</v>
      </c>
      <c r="N24" s="27">
        <f t="shared" si="4"/>
        <v>0.375</v>
      </c>
      <c r="O24" s="28"/>
      <c r="P24" s="27">
        <f t="shared" si="1"/>
        <v>0.375</v>
      </c>
      <c r="Q24" s="27" t="s">
        <v>270</v>
      </c>
      <c r="S24" s="25"/>
    </row>
    <row r="25" spans="1:27" ht="14.25" customHeight="1" x14ac:dyDescent="0.35">
      <c r="I25" s="25"/>
      <c r="K25" s="22" t="s">
        <v>69</v>
      </c>
      <c r="L25" s="27"/>
      <c r="M25" s="27"/>
      <c r="N25" s="22"/>
      <c r="O25" s="36"/>
      <c r="P25" s="22">
        <f>SUM(P9:P24)</f>
        <v>6</v>
      </c>
      <c r="Q25" s="22" t="s">
        <v>76</v>
      </c>
      <c r="S25" s="25"/>
    </row>
    <row r="26" spans="1:27" ht="14.25" customHeight="1" x14ac:dyDescent="0.35">
      <c r="I26" s="25"/>
      <c r="K26" s="23"/>
      <c r="L26" s="14"/>
      <c r="M26" s="14"/>
      <c r="N26" s="23"/>
      <c r="O26" s="23"/>
      <c r="P26" s="23"/>
      <c r="Q26" s="23"/>
      <c r="S26" s="25"/>
    </row>
    <row r="27" spans="1:27" ht="14.25" customHeight="1" x14ac:dyDescent="0.35">
      <c r="A27" s="25"/>
      <c r="B27" s="25"/>
      <c r="C27" s="25"/>
      <c r="D27" s="25"/>
      <c r="E27" s="25"/>
      <c r="F27" s="25"/>
      <c r="G27" s="25"/>
      <c r="H27" s="25"/>
      <c r="I27" s="24"/>
      <c r="J27" s="29"/>
      <c r="K27" s="29"/>
      <c r="L27" s="24"/>
      <c r="M27" s="24"/>
      <c r="N27" s="24"/>
      <c r="O27" s="24"/>
      <c r="P27" s="25"/>
      <c r="Q27" s="25"/>
      <c r="R27" s="25"/>
      <c r="S27" s="25"/>
      <c r="T27" s="25"/>
      <c r="U27" s="25"/>
      <c r="V27" s="25"/>
      <c r="W27" s="25"/>
      <c r="X27" s="25"/>
      <c r="Y27" s="25"/>
      <c r="Z27" s="25"/>
      <c r="AA27" s="25"/>
    </row>
    <row r="28" spans="1:27" ht="14.25" customHeight="1" x14ac:dyDescent="0.35">
      <c r="I28" s="25"/>
      <c r="S28" s="25"/>
    </row>
    <row r="29" spans="1:27" ht="14.25" customHeight="1" x14ac:dyDescent="0.35">
      <c r="I29" s="25"/>
      <c r="S29" s="25"/>
    </row>
    <row r="30" spans="1:27" ht="14.25" customHeight="1" x14ac:dyDescent="0.35">
      <c r="A30" s="22" t="s">
        <v>59</v>
      </c>
      <c r="B30" s="22" t="s">
        <v>60</v>
      </c>
      <c r="C30" s="22" t="s">
        <v>61</v>
      </c>
      <c r="D30" s="22" t="s">
        <v>62</v>
      </c>
      <c r="E30" s="22" t="s">
        <v>63</v>
      </c>
      <c r="F30" s="22" t="s">
        <v>64</v>
      </c>
      <c r="G30" s="22" t="s">
        <v>65</v>
      </c>
      <c r="I30" s="25"/>
      <c r="K30" s="22" t="s">
        <v>59</v>
      </c>
      <c r="L30" s="22" t="s">
        <v>60</v>
      </c>
      <c r="M30" s="22" t="s">
        <v>61</v>
      </c>
      <c r="N30" s="22" t="s">
        <v>62</v>
      </c>
      <c r="O30" s="22" t="s">
        <v>63</v>
      </c>
      <c r="P30" s="22" t="s">
        <v>64</v>
      </c>
      <c r="Q30" s="22" t="s">
        <v>65</v>
      </c>
      <c r="S30" s="25"/>
      <c r="U30" s="22" t="s">
        <v>59</v>
      </c>
      <c r="V30" s="22" t="s">
        <v>60</v>
      </c>
      <c r="W30" s="22" t="s">
        <v>61</v>
      </c>
      <c r="X30" s="22" t="s">
        <v>62</v>
      </c>
      <c r="Y30" s="22" t="s">
        <v>63</v>
      </c>
      <c r="Z30" s="22" t="s">
        <v>64</v>
      </c>
      <c r="AA30" s="22" t="s">
        <v>65</v>
      </c>
    </row>
    <row r="31" spans="1:27" ht="14.25" customHeight="1" x14ac:dyDescent="0.35">
      <c r="A31" s="32">
        <v>13</v>
      </c>
      <c r="B31" s="26">
        <v>72639</v>
      </c>
      <c r="C31" s="26">
        <f>'2. ish zad 13'!C21</f>
        <v>72639</v>
      </c>
      <c r="D31" s="27">
        <f t="shared" ref="D31:D32" si="7">IF(ROUND(B31,1)=ROUND(C31,1),1.5,0)</f>
        <v>1.5</v>
      </c>
      <c r="E31" s="28"/>
      <c r="F31" s="27">
        <f t="shared" ref="F31:F33" si="8">IF(ISBLANK(E31),D31,E31)</f>
        <v>1.5</v>
      </c>
      <c r="G31" s="27" t="s">
        <v>71</v>
      </c>
      <c r="H31" s="23"/>
      <c r="I31" s="24"/>
      <c r="J31" s="23"/>
      <c r="K31" s="30">
        <v>14</v>
      </c>
      <c r="L31" s="39">
        <v>1.0143963722332607</v>
      </c>
      <c r="M31" s="39">
        <f>'2. ish zad 14'!D17</f>
        <v>1.0143963722332607</v>
      </c>
      <c r="N31" s="27">
        <f t="shared" ref="N31:N33" si="9">IF(ROUND(L31,2)=ROUND(M31,2),0.5,0)</f>
        <v>0.5</v>
      </c>
      <c r="O31" s="28"/>
      <c r="P31" s="27">
        <f t="shared" ref="P31:P36" si="10">IF(ISBLANK(O31),N31,O31)</f>
        <v>0.5</v>
      </c>
      <c r="Q31" s="27" t="s">
        <v>72</v>
      </c>
      <c r="S31" s="25"/>
      <c r="U31" s="30">
        <v>15</v>
      </c>
      <c r="V31" s="40">
        <v>28</v>
      </c>
      <c r="W31" s="40">
        <f>'3. ish zad 15'!F8</f>
        <v>28</v>
      </c>
      <c r="X31" s="27">
        <f>IF(ROUND(V31,2)=ROUND(W31,2),0.5,0)</f>
        <v>0.5</v>
      </c>
      <c r="Y31" s="28"/>
      <c r="Z31" s="27">
        <f t="shared" ref="Z31:Z36" si="11">IF(ISBLANK(Y31),X31,Y31)</f>
        <v>0.5</v>
      </c>
      <c r="AA31" s="27" t="s">
        <v>72</v>
      </c>
    </row>
    <row r="32" spans="1:27" ht="14.25" customHeight="1" x14ac:dyDescent="0.35">
      <c r="B32" s="26">
        <v>73321.119999999995</v>
      </c>
      <c r="C32" s="26">
        <f>'2. ish zad 13'!H21</f>
        <v>73321.119999999995</v>
      </c>
      <c r="D32" s="27">
        <f t="shared" si="7"/>
        <v>1.5</v>
      </c>
      <c r="E32" s="28"/>
      <c r="F32" s="27">
        <f t="shared" si="8"/>
        <v>1.5</v>
      </c>
      <c r="G32" s="27" t="s">
        <v>71</v>
      </c>
      <c r="H32" s="14"/>
      <c r="I32" s="29"/>
      <c r="J32" s="14"/>
      <c r="K32" s="14"/>
      <c r="L32" s="41">
        <v>1.4396372233260735E-2</v>
      </c>
      <c r="M32" s="41">
        <f>'2. ish zad 14'!D18</f>
        <v>1.4396372233260735E-2</v>
      </c>
      <c r="N32" s="27">
        <f t="shared" si="9"/>
        <v>0.5</v>
      </c>
      <c r="O32" s="28"/>
      <c r="P32" s="27">
        <f t="shared" si="10"/>
        <v>0.5</v>
      </c>
      <c r="Q32" s="27" t="s">
        <v>72</v>
      </c>
      <c r="S32" s="25"/>
      <c r="U32" s="14"/>
      <c r="V32" s="35">
        <v>1.175E-2</v>
      </c>
      <c r="W32" s="35">
        <f>'3. ish zad 15'!F9</f>
        <v>1.175E-2</v>
      </c>
      <c r="X32" s="27">
        <f>IF(ROUND(V32,4)=ROUND(W32,4),0.5,0)</f>
        <v>0.5</v>
      </c>
      <c r="Y32" s="28"/>
      <c r="Z32" s="27">
        <f t="shared" si="11"/>
        <v>0.5</v>
      </c>
      <c r="AA32" s="27" t="s">
        <v>72</v>
      </c>
    </row>
    <row r="33" spans="1:27" ht="14.25" customHeight="1" x14ac:dyDescent="0.35">
      <c r="B33" s="35">
        <v>9.4000000000000004E-3</v>
      </c>
      <c r="C33" s="35">
        <f>'2. ish zad 13'!C23</f>
        <v>9.4000000000000004E-3</v>
      </c>
      <c r="D33" s="27">
        <f>IF(ROUND(B33,3)=ROUND(C33,3),1,0)</f>
        <v>1</v>
      </c>
      <c r="E33" s="28"/>
      <c r="F33" s="27">
        <f t="shared" si="8"/>
        <v>1</v>
      </c>
      <c r="G33" s="27" t="s">
        <v>73</v>
      </c>
      <c r="H33" s="14"/>
      <c r="I33" s="29"/>
      <c r="J33" s="14"/>
      <c r="K33" s="14"/>
      <c r="L33" s="42">
        <v>56</v>
      </c>
      <c r="M33" s="42">
        <f>'2. ish zad 14'!D19</f>
        <v>56</v>
      </c>
      <c r="N33" s="27">
        <f t="shared" si="9"/>
        <v>0.5</v>
      </c>
      <c r="O33" s="28"/>
      <c r="P33" s="27">
        <f t="shared" si="10"/>
        <v>0.5</v>
      </c>
      <c r="Q33" s="27" t="s">
        <v>72</v>
      </c>
      <c r="S33" s="25"/>
      <c r="U33" s="14"/>
      <c r="V33" s="43">
        <v>1.0117499999999999</v>
      </c>
      <c r="W33" s="43">
        <f>'3. ish zad 15'!F10</f>
        <v>1.0117499999999999</v>
      </c>
      <c r="X33" s="27">
        <f>IF(ROUND(V33,2)=ROUND(W33,2),0.5,0)</f>
        <v>0.5</v>
      </c>
      <c r="Y33" s="28"/>
      <c r="Z33" s="27">
        <f t="shared" si="11"/>
        <v>0.5</v>
      </c>
      <c r="AA33" s="27" t="s">
        <v>72</v>
      </c>
    </row>
    <row r="34" spans="1:27" ht="14.25" customHeight="1" x14ac:dyDescent="0.35">
      <c r="A34" s="30" t="s">
        <v>69</v>
      </c>
      <c r="B34" s="27"/>
      <c r="C34" s="27"/>
      <c r="D34" s="22"/>
      <c r="E34" s="36"/>
      <c r="F34" s="22">
        <f>SUM(F31:F33)</f>
        <v>4</v>
      </c>
      <c r="G34" s="22" t="s">
        <v>74</v>
      </c>
      <c r="H34" s="14"/>
      <c r="I34" s="29"/>
      <c r="J34" s="14"/>
      <c r="K34" s="14"/>
      <c r="L34" s="26">
        <v>57904.341048863476</v>
      </c>
      <c r="M34" s="26">
        <f>'2. ish zad 14'!D21</f>
        <v>57904.341048863753</v>
      </c>
      <c r="N34" s="27">
        <f>IF(ABS(ROUND(L34,2))=ABS(ROUND(M34,2)),2,0)</f>
        <v>2</v>
      </c>
      <c r="O34" s="28"/>
      <c r="P34" s="27">
        <f t="shared" si="10"/>
        <v>2</v>
      </c>
      <c r="Q34" s="27" t="s">
        <v>75</v>
      </c>
      <c r="S34" s="25"/>
      <c r="U34" s="14"/>
      <c r="V34" s="26">
        <v>-589.66</v>
      </c>
      <c r="W34" s="26">
        <f>'3. ish zad 15'!F12</f>
        <v>-589.66</v>
      </c>
      <c r="X34" s="27">
        <f>IF(ABS(ROUND(V34,2))=ABS(ROUND(W34,2)),1,0)</f>
        <v>1</v>
      </c>
      <c r="Y34" s="28"/>
      <c r="Z34" s="27">
        <f t="shared" si="11"/>
        <v>1</v>
      </c>
      <c r="AA34" s="27" t="s">
        <v>67</v>
      </c>
    </row>
    <row r="35" spans="1:27" ht="14.25" customHeight="1" x14ac:dyDescent="0.35">
      <c r="I35" s="25"/>
      <c r="K35" s="14"/>
      <c r="L35" s="26">
        <v>-57904.341048863476</v>
      </c>
      <c r="M35" s="26">
        <f>'2. ish zad 14'!H10</f>
        <v>-57904.341048863753</v>
      </c>
      <c r="N35" s="27">
        <f>IF(ABS(ROUND(L35,2))=ABS(ROUND(M35,2)),0.5,0)</f>
        <v>0.5</v>
      </c>
      <c r="O35" s="28"/>
      <c r="P35" s="27">
        <f t="shared" si="10"/>
        <v>0.5</v>
      </c>
      <c r="Q35" s="27" t="s">
        <v>72</v>
      </c>
      <c r="S35" s="25"/>
      <c r="U35" s="14"/>
      <c r="V35" s="26">
        <v>589.58000000000277</v>
      </c>
      <c r="W35" s="26">
        <f>'3. ish zad 15'!C44</f>
        <v>589.58000000000277</v>
      </c>
      <c r="X35" s="27">
        <f>IF(ROUND(V35,2)=ROUND(W35,2),3,IF(ABS(V35-W35)&lt;2,2,0))</f>
        <v>3</v>
      </c>
      <c r="Y35" s="28"/>
      <c r="Z35" s="27">
        <f t="shared" si="11"/>
        <v>3</v>
      </c>
      <c r="AA35" s="27" t="s">
        <v>68</v>
      </c>
    </row>
    <row r="36" spans="1:27" ht="14.25" customHeight="1" x14ac:dyDescent="0.35">
      <c r="I36" s="24"/>
      <c r="J36" s="23"/>
      <c r="K36" s="14"/>
      <c r="L36" s="26">
        <v>233.68352813972814</v>
      </c>
      <c r="M36" s="26">
        <f>'2. ish zad 14'!H21</f>
        <v>233.68352813972925</v>
      </c>
      <c r="N36" s="27">
        <f>IF(ABS(ROUND(L36,2))=ABS(ROUND(M36,2)),2,0)</f>
        <v>2</v>
      </c>
      <c r="O36" s="28"/>
      <c r="P36" s="27">
        <f t="shared" si="10"/>
        <v>2</v>
      </c>
      <c r="Q36" s="27" t="s">
        <v>75</v>
      </c>
      <c r="S36" s="25"/>
      <c r="U36" s="14"/>
      <c r="V36" s="26">
        <v>0</v>
      </c>
      <c r="W36" s="26">
        <f>'3. ish zad 15'!F44</f>
        <v>0</v>
      </c>
      <c r="X36" s="27">
        <f>IF(ROUND(V36,2)=ROUND(W36,2),0.5,0)</f>
        <v>0.5</v>
      </c>
      <c r="Y36" s="28"/>
      <c r="Z36" s="27">
        <f t="shared" si="11"/>
        <v>0.5</v>
      </c>
      <c r="AA36" s="27" t="s">
        <v>72</v>
      </c>
    </row>
    <row r="37" spans="1:27" ht="14.25" customHeight="1" x14ac:dyDescent="0.35">
      <c r="I37" s="25"/>
      <c r="K37" s="22" t="s">
        <v>69</v>
      </c>
      <c r="L37" s="27"/>
      <c r="M37" s="27"/>
      <c r="N37" s="22"/>
      <c r="O37" s="36"/>
      <c r="P37" s="22">
        <f>SUM(P31:P36)</f>
        <v>6</v>
      </c>
      <c r="Q37" s="22" t="s">
        <v>76</v>
      </c>
      <c r="S37" s="25"/>
      <c r="U37" s="22" t="s">
        <v>69</v>
      </c>
      <c r="V37" s="27"/>
      <c r="W37" s="27"/>
      <c r="X37" s="22"/>
      <c r="Y37" s="36"/>
      <c r="Z37" s="22">
        <f>SUM(Z31:Z36)</f>
        <v>6</v>
      </c>
      <c r="AA37" s="22" t="s">
        <v>76</v>
      </c>
    </row>
    <row r="38" spans="1:27" ht="14.25" customHeight="1" x14ac:dyDescent="0.35">
      <c r="I38" s="25"/>
      <c r="K38" s="14"/>
      <c r="S38" s="25"/>
    </row>
    <row r="39" spans="1:27" ht="14.25" customHeight="1" x14ac:dyDescent="0.35">
      <c r="I39" s="25"/>
      <c r="K39" s="14"/>
      <c r="S39" s="25"/>
    </row>
    <row r="40" spans="1:27" ht="14.25" customHeight="1" x14ac:dyDescent="0.35">
      <c r="I40" s="25"/>
      <c r="K40" s="14"/>
      <c r="S40" s="25"/>
    </row>
    <row r="41" spans="1:27" ht="14.25" customHeight="1" x14ac:dyDescent="0.35">
      <c r="I41" s="25"/>
      <c r="K41" s="14"/>
      <c r="S41" s="25"/>
    </row>
    <row r="42" spans="1:27" ht="14.25" customHeight="1" x14ac:dyDescent="0.35">
      <c r="I42" s="25"/>
      <c r="K42" s="14"/>
      <c r="S42" s="25"/>
    </row>
    <row r="43" spans="1:27" ht="14.25" customHeight="1" x14ac:dyDescent="0.35">
      <c r="I43" s="25"/>
      <c r="K43" s="14"/>
      <c r="S43" s="25"/>
    </row>
    <row r="44" spans="1:27" ht="14.25" customHeight="1" x14ac:dyDescent="0.35">
      <c r="I44" s="25"/>
      <c r="K44" s="14"/>
      <c r="S44" s="25"/>
    </row>
    <row r="45" spans="1:27" ht="14.25" customHeight="1" x14ac:dyDescent="0.35">
      <c r="I45" s="25"/>
      <c r="K45" s="14"/>
      <c r="S45" s="25"/>
    </row>
    <row r="46" spans="1:27" ht="14.25" customHeight="1" x14ac:dyDescent="0.35">
      <c r="I46" s="25"/>
      <c r="K46" s="14"/>
      <c r="S46" s="25"/>
    </row>
    <row r="47" spans="1:27" ht="14.25" customHeight="1" x14ac:dyDescent="0.35">
      <c r="I47" s="25"/>
      <c r="S47" s="25"/>
    </row>
    <row r="48" spans="1:27" ht="14.25" customHeight="1" x14ac:dyDescent="0.35">
      <c r="I48" s="25"/>
      <c r="S48" s="25"/>
    </row>
    <row r="49" spans="1:27" ht="14.25" customHeight="1" x14ac:dyDescent="0.35">
      <c r="I49" s="25"/>
      <c r="S49" s="25"/>
    </row>
    <row r="50" spans="1:27" ht="14.25" customHeight="1" x14ac:dyDescent="0.35">
      <c r="I50" s="25"/>
      <c r="S50" s="25"/>
    </row>
    <row r="51" spans="1:27" ht="14.25" customHeight="1"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ht="14.25" customHeight="1" x14ac:dyDescent="0.35">
      <c r="I52" s="25"/>
      <c r="S52" s="25"/>
    </row>
    <row r="53" spans="1:27" ht="14.25" customHeight="1" x14ac:dyDescent="0.35">
      <c r="I53" s="25"/>
      <c r="S53" s="25"/>
    </row>
    <row r="54" spans="1:27" ht="14.25" customHeight="1" x14ac:dyDescent="0.35">
      <c r="A54" s="22" t="s">
        <v>59</v>
      </c>
      <c r="B54" s="22" t="s">
        <v>60</v>
      </c>
      <c r="C54" s="22" t="s">
        <v>61</v>
      </c>
      <c r="D54" s="22" t="s">
        <v>62</v>
      </c>
      <c r="E54" s="22" t="s">
        <v>63</v>
      </c>
      <c r="F54" s="22" t="s">
        <v>64</v>
      </c>
      <c r="G54" s="22" t="s">
        <v>65</v>
      </c>
      <c r="H54" s="23"/>
      <c r="I54" s="24"/>
      <c r="J54" s="23"/>
      <c r="K54" s="22" t="s">
        <v>59</v>
      </c>
      <c r="L54" s="22" t="s">
        <v>60</v>
      </c>
      <c r="M54" s="22" t="s">
        <v>61</v>
      </c>
      <c r="N54" s="22" t="s">
        <v>62</v>
      </c>
      <c r="O54" s="22" t="s">
        <v>63</v>
      </c>
      <c r="P54" s="22" t="s">
        <v>64</v>
      </c>
      <c r="Q54" s="22" t="s">
        <v>65</v>
      </c>
      <c r="S54" s="25"/>
      <c r="U54" s="22" t="s">
        <v>59</v>
      </c>
      <c r="V54" s="22" t="s">
        <v>60</v>
      </c>
      <c r="W54" s="22" t="s">
        <v>61</v>
      </c>
      <c r="X54" s="22" t="s">
        <v>62</v>
      </c>
      <c r="Y54" s="22" t="s">
        <v>63</v>
      </c>
      <c r="Z54" s="22" t="s">
        <v>64</v>
      </c>
      <c r="AA54" s="22" t="s">
        <v>65</v>
      </c>
    </row>
    <row r="55" spans="1:27" ht="14.25" customHeight="1" x14ac:dyDescent="0.35">
      <c r="A55" s="30">
        <v>16</v>
      </c>
      <c r="B55" s="41">
        <v>3.0416666666666665E-3</v>
      </c>
      <c r="C55" s="41">
        <f>'3. ish zad 16'!C15</f>
        <v>3.0416666666666665E-3</v>
      </c>
      <c r="D55" s="27">
        <f>IF(ROUND(B55,4)=ROUND(C55,4),0.5,0)</f>
        <v>0.5</v>
      </c>
      <c r="E55" s="34"/>
      <c r="F55" s="27">
        <f t="shared" ref="F55:F59" si="12">IF(ISBLANK(E55),D55,E55)</f>
        <v>0.5</v>
      </c>
      <c r="G55" s="38">
        <v>0.5</v>
      </c>
      <c r="H55" s="14"/>
      <c r="I55" s="29"/>
      <c r="J55" s="14"/>
      <c r="K55" s="30">
        <v>17</v>
      </c>
      <c r="L55" s="33">
        <v>302.45</v>
      </c>
      <c r="M55" s="33">
        <f>'3. ish zad 17'!B63</f>
        <v>286.91000000000003</v>
      </c>
      <c r="N55" s="27">
        <f>IF(ROUND(L55,2)=ROUND(M55,2),2,IF(ABS(L55-M55)&lt;2,1,0))</f>
        <v>0</v>
      </c>
      <c r="O55" s="34"/>
      <c r="P55" s="27">
        <f>IF(ISBLANK(O55),N55,O55)</f>
        <v>0</v>
      </c>
      <c r="Q55" s="27" t="s">
        <v>75</v>
      </c>
      <c r="S55" s="25"/>
      <c r="U55" s="22">
        <v>18</v>
      </c>
      <c r="V55" s="26">
        <v>5849.3999999999915</v>
      </c>
      <c r="W55" s="26">
        <f>'3. ish zad 18'!C30</f>
        <v>5849.3999999999915</v>
      </c>
      <c r="X55" s="27">
        <f>IF(ROUND(V55,2)=ROUND(W55,2),1,IF(ABS(V55-W55)&lt;2,0.5,0))</f>
        <v>1</v>
      </c>
      <c r="Y55" s="28"/>
      <c r="Z55" s="27">
        <f t="shared" ref="Z55:Z60" si="13">IF(ISBLANK(Y55),X55,Y55)</f>
        <v>1</v>
      </c>
      <c r="AA55" s="27" t="s">
        <v>67</v>
      </c>
    </row>
    <row r="56" spans="1:27" ht="14.25" customHeight="1" x14ac:dyDescent="0.35">
      <c r="B56" s="27">
        <v>144</v>
      </c>
      <c r="C56" s="27">
        <f>'3. ish zad 16'!C16</f>
        <v>144</v>
      </c>
      <c r="D56" s="27">
        <f>IF(ROUND(B56,2)=ROUND(C56,2),0.5,0)</f>
        <v>0.5</v>
      </c>
      <c r="E56" s="34"/>
      <c r="F56" s="27">
        <f t="shared" si="12"/>
        <v>0.5</v>
      </c>
      <c r="G56" s="38">
        <v>0.5</v>
      </c>
      <c r="H56" s="14"/>
      <c r="I56" s="29"/>
      <c r="J56" s="14"/>
      <c r="L56" s="33">
        <v>284.2</v>
      </c>
      <c r="M56" s="33">
        <f>'3. ish zad 17'!B111</f>
        <v>286.91000000000003</v>
      </c>
      <c r="N56" s="27">
        <f>IF(ROUND(L56,2)=ROUND(M56,2),2,IF(ABS(L56-M56)&lt;2,1,0))</f>
        <v>0</v>
      </c>
      <c r="O56" s="34"/>
      <c r="P56" s="27">
        <f>IF(ISBLANK(O56),N56,O56)</f>
        <v>0</v>
      </c>
      <c r="Q56" s="27" t="s">
        <v>75</v>
      </c>
      <c r="S56" s="25"/>
      <c r="U56" s="14"/>
      <c r="V56" s="26">
        <v>7150.6399999999994</v>
      </c>
      <c r="W56" s="26">
        <f>'3. ish zad 18'!C31</f>
        <v>7150.6399999999994</v>
      </c>
      <c r="X56" s="27">
        <f t="shared" ref="X56:X59" si="14">IF(ROUND(V56,2)=ROUND(W56,2),1,IF(ABS(V56-W56)&lt;2,0.5,0))</f>
        <v>1</v>
      </c>
      <c r="Y56" s="28"/>
      <c r="Z56" s="27">
        <f t="shared" si="13"/>
        <v>1</v>
      </c>
      <c r="AA56" s="27" t="s">
        <v>67</v>
      </c>
    </row>
    <row r="57" spans="1:27" ht="14.25" customHeight="1" x14ac:dyDescent="0.35">
      <c r="B57" s="26">
        <v>1250</v>
      </c>
      <c r="C57" s="26">
        <f>'3. ish zad 16'!C19</f>
        <v>1250</v>
      </c>
      <c r="D57" s="27">
        <f>IF(ROUND(B57,2)=ROUND(C57,2),1.5,0)</f>
        <v>1.5</v>
      </c>
      <c r="E57" s="34"/>
      <c r="F57" s="27">
        <f t="shared" si="12"/>
        <v>1.5</v>
      </c>
      <c r="G57" s="38">
        <v>1.5</v>
      </c>
      <c r="H57" s="14"/>
      <c r="I57" s="29"/>
      <c r="J57" s="14"/>
      <c r="L57" s="33">
        <v>281.10000000000719</v>
      </c>
      <c r="M57" s="33">
        <f>'3. ish zad 17'!B446</f>
        <v>0</v>
      </c>
      <c r="N57" s="27">
        <f>IF(ROUND(L57,2)=ROUND(M57,2),1,IF(ABS(L57-M57)&lt;2,0.5,0))</f>
        <v>0</v>
      </c>
      <c r="O57" s="34"/>
      <c r="P57" s="27">
        <f t="shared" ref="P57" si="15">IF(ISBLANK(O57),N57,O57)</f>
        <v>0</v>
      </c>
      <c r="Q57" s="27" t="s">
        <v>67</v>
      </c>
      <c r="S57" s="25"/>
      <c r="U57" s="14"/>
      <c r="V57" s="26">
        <v>227.45999999999998</v>
      </c>
      <c r="W57" s="26">
        <f>'3. ish zad 18'!G37</f>
        <v>227.45999999999998</v>
      </c>
      <c r="X57" s="27">
        <f t="shared" si="14"/>
        <v>1</v>
      </c>
      <c r="Y57" s="28"/>
      <c r="Z57" s="27">
        <f t="shared" si="13"/>
        <v>1</v>
      </c>
      <c r="AA57" s="27" t="s">
        <v>67</v>
      </c>
    </row>
    <row r="58" spans="1:27" ht="14.25" customHeight="1" x14ac:dyDescent="0.35">
      <c r="B58" s="26">
        <v>1250</v>
      </c>
      <c r="C58" s="26">
        <f>'3. ish zad 16'!J152</f>
        <v>1250</v>
      </c>
      <c r="D58" s="27">
        <f>IF(ROUND(B58,2)=ROUND(C58,2),2,IF(ABS(B58-C58)&lt;2,1,0))</f>
        <v>2</v>
      </c>
      <c r="E58" s="34"/>
      <c r="F58" s="27">
        <f t="shared" si="12"/>
        <v>2</v>
      </c>
      <c r="G58" s="38">
        <v>2</v>
      </c>
      <c r="H58" s="14"/>
      <c r="I58" s="29"/>
      <c r="J58" s="14"/>
      <c r="K58" s="30" t="s">
        <v>69</v>
      </c>
      <c r="L58" s="27"/>
      <c r="M58" s="27"/>
      <c r="N58" s="22"/>
      <c r="O58" s="36"/>
      <c r="P58" s="22">
        <f>SUM(P55:P57)</f>
        <v>0</v>
      </c>
      <c r="Q58" s="22" t="s">
        <v>70</v>
      </c>
      <c r="S58" s="25"/>
      <c r="U58" s="14"/>
      <c r="V58" s="26">
        <v>324.95</v>
      </c>
      <c r="W58" s="26">
        <f>'3. ish zad 18'!G97</f>
        <v>324.95</v>
      </c>
      <c r="X58" s="27">
        <f>IF(ROUND(V58,2)=ROUND(W58,2),0.5,IF(ABS(V58-W58)&lt;2,0.2,0))</f>
        <v>0.5</v>
      </c>
      <c r="Y58" s="28"/>
      <c r="Z58" s="27">
        <f t="shared" si="13"/>
        <v>0.5</v>
      </c>
      <c r="AA58" s="27" t="s">
        <v>72</v>
      </c>
    </row>
    <row r="59" spans="1:27" ht="14.25" customHeight="1" x14ac:dyDescent="0.35">
      <c r="B59" s="26">
        <v>1253.8</v>
      </c>
      <c r="C59" s="26">
        <f>'3. ish zad 16'!G153</f>
        <v>1253.8</v>
      </c>
      <c r="D59" s="27">
        <f>IF(ROUND(B59,2)=ROUND(C59,2),0.5,0)</f>
        <v>0.5</v>
      </c>
      <c r="E59" s="34"/>
      <c r="F59" s="27">
        <f t="shared" si="12"/>
        <v>0.5</v>
      </c>
      <c r="G59" s="38">
        <v>0.5</v>
      </c>
      <c r="H59" s="14"/>
      <c r="I59" s="29"/>
      <c r="J59" s="14"/>
      <c r="S59" s="25"/>
      <c r="U59" s="14"/>
      <c r="V59" s="26">
        <v>289.84000000000003</v>
      </c>
      <c r="W59" s="26">
        <f>'3. ish zad 18'!O37</f>
        <v>289.84000000000003</v>
      </c>
      <c r="X59" s="27">
        <f t="shared" si="14"/>
        <v>1</v>
      </c>
      <c r="Y59" s="28"/>
      <c r="Z59" s="27">
        <f t="shared" si="13"/>
        <v>1</v>
      </c>
      <c r="AA59" s="27" t="s">
        <v>67</v>
      </c>
    </row>
    <row r="60" spans="1:27" ht="14.25" customHeight="1" x14ac:dyDescent="0.35">
      <c r="A60" s="30" t="s">
        <v>69</v>
      </c>
      <c r="B60" s="27"/>
      <c r="C60" s="27"/>
      <c r="D60" s="22"/>
      <c r="E60" s="36"/>
      <c r="F60" s="22">
        <f>SUM(F55:F59)</f>
        <v>5</v>
      </c>
      <c r="G60" s="22" t="s">
        <v>70</v>
      </c>
      <c r="H60" s="14"/>
      <c r="I60" s="29"/>
      <c r="J60" s="14"/>
      <c r="S60" s="25"/>
      <c r="U60" s="14"/>
      <c r="V60" s="26">
        <v>379.88</v>
      </c>
      <c r="W60" s="26">
        <f>'3. ish zad 18'!O97</f>
        <v>379.88</v>
      </c>
      <c r="X60" s="27">
        <f>IF(ROUND(V60,2)=ROUND(W60,2),0.5,IF(ABS(V60-W60)&lt;2,0.2,0))</f>
        <v>0.5</v>
      </c>
      <c r="Y60" s="28"/>
      <c r="Z60" s="27">
        <f t="shared" si="13"/>
        <v>0.5</v>
      </c>
      <c r="AA60" s="27" t="s">
        <v>72</v>
      </c>
    </row>
    <row r="61" spans="1:27" ht="14.25" customHeight="1" x14ac:dyDescent="0.35">
      <c r="H61" s="14"/>
      <c r="I61" s="29"/>
      <c r="J61" s="14"/>
      <c r="S61" s="25"/>
      <c r="U61" s="22" t="s">
        <v>69</v>
      </c>
      <c r="V61" s="27"/>
      <c r="W61" s="27"/>
      <c r="X61" s="22"/>
      <c r="Y61" s="36"/>
      <c r="Z61" s="22">
        <f>SUM(Z55:Z60)</f>
        <v>5</v>
      </c>
      <c r="AA61" s="22" t="s">
        <v>70</v>
      </c>
    </row>
    <row r="62" spans="1:27" ht="14.25" customHeight="1" x14ac:dyDescent="0.35">
      <c r="H62" s="14"/>
      <c r="I62" s="29"/>
      <c r="J62" s="14"/>
      <c r="S62" s="25"/>
      <c r="U62" s="14"/>
      <c r="V62" s="14"/>
      <c r="W62" s="14"/>
      <c r="X62" s="14"/>
      <c r="Y62" s="14"/>
      <c r="Z62" s="14"/>
      <c r="AA62" s="14"/>
    </row>
    <row r="63" spans="1:27" ht="14.25" customHeight="1" x14ac:dyDescent="0.35">
      <c r="H63" s="14"/>
      <c r="I63" s="29"/>
      <c r="J63" s="14"/>
      <c r="S63" s="25"/>
      <c r="U63" s="14"/>
      <c r="V63" s="14"/>
      <c r="W63" s="14"/>
      <c r="X63" s="14"/>
      <c r="Y63" s="14"/>
      <c r="Z63" s="14"/>
      <c r="AA63" s="14"/>
    </row>
    <row r="64" spans="1:27" ht="14.25" customHeight="1" x14ac:dyDescent="0.35">
      <c r="H64" s="14"/>
      <c r="I64" s="29"/>
      <c r="J64" s="14"/>
      <c r="S64" s="25"/>
      <c r="U64" s="14"/>
      <c r="V64" s="14"/>
      <c r="W64" s="14"/>
      <c r="X64" s="14"/>
      <c r="Y64" s="14"/>
      <c r="Z64" s="14"/>
      <c r="AA64" s="14"/>
    </row>
    <row r="65" spans="1:27" ht="14.25" customHeight="1" x14ac:dyDescent="0.35">
      <c r="H65" s="23"/>
      <c r="I65" s="24"/>
      <c r="J65" s="14"/>
      <c r="S65" s="25"/>
      <c r="U65" s="14"/>
      <c r="V65" s="14"/>
      <c r="W65" s="14"/>
      <c r="X65" s="14"/>
      <c r="Y65" s="14"/>
      <c r="Z65" s="14"/>
      <c r="AA65" s="14"/>
    </row>
    <row r="66" spans="1:27" ht="14.25" customHeight="1" x14ac:dyDescent="0.35">
      <c r="I66" s="25"/>
      <c r="J66" s="14"/>
      <c r="S66" s="25"/>
      <c r="U66" s="14"/>
      <c r="V66" s="14"/>
      <c r="W66" s="14"/>
      <c r="X66" s="14"/>
      <c r="Y66" s="14"/>
      <c r="Z66" s="14"/>
      <c r="AA66" s="14"/>
    </row>
    <row r="67" spans="1:27" ht="14.25" customHeight="1" x14ac:dyDescent="0.35">
      <c r="I67" s="25"/>
      <c r="J67" s="23"/>
      <c r="S67" s="25"/>
      <c r="U67" s="14"/>
      <c r="V67" s="14"/>
      <c r="W67" s="14"/>
      <c r="X67" s="14"/>
      <c r="Y67" s="14"/>
      <c r="Z67" s="14"/>
      <c r="AA67" s="14"/>
    </row>
    <row r="68" spans="1:27" ht="14.25" customHeight="1" x14ac:dyDescent="0.35">
      <c r="I68" s="25"/>
      <c r="S68" s="25"/>
      <c r="U68" s="14"/>
      <c r="V68" s="14"/>
      <c r="W68" s="14"/>
      <c r="X68" s="14"/>
      <c r="Y68" s="14"/>
      <c r="Z68" s="14"/>
      <c r="AA68" s="14"/>
    </row>
    <row r="69" spans="1:27" ht="14.25" customHeight="1" x14ac:dyDescent="0.35">
      <c r="I69" s="25"/>
      <c r="S69" s="25"/>
      <c r="U69" s="14"/>
      <c r="V69" s="14"/>
      <c r="W69" s="14"/>
      <c r="X69" s="14"/>
      <c r="Y69" s="14"/>
      <c r="Z69" s="14"/>
      <c r="AA69" s="14"/>
    </row>
    <row r="70" spans="1:27" ht="14.25" customHeight="1" x14ac:dyDescent="0.35">
      <c r="I70" s="25"/>
      <c r="S70" s="25"/>
      <c r="U70" s="14"/>
      <c r="V70" s="14"/>
      <c r="W70" s="14"/>
      <c r="X70" s="14"/>
      <c r="Y70" s="14"/>
      <c r="Z70" s="14"/>
      <c r="AA70" s="14"/>
    </row>
    <row r="71" spans="1:27" ht="14.25" customHeight="1" x14ac:dyDescent="0.35">
      <c r="I71" s="25"/>
      <c r="S71" s="25"/>
      <c r="U71" s="14"/>
      <c r="V71" s="14"/>
      <c r="W71" s="14"/>
      <c r="X71" s="14"/>
      <c r="Y71" s="14"/>
      <c r="Z71" s="14"/>
      <c r="AA71" s="14"/>
    </row>
    <row r="72" spans="1:27" ht="14.25" customHeight="1" x14ac:dyDescent="0.35">
      <c r="I72" s="25"/>
      <c r="K72" s="23"/>
      <c r="L72" s="14"/>
      <c r="M72" s="14"/>
      <c r="N72" s="23"/>
      <c r="O72" s="23"/>
      <c r="P72" s="23"/>
      <c r="Q72" s="23"/>
      <c r="S72" s="25"/>
      <c r="U72" s="14"/>
      <c r="V72" s="14"/>
      <c r="W72" s="14"/>
      <c r="X72" s="14"/>
      <c r="Y72" s="14"/>
      <c r="Z72" s="14"/>
      <c r="AA72" s="14"/>
    </row>
    <row r="73" spans="1:27" ht="14.25" customHeight="1"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14.25" customHeight="1" x14ac:dyDescent="0.35">
      <c r="I74" s="25"/>
      <c r="S74" s="25"/>
    </row>
    <row r="75" spans="1:27" ht="14.25" customHeight="1" x14ac:dyDescent="0.35">
      <c r="I75" s="25"/>
      <c r="S75" s="25"/>
    </row>
    <row r="76" spans="1:27" ht="14.25" customHeight="1" x14ac:dyDescent="0.35">
      <c r="A76" s="22" t="s">
        <v>59</v>
      </c>
      <c r="B76" s="22" t="s">
        <v>60</v>
      </c>
      <c r="C76" s="22" t="s">
        <v>61</v>
      </c>
      <c r="D76" s="22" t="s">
        <v>62</v>
      </c>
      <c r="E76" s="22" t="s">
        <v>63</v>
      </c>
      <c r="F76" s="22" t="s">
        <v>64</v>
      </c>
      <c r="G76" s="22" t="s">
        <v>65</v>
      </c>
      <c r="H76" s="23"/>
      <c r="I76" s="24"/>
      <c r="J76" s="23"/>
      <c r="K76" s="22" t="s">
        <v>59</v>
      </c>
      <c r="L76" s="22" t="s">
        <v>60</v>
      </c>
      <c r="M76" s="22" t="s">
        <v>61</v>
      </c>
      <c r="N76" s="22" t="s">
        <v>62</v>
      </c>
      <c r="O76" s="22" t="s">
        <v>63</v>
      </c>
      <c r="P76" s="22" t="s">
        <v>64</v>
      </c>
      <c r="Q76" s="22" t="s">
        <v>65</v>
      </c>
      <c r="S76" s="25"/>
      <c r="U76" s="22" t="s">
        <v>59</v>
      </c>
      <c r="V76" s="22" t="s">
        <v>60</v>
      </c>
      <c r="W76" s="22" t="s">
        <v>61</v>
      </c>
      <c r="X76" s="22" t="s">
        <v>62</v>
      </c>
      <c r="Y76" s="22" t="s">
        <v>63</v>
      </c>
      <c r="Z76" s="22" t="s">
        <v>64</v>
      </c>
      <c r="AA76" s="22" t="s">
        <v>65</v>
      </c>
    </row>
    <row r="77" spans="1:27" ht="14.25" customHeight="1" x14ac:dyDescent="0.35">
      <c r="A77" s="30">
        <v>19</v>
      </c>
      <c r="B77" s="42">
        <v>18250</v>
      </c>
      <c r="C77" s="42">
        <f>'4. ish zad 19'!B28</f>
        <v>18250</v>
      </c>
      <c r="D77" s="27">
        <f>IF(ROUND(B77,4)=ROUND(C77,4),1,0)</f>
        <v>1</v>
      </c>
      <c r="E77" s="28"/>
      <c r="F77" s="27">
        <f t="shared" ref="F77:F81" si="16">IF(ISBLANK(E77),D77,E77)</f>
        <v>1</v>
      </c>
      <c r="G77" s="27" t="s">
        <v>67</v>
      </c>
      <c r="H77" s="14"/>
      <c r="I77" s="29"/>
      <c r="J77" s="14"/>
      <c r="K77" s="30">
        <v>20</v>
      </c>
      <c r="L77" s="26">
        <v>292</v>
      </c>
      <c r="M77" s="26">
        <f>'4. ish zad 20'!B15</f>
        <v>292</v>
      </c>
      <c r="N77" s="27">
        <f>IF(ROUND(L77,2)=ROUND(M77,2),1,0)</f>
        <v>1</v>
      </c>
      <c r="O77" s="28"/>
      <c r="P77" s="27">
        <f t="shared" ref="P77:P86" si="17">IF(ISBLANK(O77),N77,O77)</f>
        <v>1</v>
      </c>
      <c r="Q77" s="27" t="s">
        <v>67</v>
      </c>
      <c r="S77" s="25"/>
      <c r="U77" s="22">
        <v>21</v>
      </c>
      <c r="V77" s="31" t="s">
        <v>77</v>
      </c>
      <c r="W77" s="31" t="s">
        <v>77</v>
      </c>
      <c r="X77" s="44"/>
      <c r="Y77" s="45"/>
      <c r="Z77" s="27">
        <f t="shared" ref="Z77:Z83" si="18">IF(ISBLANK(Y77),X77,Y77)</f>
        <v>0</v>
      </c>
      <c r="AA77" s="27" t="s">
        <v>67</v>
      </c>
    </row>
    <row r="78" spans="1:27" ht="14.25" customHeight="1" x14ac:dyDescent="0.35">
      <c r="B78" s="27">
        <v>2015</v>
      </c>
      <c r="C78" s="27">
        <f>'4. ish zad 19'!E13</f>
        <v>2015</v>
      </c>
      <c r="D78" s="27">
        <f>IF(ROUND(B78,2)=ROUND(C78,2),1,0)</f>
        <v>1</v>
      </c>
      <c r="E78" s="28"/>
      <c r="F78" s="27">
        <f t="shared" si="16"/>
        <v>1</v>
      </c>
      <c r="G78" s="27" t="s">
        <v>67</v>
      </c>
      <c r="H78" s="14"/>
      <c r="I78" s="29"/>
      <c r="J78" s="14"/>
      <c r="L78" s="31" t="s">
        <v>77</v>
      </c>
      <c r="M78" s="31" t="s">
        <v>77</v>
      </c>
      <c r="N78" s="44"/>
      <c r="O78" s="45"/>
      <c r="P78" s="27">
        <f t="shared" si="17"/>
        <v>0</v>
      </c>
      <c r="Q78" s="27" t="s">
        <v>67</v>
      </c>
      <c r="S78" s="25"/>
      <c r="U78" s="14"/>
      <c r="V78" s="27" t="s">
        <v>78</v>
      </c>
      <c r="W78" s="31" t="str">
        <f>'4. ish zad 21'!C28</f>
        <v>y = 605,76x-83043</v>
      </c>
      <c r="X78" s="44">
        <f t="shared" ref="X78:X79" si="19">IF(V78=W78,0.5,0)</f>
        <v>0.5</v>
      </c>
      <c r="Y78" s="45"/>
      <c r="Z78" s="27">
        <f t="shared" si="18"/>
        <v>0.5</v>
      </c>
      <c r="AA78" s="27" t="s">
        <v>72</v>
      </c>
    </row>
    <row r="79" spans="1:27" ht="14.25" customHeight="1" x14ac:dyDescent="0.35">
      <c r="B79" s="31" t="s">
        <v>77</v>
      </c>
      <c r="C79" s="31" t="s">
        <v>77</v>
      </c>
      <c r="D79" s="44"/>
      <c r="E79" s="45"/>
      <c r="F79" s="27">
        <f t="shared" si="16"/>
        <v>0</v>
      </c>
      <c r="G79" s="27" t="s">
        <v>67</v>
      </c>
      <c r="H79" s="14"/>
      <c r="I79" s="29"/>
      <c r="J79" s="14"/>
      <c r="L79" s="27" t="s">
        <v>79</v>
      </c>
      <c r="M79" s="27" t="str">
        <f>'4. ish zad 20'!B21</f>
        <v>dan 4</v>
      </c>
      <c r="N79" s="44">
        <f>IF(L79=M79,1,0)</f>
        <v>1</v>
      </c>
      <c r="O79" s="45"/>
      <c r="P79" s="27">
        <f t="shared" si="17"/>
        <v>1</v>
      </c>
      <c r="Q79" s="27" t="s">
        <v>67</v>
      </c>
      <c r="S79" s="25"/>
      <c r="U79" s="14"/>
      <c r="V79" s="27" t="s">
        <v>80</v>
      </c>
      <c r="W79" s="31" t="str">
        <f>'4. ish zad 21'!C29</f>
        <v>y = 46821e^0,0029x</v>
      </c>
      <c r="X79" s="44">
        <f t="shared" si="19"/>
        <v>0.5</v>
      </c>
      <c r="Y79" s="45"/>
      <c r="Z79" s="27">
        <f t="shared" si="18"/>
        <v>0.5</v>
      </c>
      <c r="AA79" s="27" t="s">
        <v>72</v>
      </c>
    </row>
    <row r="80" spans="1:27" ht="14.25" customHeight="1" x14ac:dyDescent="0.35">
      <c r="B80" s="42">
        <v>12850</v>
      </c>
      <c r="C80" s="42">
        <f>'4. ish zad 19'!B40</f>
        <v>12850</v>
      </c>
      <c r="D80" s="27">
        <f>IF(ROUND(B80,2)=ROUND(C80,2),1,0)</f>
        <v>1</v>
      </c>
      <c r="E80" s="28"/>
      <c r="F80" s="27">
        <f t="shared" si="16"/>
        <v>1</v>
      </c>
      <c r="G80" s="27" t="s">
        <v>67</v>
      </c>
      <c r="H80" s="14"/>
      <c r="I80" s="29"/>
      <c r="J80" s="14"/>
      <c r="L80" s="26">
        <v>325</v>
      </c>
      <c r="M80" s="26">
        <f>'4. ish zad 20'!B25</f>
        <v>325</v>
      </c>
      <c r="N80" s="27">
        <f>IF(ROUND(L80,2)=ROUND(M80,2),1,0)</f>
        <v>1</v>
      </c>
      <c r="O80" s="28"/>
      <c r="P80" s="27">
        <f t="shared" si="17"/>
        <v>1</v>
      </c>
      <c r="Q80" s="27" t="s">
        <v>67</v>
      </c>
      <c r="S80" s="25"/>
      <c r="U80" s="14"/>
      <c r="V80" s="31" t="s">
        <v>81</v>
      </c>
      <c r="W80" s="31" t="str">
        <f>'4. ish zad 21'!B31</f>
        <v>eksponencijalni model</v>
      </c>
      <c r="X80" s="44">
        <f>IF(V80=W80,1,0)</f>
        <v>1</v>
      </c>
      <c r="Y80" s="45"/>
      <c r="Z80" s="27">
        <f t="shared" si="18"/>
        <v>1</v>
      </c>
      <c r="AA80" s="27" t="s">
        <v>67</v>
      </c>
    </row>
    <row r="81" spans="1:27" ht="14.25" customHeight="1" x14ac:dyDescent="0.35">
      <c r="B81" s="37">
        <v>13240.845046338562</v>
      </c>
      <c r="C81" s="37">
        <f>'4. ish zad 19'!B52</f>
        <v>13240.845046338562</v>
      </c>
      <c r="D81" s="27">
        <f>IF(ROUND(B81,0)=ROUND(C81,0),2,0)</f>
        <v>2</v>
      </c>
      <c r="E81" s="28"/>
      <c r="F81" s="27">
        <f t="shared" si="16"/>
        <v>2</v>
      </c>
      <c r="G81" s="27" t="s">
        <v>75</v>
      </c>
      <c r="H81" s="14"/>
      <c r="I81" s="29"/>
      <c r="J81" s="14"/>
      <c r="L81" s="35">
        <v>8.4210526315789513E-2</v>
      </c>
      <c r="M81" s="35">
        <f>'4. ish zad 20'!B29</f>
        <v>8.4210526315789513E-2</v>
      </c>
      <c r="N81" s="27">
        <f>IF(ROUND(L81,4)=ROUND(M81,4),1,0)</f>
        <v>1</v>
      </c>
      <c r="O81" s="28"/>
      <c r="P81" s="27">
        <f t="shared" si="17"/>
        <v>1</v>
      </c>
      <c r="Q81" s="27" t="s">
        <v>67</v>
      </c>
      <c r="S81" s="25"/>
      <c r="U81" s="14"/>
      <c r="V81" s="31" t="s">
        <v>82</v>
      </c>
      <c r="W81" s="31" t="s">
        <v>82</v>
      </c>
      <c r="X81" s="44"/>
      <c r="Y81" s="45"/>
      <c r="Z81" s="27">
        <f t="shared" si="18"/>
        <v>0</v>
      </c>
      <c r="AA81" s="27" t="s">
        <v>67</v>
      </c>
    </row>
    <row r="82" spans="1:27" ht="14.25" customHeight="1" x14ac:dyDescent="0.35">
      <c r="A82" s="30" t="s">
        <v>69</v>
      </c>
      <c r="B82" s="27"/>
      <c r="C82" s="27"/>
      <c r="D82" s="22"/>
      <c r="E82" s="36"/>
      <c r="F82" s="22">
        <f>SUM(F77:F81)</f>
        <v>5</v>
      </c>
      <c r="G82" s="22" t="s">
        <v>76</v>
      </c>
      <c r="H82" s="14"/>
      <c r="I82" s="29"/>
      <c r="J82" s="14"/>
      <c r="L82" s="37">
        <v>3904</v>
      </c>
      <c r="M82" s="37">
        <f>'4. ish zad 20'!B35</f>
        <v>3904</v>
      </c>
      <c r="N82" s="27">
        <f>IF(ROUND(L82,2)=ROUND(M82,2),1,0)</f>
        <v>1</v>
      </c>
      <c r="O82" s="28"/>
      <c r="P82" s="27">
        <f t="shared" si="17"/>
        <v>1</v>
      </c>
      <c r="Q82" s="27" t="s">
        <v>67</v>
      </c>
      <c r="S82" s="25"/>
      <c r="U82" s="14"/>
      <c r="V82" s="31" t="s">
        <v>82</v>
      </c>
      <c r="W82" s="31" t="s">
        <v>82</v>
      </c>
      <c r="X82" s="44"/>
      <c r="Y82" s="45"/>
      <c r="Z82" s="27">
        <f t="shared" si="18"/>
        <v>0</v>
      </c>
      <c r="AA82" s="27" t="s">
        <v>67</v>
      </c>
    </row>
    <row r="83" spans="1:27" ht="14.25" customHeight="1" x14ac:dyDescent="0.35">
      <c r="H83" s="14"/>
      <c r="I83" s="29"/>
      <c r="J83" s="14"/>
      <c r="L83" s="37">
        <v>14.080332901208871</v>
      </c>
      <c r="M83" s="37">
        <f>'4. ish zad 20'!B39</f>
        <v>14.080332901208871</v>
      </c>
      <c r="N83" s="27">
        <f>IF(OR(ROUND(L83,2)=ROUND(M83,2),ROUND(L84,2)=ROUND(M83,2)),0.5,0)</f>
        <v>0.5</v>
      </c>
      <c r="O83" s="28"/>
      <c r="P83" s="27">
        <f t="shared" si="17"/>
        <v>0.5</v>
      </c>
      <c r="Q83" s="27" t="s">
        <v>72</v>
      </c>
      <c r="S83" s="25"/>
      <c r="V83" s="26">
        <v>160586.3525856635</v>
      </c>
      <c r="W83" s="26">
        <f>'4. ish zad 21'!B37</f>
        <v>160586.3525856635</v>
      </c>
      <c r="X83" s="27">
        <f>IF(ROUND(V83,2)=ROUND(W83,2),1,0)</f>
        <v>1</v>
      </c>
      <c r="Y83" s="28"/>
      <c r="Z83" s="27">
        <f t="shared" si="18"/>
        <v>1</v>
      </c>
      <c r="AA83" s="27" t="s">
        <v>67</v>
      </c>
    </row>
    <row r="84" spans="1:27" ht="14.25" customHeight="1" x14ac:dyDescent="0.35">
      <c r="H84" s="14"/>
      <c r="I84" s="29"/>
      <c r="J84" s="14"/>
      <c r="L84" s="37">
        <v>-6.7469995678755383</v>
      </c>
      <c r="M84" s="37">
        <f>'4. ish zad 20'!B40</f>
        <v>-6.7469995678755383</v>
      </c>
      <c r="N84" s="27">
        <f>IF(OR(ROUND(L84,2)=ROUND(M84,2),ROUND(L83,2)=ROUND(M84,2)),0.5,0)</f>
        <v>0.5</v>
      </c>
      <c r="O84" s="28"/>
      <c r="P84" s="27">
        <f t="shared" si="17"/>
        <v>0.5</v>
      </c>
      <c r="Q84" s="27" t="s">
        <v>72</v>
      </c>
      <c r="S84" s="25"/>
      <c r="U84" s="22" t="s">
        <v>69</v>
      </c>
      <c r="V84" s="27"/>
      <c r="W84" s="27"/>
      <c r="X84" s="22"/>
      <c r="Y84" s="36"/>
      <c r="Z84" s="22">
        <f>SUM(Z77:Z83)</f>
        <v>3</v>
      </c>
      <c r="AA84" s="22" t="s">
        <v>76</v>
      </c>
    </row>
    <row r="85" spans="1:27" ht="14.25" customHeight="1" x14ac:dyDescent="0.35">
      <c r="H85" s="14"/>
      <c r="I85" s="29"/>
      <c r="J85" s="14"/>
      <c r="L85" s="31" t="s">
        <v>82</v>
      </c>
      <c r="M85" s="31" t="s">
        <v>82</v>
      </c>
      <c r="N85" s="44"/>
      <c r="O85" s="45"/>
      <c r="P85" s="27">
        <f t="shared" si="17"/>
        <v>0</v>
      </c>
      <c r="Q85" s="27" t="s">
        <v>67</v>
      </c>
      <c r="S85" s="25"/>
    </row>
    <row r="86" spans="1:27" ht="14.25" customHeight="1" x14ac:dyDescent="0.35">
      <c r="H86" s="14"/>
      <c r="I86" s="29"/>
      <c r="J86" s="14"/>
      <c r="L86" s="31" t="s">
        <v>82</v>
      </c>
      <c r="M86" s="31" t="s">
        <v>82</v>
      </c>
      <c r="N86" s="44"/>
      <c r="O86" s="45"/>
      <c r="P86" s="27">
        <f t="shared" si="17"/>
        <v>0</v>
      </c>
      <c r="Q86" s="27" t="s">
        <v>67</v>
      </c>
      <c r="S86" s="25"/>
      <c r="U86" s="14"/>
      <c r="V86" s="14"/>
      <c r="W86" s="14"/>
      <c r="X86" s="14"/>
      <c r="Y86" s="14"/>
      <c r="Z86" s="14"/>
      <c r="AA86" s="14"/>
    </row>
    <row r="87" spans="1:27" ht="14.25" customHeight="1" x14ac:dyDescent="0.35">
      <c r="H87" s="23"/>
      <c r="I87" s="24"/>
      <c r="J87" s="14"/>
      <c r="K87" s="30" t="s">
        <v>69</v>
      </c>
      <c r="L87" s="27"/>
      <c r="M87" s="27"/>
      <c r="N87" s="22"/>
      <c r="O87" s="36"/>
      <c r="P87" s="22">
        <f>SUM(P77:P86)</f>
        <v>6</v>
      </c>
      <c r="Q87" s="22" t="s">
        <v>83</v>
      </c>
      <c r="S87" s="25"/>
      <c r="U87" s="14"/>
      <c r="V87" s="14"/>
      <c r="W87" s="14"/>
      <c r="X87" s="14"/>
      <c r="Y87" s="14"/>
      <c r="Z87" s="14"/>
      <c r="AA87" s="14"/>
    </row>
    <row r="88" spans="1:27" ht="14.25" customHeight="1" x14ac:dyDescent="0.35">
      <c r="I88" s="25"/>
      <c r="J88" s="14"/>
      <c r="S88" s="25"/>
      <c r="U88" s="14"/>
      <c r="V88" s="14"/>
      <c r="W88" s="14"/>
      <c r="X88" s="14"/>
      <c r="Y88" s="14"/>
      <c r="Z88" s="14"/>
      <c r="AA88" s="14"/>
    </row>
    <row r="89" spans="1:27" ht="14.25" customHeight="1" x14ac:dyDescent="0.35">
      <c r="I89" s="25"/>
      <c r="J89" s="23"/>
      <c r="S89" s="25"/>
      <c r="U89" s="14"/>
      <c r="V89" s="14"/>
      <c r="W89" s="14"/>
      <c r="X89" s="14"/>
      <c r="Y89" s="14"/>
      <c r="Z89" s="14"/>
      <c r="AA89" s="14"/>
    </row>
    <row r="90" spans="1:27" ht="14.25" customHeight="1" x14ac:dyDescent="0.35">
      <c r="I90" s="25"/>
      <c r="S90" s="25"/>
      <c r="U90" s="14"/>
      <c r="V90" s="14"/>
      <c r="W90" s="14"/>
      <c r="X90" s="14"/>
      <c r="Y90" s="14"/>
      <c r="Z90" s="14"/>
      <c r="AA90" s="14"/>
    </row>
    <row r="91" spans="1:27" ht="14.25" customHeight="1" x14ac:dyDescent="0.35">
      <c r="I91" s="25"/>
      <c r="S91" s="25"/>
      <c r="U91" s="14"/>
      <c r="V91" s="14"/>
      <c r="W91" s="14"/>
      <c r="X91" s="14"/>
      <c r="Y91" s="14"/>
      <c r="Z91" s="14"/>
      <c r="AA91" s="14"/>
    </row>
    <row r="92" spans="1:27" ht="14.25" customHeight="1" x14ac:dyDescent="0.35">
      <c r="I92" s="25"/>
      <c r="S92" s="25"/>
      <c r="U92" s="14"/>
      <c r="V92" s="14"/>
      <c r="W92" s="14"/>
      <c r="X92" s="14"/>
      <c r="Y92" s="14"/>
      <c r="Z92" s="14"/>
      <c r="AA92" s="14"/>
    </row>
    <row r="93" spans="1:27" ht="14.25" customHeight="1" x14ac:dyDescent="0.35">
      <c r="I93" s="25"/>
      <c r="S93" s="25"/>
      <c r="U93" s="14"/>
      <c r="V93" s="14"/>
      <c r="W93" s="14"/>
      <c r="X93" s="14"/>
      <c r="Y93" s="14"/>
      <c r="Z93" s="14"/>
      <c r="AA93" s="14"/>
    </row>
    <row r="94" spans="1:27" ht="14.25" customHeight="1" x14ac:dyDescent="0.35">
      <c r="I94" s="25"/>
      <c r="K94" s="23"/>
      <c r="L94" s="14"/>
      <c r="M94" s="14"/>
      <c r="N94" s="23"/>
      <c r="O94" s="23"/>
      <c r="P94" s="23"/>
      <c r="Q94" s="23"/>
      <c r="S94" s="25"/>
      <c r="U94" s="14"/>
      <c r="V94" s="14"/>
      <c r="W94" s="14"/>
      <c r="X94" s="14"/>
      <c r="Y94" s="14"/>
      <c r="Z94" s="14"/>
      <c r="AA94" s="14"/>
    </row>
    <row r="95" spans="1:27" ht="14.25" customHeight="1" x14ac:dyDescent="0.35">
      <c r="A95" s="25"/>
      <c r="B95" s="25"/>
      <c r="C95" s="25"/>
      <c r="D95" s="25"/>
      <c r="E95" s="25"/>
      <c r="F95" s="25"/>
      <c r="G95" s="25"/>
      <c r="H95" s="25"/>
      <c r="I95" s="24"/>
      <c r="J95" s="29"/>
      <c r="K95" s="29"/>
      <c r="L95" s="24"/>
      <c r="M95" s="24"/>
      <c r="N95" s="24"/>
      <c r="O95" s="24"/>
      <c r="P95" s="25"/>
      <c r="Q95" s="25"/>
      <c r="R95" s="25"/>
      <c r="S95" s="25"/>
      <c r="T95" s="25"/>
      <c r="U95" s="25"/>
      <c r="V95" s="25"/>
      <c r="W95" s="25"/>
      <c r="X95" s="25"/>
      <c r="Y95" s="25"/>
      <c r="Z95" s="25"/>
      <c r="AA95" s="25"/>
    </row>
    <row r="96" spans="1:27"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H1:Q1"/>
    <mergeCell ref="R1:U1"/>
    <mergeCell ref="V1:Y1"/>
    <mergeCell ref="Z1:AB1"/>
  </mergeCells>
  <phoneticPr fontId="25" type="noConversion"/>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1000"/>
  <sheetViews>
    <sheetView workbookViewId="0"/>
  </sheetViews>
  <sheetFormatPr defaultColWidth="14.453125" defaultRowHeight="15" customHeight="1" x14ac:dyDescent="0.35"/>
  <cols>
    <col min="1" max="1" width="11.6328125" customWidth="1"/>
    <col min="2" max="2" width="13.6328125" customWidth="1"/>
    <col min="3" max="3" width="18.453125" customWidth="1"/>
    <col min="4" max="4" width="12.6328125" customWidth="1"/>
    <col min="5" max="5" width="11.453125" customWidth="1"/>
    <col min="6" max="10" width="8.6328125" customWidth="1"/>
    <col min="11" max="11" width="14.6328125" customWidth="1"/>
    <col min="12" max="26" width="8.6328125" customWidth="1"/>
  </cols>
  <sheetData>
    <row r="1" spans="1:12" ht="14.25" customHeight="1" x14ac:dyDescent="0.35">
      <c r="A1" s="3" t="s">
        <v>84</v>
      </c>
    </row>
    <row r="2" spans="1:12" ht="14.25" customHeight="1" x14ac:dyDescent="0.35">
      <c r="H2" s="47"/>
    </row>
    <row r="3" spans="1:12" ht="14.25" customHeight="1" x14ac:dyDescent="0.35">
      <c r="C3" s="48">
        <f>1.3*1.09</f>
        <v>1.4170000000000003</v>
      </c>
      <c r="D3" s="49" t="s">
        <v>85</v>
      </c>
    </row>
    <row r="4" spans="1:12" ht="14.25" customHeight="1" x14ac:dyDescent="0.35"/>
    <row r="5" spans="1:12" ht="15" customHeight="1" x14ac:dyDescent="0.35">
      <c r="B5" s="50"/>
      <c r="C5" s="50"/>
      <c r="D5" s="50"/>
      <c r="E5" s="50"/>
      <c r="F5" s="50"/>
      <c r="G5" s="50"/>
      <c r="H5" s="50"/>
      <c r="I5" s="50"/>
      <c r="J5" s="50"/>
      <c r="K5" s="50"/>
    </row>
    <row r="6" spans="1:12" ht="14.25" customHeight="1" x14ac:dyDescent="0.35">
      <c r="A6" s="51" t="s">
        <v>86</v>
      </c>
      <c r="B6" s="50"/>
      <c r="C6" s="50"/>
      <c r="D6" s="50"/>
      <c r="E6" s="50"/>
      <c r="F6" s="50"/>
      <c r="G6" s="50"/>
      <c r="H6" s="50"/>
      <c r="I6" s="50"/>
      <c r="J6" s="50"/>
      <c r="K6" s="50"/>
    </row>
    <row r="7" spans="1:12" ht="14.25" customHeight="1" x14ac:dyDescent="0.35">
      <c r="A7" s="52"/>
      <c r="B7" s="52"/>
      <c r="C7" s="52"/>
      <c r="D7" s="52"/>
      <c r="E7" s="52"/>
      <c r="F7" s="52"/>
      <c r="G7" s="52"/>
      <c r="H7" s="52"/>
      <c r="I7" s="52"/>
      <c r="J7" s="52"/>
      <c r="K7" s="52"/>
    </row>
    <row r="8" spans="1:12" ht="14.25" customHeight="1" x14ac:dyDescent="0.35">
      <c r="C8" s="53">
        <f>2130/2375-1</f>
        <v>-0.10315789473684212</v>
      </c>
      <c r="D8" s="49" t="s">
        <v>85</v>
      </c>
      <c r="F8" s="47"/>
    </row>
    <row r="9" spans="1:12" ht="14.25" customHeight="1" x14ac:dyDescent="0.35">
      <c r="D9" s="49"/>
      <c r="F9" s="47"/>
    </row>
    <row r="10" spans="1:12" ht="14.25" customHeight="1" x14ac:dyDescent="0.35"/>
    <row r="11" spans="1:12" ht="14.25" customHeight="1" x14ac:dyDescent="0.35">
      <c r="A11" s="3" t="s">
        <v>87</v>
      </c>
      <c r="E11" s="54"/>
      <c r="F11" s="54"/>
      <c r="G11" s="54"/>
      <c r="H11" s="54"/>
      <c r="I11" s="54"/>
      <c r="J11" s="54"/>
      <c r="K11" s="54"/>
      <c r="L11" s="54"/>
    </row>
    <row r="12" spans="1:12" ht="14.25" customHeight="1" x14ac:dyDescent="0.35">
      <c r="E12" s="54"/>
      <c r="F12" s="54"/>
      <c r="G12" s="54"/>
      <c r="H12" s="54"/>
      <c r="I12" s="54"/>
      <c r="J12" s="54"/>
      <c r="K12" s="54"/>
      <c r="L12" s="54"/>
    </row>
    <row r="13" spans="1:12" ht="14.25" customHeight="1" x14ac:dyDescent="0.35">
      <c r="C13" s="53">
        <f>13850/12000</f>
        <v>1.1541666666666666</v>
      </c>
      <c r="D13" s="49" t="s">
        <v>85</v>
      </c>
    </row>
    <row r="14" spans="1:12" ht="14.25" customHeight="1" x14ac:dyDescent="0.35"/>
    <row r="15" spans="1:12" ht="14.25" customHeight="1" x14ac:dyDescent="0.35"/>
    <row r="16" spans="1:12" ht="14.25" customHeight="1" x14ac:dyDescent="0.35">
      <c r="A16" s="3" t="s">
        <v>88</v>
      </c>
    </row>
    <row r="17" spans="1:11" ht="14.25" customHeight="1" x14ac:dyDescent="0.35"/>
    <row r="18" spans="1:11" ht="14.25" customHeight="1" x14ac:dyDescent="0.35">
      <c r="C18" s="53">
        <f>39/41-1</f>
        <v>-4.8780487804878092E-2</v>
      </c>
      <c r="D18" s="49" t="s">
        <v>85</v>
      </c>
    </row>
    <row r="19" spans="1:11" ht="14.25" customHeight="1" x14ac:dyDescent="0.35">
      <c r="D19" s="49"/>
    </row>
    <row r="20" spans="1:11" ht="14.25" customHeight="1" x14ac:dyDescent="0.35"/>
    <row r="21" spans="1:11" ht="14.25" customHeight="1" x14ac:dyDescent="0.35">
      <c r="A21" s="3" t="s">
        <v>89</v>
      </c>
    </row>
    <row r="22" spans="1:11" ht="14.25" customHeight="1" x14ac:dyDescent="0.35"/>
    <row r="23" spans="1:11" ht="14.25" customHeight="1" x14ac:dyDescent="0.35">
      <c r="C23" s="48">
        <f>1.1*1.05</f>
        <v>1.1550000000000002</v>
      </c>
      <c r="D23" s="49" t="s">
        <v>85</v>
      </c>
    </row>
    <row r="24" spans="1:11" ht="14.25" customHeight="1" x14ac:dyDescent="0.35">
      <c r="D24" s="49"/>
    </row>
    <row r="25" spans="1:11" ht="14.25" customHeight="1" x14ac:dyDescent="0.35"/>
    <row r="26" spans="1:11" ht="14.25" customHeight="1" x14ac:dyDescent="0.35">
      <c r="A26" s="55" t="s">
        <v>263</v>
      </c>
    </row>
    <row r="27" spans="1:11" ht="14.25" customHeight="1" x14ac:dyDescent="0.35"/>
    <row r="28" spans="1:11" ht="14.25" customHeight="1" x14ac:dyDescent="0.35">
      <c r="C28" s="48">
        <f>33/1.25</f>
        <v>26.4</v>
      </c>
      <c r="D28" s="49" t="s">
        <v>85</v>
      </c>
    </row>
    <row r="29" spans="1:11" ht="14.25" customHeight="1" x14ac:dyDescent="0.35">
      <c r="C29" s="55"/>
    </row>
    <row r="30" spans="1:11" ht="14.25" customHeight="1" x14ac:dyDescent="0.35"/>
    <row r="31" spans="1:11" ht="14.25" customHeight="1" x14ac:dyDescent="0.35">
      <c r="A31" s="198" t="s">
        <v>90</v>
      </c>
      <c r="B31" s="199"/>
      <c r="C31" s="199"/>
      <c r="D31" s="199"/>
      <c r="E31" s="199"/>
      <c r="F31" s="199"/>
      <c r="G31" s="199"/>
      <c r="H31" s="199"/>
      <c r="I31" s="199"/>
      <c r="J31" s="199"/>
      <c r="K31" s="199"/>
    </row>
    <row r="32" spans="1:11" ht="14.25" customHeight="1" x14ac:dyDescent="0.35">
      <c r="A32" s="199"/>
      <c r="B32" s="199"/>
      <c r="C32" s="199"/>
      <c r="D32" s="199"/>
      <c r="E32" s="199"/>
      <c r="F32" s="199"/>
      <c r="G32" s="199"/>
      <c r="H32" s="199"/>
      <c r="I32" s="199"/>
      <c r="J32" s="199"/>
      <c r="K32" s="199"/>
    </row>
    <row r="33" spans="1:11" ht="14.25" customHeight="1" x14ac:dyDescent="0.35">
      <c r="A33" s="199"/>
      <c r="B33" s="199"/>
      <c r="C33" s="199"/>
      <c r="D33" s="199"/>
      <c r="E33" s="199"/>
      <c r="F33" s="199"/>
      <c r="G33" s="199"/>
      <c r="H33" s="199"/>
      <c r="I33" s="199"/>
      <c r="J33" s="199"/>
      <c r="K33" s="199"/>
    </row>
    <row r="34" spans="1:11" ht="14.25" customHeight="1" x14ac:dyDescent="0.35">
      <c r="C34" s="56">
        <f>ROUNDDOWN(2300/0.55,0)</f>
        <v>4181</v>
      </c>
      <c r="D34" s="56"/>
      <c r="E34" s="49" t="s">
        <v>85</v>
      </c>
    </row>
    <row r="35" spans="1:11" ht="14.25" customHeight="1" x14ac:dyDescent="0.35">
      <c r="E35" s="49"/>
    </row>
    <row r="36" spans="1:11" ht="14.25" customHeight="1" x14ac:dyDescent="0.35"/>
    <row r="37" spans="1:11" ht="14.25" customHeight="1" x14ac:dyDescent="0.35">
      <c r="A37" s="55" t="s">
        <v>91</v>
      </c>
    </row>
    <row r="38" spans="1:11" ht="14.25" customHeight="1" x14ac:dyDescent="0.35"/>
    <row r="39" spans="1:11" ht="14.25" customHeight="1" x14ac:dyDescent="0.35">
      <c r="C39" s="53">
        <f>84/C34</f>
        <v>2.0090887347524514E-2</v>
      </c>
      <c r="D39" s="56"/>
      <c r="E39" s="49" t="s">
        <v>85</v>
      </c>
    </row>
    <row r="40" spans="1:11" ht="14.25" customHeight="1" x14ac:dyDescent="0.35"/>
    <row r="41" spans="1:11" ht="14.25" customHeight="1" x14ac:dyDescent="0.35"/>
    <row r="42" spans="1:11" ht="14.25" customHeight="1" x14ac:dyDescent="0.35">
      <c r="A42" s="57" t="s">
        <v>92</v>
      </c>
      <c r="B42" s="57"/>
      <c r="C42" s="57"/>
      <c r="D42" s="57"/>
      <c r="E42" s="57"/>
      <c r="F42" s="57"/>
      <c r="G42" s="57"/>
      <c r="H42" s="57"/>
      <c r="I42" s="57"/>
    </row>
    <row r="43" spans="1:11" ht="14.25" customHeight="1" x14ac:dyDescent="0.35"/>
    <row r="44" spans="1:11" ht="14.25" customHeight="1" x14ac:dyDescent="0.35">
      <c r="C44" s="53">
        <f>C34/47535</f>
        <v>8.7956242768486376E-2</v>
      </c>
      <c r="D44" s="56"/>
      <c r="E44" s="49" t="s">
        <v>85</v>
      </c>
    </row>
    <row r="45" spans="1:11" ht="14.25" customHeight="1" x14ac:dyDescent="0.35">
      <c r="C45" s="58"/>
      <c r="E45" s="49"/>
    </row>
    <row r="46" spans="1:11" ht="14.25" customHeight="1" x14ac:dyDescent="0.35"/>
    <row r="47" spans="1:11" ht="14.25" customHeight="1" x14ac:dyDescent="0.35">
      <c r="A47" s="198" t="s">
        <v>93</v>
      </c>
      <c r="B47" s="199"/>
      <c r="C47" s="199"/>
      <c r="D47" s="199"/>
      <c r="E47" s="199"/>
      <c r="F47" s="199"/>
      <c r="G47" s="199"/>
      <c r="H47" s="199"/>
      <c r="I47" s="199"/>
      <c r="J47" s="199"/>
    </row>
    <row r="48" spans="1:11" ht="14.25" customHeight="1" x14ac:dyDescent="0.35">
      <c r="A48" s="199"/>
      <c r="B48" s="199"/>
      <c r="C48" s="199"/>
      <c r="D48" s="199"/>
      <c r="E48" s="199"/>
      <c r="F48" s="199"/>
      <c r="G48" s="199"/>
      <c r="H48" s="199"/>
      <c r="I48" s="199"/>
      <c r="J48" s="199"/>
    </row>
    <row r="49" spans="3:5" ht="14.25" customHeight="1" x14ac:dyDescent="0.35"/>
    <row r="50" spans="3:5" ht="14.25" customHeight="1" x14ac:dyDescent="0.35">
      <c r="C50" s="53">
        <f>(215*84)/14050-1</f>
        <v>0.28540925266903905</v>
      </c>
      <c r="D50" s="56"/>
      <c r="E50" s="49" t="s">
        <v>85</v>
      </c>
    </row>
    <row r="51" spans="3:5" ht="14.25" customHeight="1" x14ac:dyDescent="0.35"/>
    <row r="52" spans="3:5" ht="14.25" customHeight="1" x14ac:dyDescent="0.35"/>
    <row r="53" spans="3:5" ht="14.25" customHeight="1" x14ac:dyDescent="0.35"/>
    <row r="54" spans="3:5" ht="14.25" customHeight="1" x14ac:dyDescent="0.35"/>
    <row r="55" spans="3:5" ht="14.25" customHeight="1" x14ac:dyDescent="0.35"/>
    <row r="56" spans="3:5" ht="14.25" customHeight="1" x14ac:dyDescent="0.35"/>
    <row r="57" spans="3:5" ht="14.25" customHeight="1" x14ac:dyDescent="0.35"/>
    <row r="58" spans="3:5" ht="14.25" customHeight="1" x14ac:dyDescent="0.35"/>
    <row r="59" spans="3:5" ht="14.25" customHeight="1" x14ac:dyDescent="0.35"/>
    <row r="60" spans="3:5" ht="14.25" customHeight="1" x14ac:dyDescent="0.35"/>
    <row r="61" spans="3:5" ht="14.25" customHeight="1" x14ac:dyDescent="0.35"/>
    <row r="62" spans="3:5" ht="14.25" customHeight="1" x14ac:dyDescent="0.35"/>
    <row r="63" spans="3:5" ht="14.25" customHeight="1" x14ac:dyDescent="0.35"/>
    <row r="64" spans="3: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
    <mergeCell ref="A31:K33"/>
    <mergeCell ref="A47:J48"/>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3CB1-540B-4FB8-AE6A-CB0308229298}">
  <dimension ref="A1:Z1000"/>
  <sheetViews>
    <sheetView workbookViewId="0">
      <selection activeCell="C10" sqref="C10:C25"/>
    </sheetView>
  </sheetViews>
  <sheetFormatPr defaultColWidth="14.453125" defaultRowHeight="15" customHeight="1" x14ac:dyDescent="0.35"/>
  <cols>
    <col min="1" max="1" width="19.6328125" style="130" customWidth="1"/>
    <col min="2" max="2" width="24.36328125" style="130" customWidth="1"/>
    <col min="3" max="4" width="15.6328125" style="130" customWidth="1"/>
    <col min="5" max="5" width="18.36328125" style="130" customWidth="1"/>
    <col min="6" max="6" width="13.36328125" style="130" customWidth="1"/>
    <col min="7" max="7" width="8.6328125" style="130" customWidth="1"/>
    <col min="8" max="8" width="26.6328125" style="130" customWidth="1"/>
    <col min="9" max="9" width="10.36328125" style="130" customWidth="1"/>
    <col min="10" max="10" width="15.36328125" style="130" customWidth="1"/>
    <col min="11" max="11" width="15" style="130" customWidth="1"/>
    <col min="12" max="26" width="8.6328125" style="130" customWidth="1"/>
    <col min="27" max="16384" width="14.453125" style="130"/>
  </cols>
  <sheetData>
    <row r="1" spans="1:26" ht="14.25" customHeight="1" x14ac:dyDescent="0.35">
      <c r="A1" s="200" t="s">
        <v>265</v>
      </c>
      <c r="B1" s="201"/>
      <c r="C1" s="201"/>
      <c r="D1" s="201"/>
      <c r="E1" s="201"/>
      <c r="F1" s="201"/>
      <c r="G1" s="202"/>
      <c r="H1" s="128"/>
      <c r="I1" s="128"/>
      <c r="J1" s="128"/>
      <c r="K1" s="128"/>
      <c r="L1" s="129"/>
      <c r="M1" s="129"/>
      <c r="N1" s="129"/>
      <c r="O1" s="129"/>
      <c r="P1" s="129"/>
      <c r="Q1" s="129"/>
      <c r="R1" s="129"/>
      <c r="S1" s="129"/>
      <c r="T1" s="129"/>
      <c r="U1" s="129"/>
      <c r="V1" s="129"/>
      <c r="W1" s="129"/>
      <c r="X1" s="129"/>
      <c r="Y1" s="129"/>
      <c r="Z1" s="129"/>
    </row>
    <row r="2" spans="1:26" ht="14.25" customHeight="1" x14ac:dyDescent="0.35">
      <c r="A2" s="203"/>
      <c r="B2" s="204"/>
      <c r="C2" s="204"/>
      <c r="D2" s="204"/>
      <c r="E2" s="204"/>
      <c r="F2" s="204"/>
      <c r="G2" s="205"/>
      <c r="H2" s="131"/>
      <c r="I2" s="128"/>
      <c r="J2" s="128"/>
      <c r="K2" s="128"/>
      <c r="L2" s="129"/>
      <c r="M2" s="129"/>
      <c r="N2" s="129"/>
      <c r="O2" s="129"/>
      <c r="P2" s="129"/>
      <c r="Q2" s="129"/>
      <c r="R2" s="129"/>
      <c r="S2" s="129"/>
      <c r="T2" s="129"/>
      <c r="U2" s="129"/>
      <c r="V2" s="129"/>
      <c r="W2" s="129"/>
      <c r="X2" s="129"/>
      <c r="Y2" s="129"/>
      <c r="Z2" s="129"/>
    </row>
    <row r="3" spans="1:26" ht="14.25" customHeight="1" x14ac:dyDescent="0.35">
      <c r="A3" s="206"/>
      <c r="B3" s="207"/>
      <c r="C3" s="207"/>
      <c r="D3" s="207"/>
      <c r="E3" s="207"/>
      <c r="F3" s="207"/>
      <c r="G3" s="208"/>
      <c r="H3" s="132"/>
      <c r="I3" s="128"/>
      <c r="J3" s="128"/>
      <c r="K3" s="128"/>
      <c r="L3" s="129"/>
      <c r="M3" s="129"/>
      <c r="N3" s="129"/>
      <c r="O3" s="129"/>
      <c r="P3" s="129"/>
      <c r="Q3" s="129"/>
      <c r="R3" s="129"/>
      <c r="S3" s="129"/>
      <c r="T3" s="129"/>
      <c r="U3" s="129"/>
      <c r="V3" s="129"/>
      <c r="W3" s="129"/>
      <c r="X3" s="129"/>
      <c r="Y3" s="129"/>
      <c r="Z3" s="129"/>
    </row>
    <row r="4" spans="1:26" ht="14.25" customHeight="1" x14ac:dyDescent="0.35">
      <c r="A4" s="59" t="s">
        <v>264</v>
      </c>
      <c r="B4" s="134"/>
      <c r="C4" s="129"/>
      <c r="D4" s="129"/>
      <c r="E4" s="129"/>
      <c r="F4" s="129"/>
      <c r="G4" s="129"/>
      <c r="H4" s="135" t="s">
        <v>94</v>
      </c>
      <c r="I4" s="136"/>
      <c r="J4" s="136"/>
      <c r="K4" s="136"/>
      <c r="L4" s="136"/>
      <c r="M4" s="137"/>
      <c r="N4" s="129"/>
      <c r="O4" s="129"/>
      <c r="P4" s="129"/>
      <c r="Q4" s="129"/>
      <c r="R4" s="129"/>
      <c r="S4" s="129"/>
      <c r="T4" s="129"/>
      <c r="U4" s="129"/>
      <c r="V4" s="129"/>
      <c r="W4" s="129"/>
      <c r="X4" s="129"/>
      <c r="Y4" s="129"/>
      <c r="Z4" s="129"/>
    </row>
    <row r="5" spans="1:26" ht="14.25" customHeight="1" x14ac:dyDescent="0.35">
      <c r="A5" s="134"/>
      <c r="B5" s="134"/>
      <c r="C5" s="129"/>
      <c r="D5" s="129"/>
      <c r="E5" s="129"/>
      <c r="F5" s="129"/>
      <c r="G5" s="129"/>
      <c r="H5" s="138" t="s">
        <v>95</v>
      </c>
      <c r="J5" s="139">
        <v>530.9</v>
      </c>
      <c r="K5" s="140"/>
      <c r="L5" s="129"/>
      <c r="M5" s="141"/>
      <c r="N5" s="129"/>
      <c r="O5" s="129"/>
      <c r="P5" s="129"/>
      <c r="Q5" s="129"/>
      <c r="R5" s="129"/>
      <c r="S5" s="129"/>
      <c r="T5" s="129"/>
      <c r="U5" s="129"/>
      <c r="V5" s="129"/>
      <c r="W5" s="129"/>
      <c r="X5" s="129"/>
      <c r="Y5" s="129"/>
      <c r="Z5" s="129"/>
    </row>
    <row r="6" spans="1:26" ht="14.25" customHeight="1" x14ac:dyDescent="0.35">
      <c r="A6" s="129"/>
      <c r="B6" s="134"/>
      <c r="C6" s="129"/>
      <c r="D6" s="129"/>
      <c r="E6" s="129"/>
      <c r="F6" s="129"/>
      <c r="G6" s="129"/>
      <c r="H6" s="142"/>
      <c r="K6" s="129"/>
      <c r="L6" s="129"/>
      <c r="M6" s="141"/>
      <c r="N6" s="129"/>
      <c r="O6" s="129"/>
      <c r="P6" s="129"/>
      <c r="Q6" s="129"/>
      <c r="R6" s="129"/>
      <c r="S6" s="129"/>
      <c r="T6" s="129"/>
      <c r="U6" s="129"/>
      <c r="V6" s="129"/>
      <c r="W6" s="129"/>
      <c r="X6" s="129"/>
      <c r="Y6" s="129"/>
      <c r="Z6" s="129"/>
    </row>
    <row r="7" spans="1:26" ht="14.25" customHeight="1" x14ac:dyDescent="0.35">
      <c r="A7" s="143"/>
      <c r="B7" s="134"/>
      <c r="C7" s="129"/>
      <c r="D7" s="129"/>
      <c r="E7" s="129"/>
      <c r="F7" s="144"/>
      <c r="G7" s="129"/>
      <c r="H7" s="142" t="s">
        <v>254</v>
      </c>
      <c r="J7" s="145">
        <v>331.81</v>
      </c>
      <c r="K7" s="146"/>
      <c r="L7" s="129"/>
      <c r="M7" s="141"/>
      <c r="N7" s="129"/>
      <c r="O7" s="129"/>
      <c r="P7" s="129"/>
      <c r="Q7" s="129"/>
      <c r="R7" s="129"/>
      <c r="S7" s="129"/>
      <c r="T7" s="129"/>
      <c r="U7" s="129"/>
      <c r="V7" s="129"/>
      <c r="W7" s="129"/>
      <c r="X7" s="129"/>
      <c r="Y7" s="129"/>
      <c r="Z7" s="129"/>
    </row>
    <row r="8" spans="1:26" ht="14.25" customHeight="1" x14ac:dyDescent="0.35">
      <c r="A8" s="147"/>
      <c r="B8" s="148"/>
      <c r="C8" s="149"/>
      <c r="D8" s="129"/>
      <c r="E8" s="129"/>
      <c r="F8" s="150"/>
      <c r="G8" s="129"/>
      <c r="H8" s="151" t="s">
        <v>96</v>
      </c>
      <c r="I8" s="152" t="s">
        <v>97</v>
      </c>
      <c r="J8" s="152" t="s">
        <v>255</v>
      </c>
      <c r="K8" s="129"/>
      <c r="L8" s="129"/>
      <c r="M8" s="141"/>
      <c r="N8" s="129"/>
      <c r="O8" s="129"/>
      <c r="P8" s="129"/>
      <c r="Q8" s="129"/>
      <c r="R8" s="129"/>
      <c r="S8" s="129"/>
      <c r="T8" s="129"/>
      <c r="U8" s="129"/>
      <c r="V8" s="129"/>
      <c r="W8" s="129"/>
      <c r="X8" s="129"/>
      <c r="Y8" s="129"/>
      <c r="Z8" s="129"/>
    </row>
    <row r="9" spans="1:26" ht="14.25" customHeight="1" x14ac:dyDescent="0.35">
      <c r="A9" s="153" t="s">
        <v>98</v>
      </c>
      <c r="B9" s="154"/>
      <c r="C9" s="155">
        <v>1400</v>
      </c>
      <c r="D9" s="129"/>
      <c r="E9" s="129"/>
      <c r="F9" s="150"/>
      <c r="G9" s="129"/>
      <c r="H9" s="151" t="s">
        <v>99</v>
      </c>
      <c r="I9" s="152">
        <v>0.7</v>
      </c>
      <c r="J9" s="156">
        <f>ROUND(I9*$J$7,2)</f>
        <v>232.27</v>
      </c>
      <c r="K9" s="129"/>
      <c r="L9" s="129"/>
      <c r="M9" s="141"/>
      <c r="N9" s="129"/>
      <c r="O9" s="129"/>
      <c r="P9" s="129"/>
      <c r="Q9" s="129"/>
      <c r="R9" s="129"/>
      <c r="S9" s="129"/>
      <c r="T9" s="129"/>
      <c r="U9" s="129"/>
      <c r="V9" s="129"/>
      <c r="W9" s="129"/>
      <c r="X9" s="129"/>
      <c r="Y9" s="129"/>
      <c r="Z9" s="129"/>
    </row>
    <row r="10" spans="1:26" ht="14.5" x14ac:dyDescent="0.35">
      <c r="A10" s="157" t="s">
        <v>100</v>
      </c>
      <c r="B10" s="158" t="s">
        <v>101</v>
      </c>
      <c r="C10" s="159">
        <f>15%*C9</f>
        <v>210</v>
      </c>
      <c r="D10" s="129"/>
      <c r="E10" s="129"/>
      <c r="F10" s="129"/>
      <c r="G10" s="129"/>
      <c r="H10" s="151" t="s">
        <v>102</v>
      </c>
      <c r="I10" s="152">
        <v>1</v>
      </c>
      <c r="J10" s="156">
        <f t="shared" ref="J10:J18" si="0">ROUND(I10*$J$7,2)</f>
        <v>331.81</v>
      </c>
      <c r="K10" s="129"/>
      <c r="L10" s="129"/>
      <c r="M10" s="141"/>
      <c r="N10" s="129"/>
      <c r="O10" s="129"/>
      <c r="P10" s="129"/>
      <c r="Q10" s="129"/>
      <c r="R10" s="129"/>
      <c r="S10" s="129"/>
      <c r="T10" s="129"/>
      <c r="U10" s="129"/>
      <c r="V10" s="129"/>
      <c r="W10" s="129"/>
      <c r="X10" s="129"/>
      <c r="Y10" s="129"/>
      <c r="Z10" s="129"/>
    </row>
    <row r="11" spans="1:26" ht="14.5" x14ac:dyDescent="0.35">
      <c r="A11" s="157" t="s">
        <v>103</v>
      </c>
      <c r="B11" s="158" t="s">
        <v>104</v>
      </c>
      <c r="C11" s="159">
        <f>5%*C9</f>
        <v>70</v>
      </c>
      <c r="D11" s="129"/>
      <c r="E11" s="129"/>
      <c r="F11" s="140"/>
      <c r="G11" s="129"/>
      <c r="H11" s="151" t="s">
        <v>105</v>
      </c>
      <c r="I11" s="152">
        <v>1.4</v>
      </c>
      <c r="J11" s="156">
        <f t="shared" si="0"/>
        <v>464.53</v>
      </c>
      <c r="K11" s="129"/>
      <c r="L11" s="129"/>
      <c r="M11" s="141"/>
      <c r="N11" s="129"/>
      <c r="O11" s="129"/>
      <c r="P11" s="129"/>
      <c r="Q11" s="129"/>
      <c r="R11" s="129"/>
      <c r="S11" s="129"/>
      <c r="T11" s="129"/>
      <c r="U11" s="129"/>
      <c r="V11" s="129"/>
      <c r="W11" s="129"/>
      <c r="X11" s="129"/>
      <c r="Y11" s="129"/>
      <c r="Z11" s="129"/>
    </row>
    <row r="12" spans="1:26" ht="29" x14ac:dyDescent="0.35">
      <c r="A12" s="157" t="s">
        <v>106</v>
      </c>
      <c r="B12" s="160" t="s">
        <v>107</v>
      </c>
      <c r="C12" s="159">
        <f>C10+C11</f>
        <v>280</v>
      </c>
      <c r="D12" s="140"/>
      <c r="E12" s="129"/>
      <c r="F12" s="140"/>
      <c r="G12" s="129"/>
      <c r="H12" s="151" t="s">
        <v>108</v>
      </c>
      <c r="I12" s="152">
        <v>1.9</v>
      </c>
      <c r="J12" s="156">
        <f t="shared" si="0"/>
        <v>630.44000000000005</v>
      </c>
      <c r="K12" s="129"/>
      <c r="L12" s="129"/>
      <c r="M12" s="141"/>
      <c r="N12" s="129"/>
      <c r="O12" s="129"/>
      <c r="P12" s="129"/>
      <c r="Q12" s="129"/>
      <c r="R12" s="129"/>
      <c r="S12" s="129"/>
      <c r="T12" s="129"/>
      <c r="U12" s="129"/>
      <c r="V12" s="129"/>
      <c r="W12" s="129"/>
      <c r="X12" s="129"/>
      <c r="Y12" s="129"/>
      <c r="Z12" s="129"/>
    </row>
    <row r="13" spans="1:26" ht="29" x14ac:dyDescent="0.35">
      <c r="A13" s="161" t="s">
        <v>109</v>
      </c>
      <c r="B13" s="162" t="s">
        <v>110</v>
      </c>
      <c r="C13" s="163">
        <f>C9-C12</f>
        <v>1120</v>
      </c>
      <c r="D13" s="129"/>
      <c r="E13" s="129"/>
      <c r="F13" s="140"/>
      <c r="G13" s="129"/>
      <c r="H13" s="151" t="s">
        <v>111</v>
      </c>
      <c r="I13" s="152">
        <v>2.5</v>
      </c>
      <c r="J13" s="156">
        <f t="shared" si="0"/>
        <v>829.53</v>
      </c>
      <c r="K13" s="129"/>
      <c r="L13" s="129"/>
      <c r="M13" s="141"/>
      <c r="N13" s="129"/>
      <c r="O13" s="129"/>
      <c r="P13" s="129"/>
      <c r="Q13" s="129"/>
      <c r="R13" s="129"/>
      <c r="S13" s="129"/>
      <c r="T13" s="129"/>
      <c r="U13" s="129"/>
      <c r="V13" s="129"/>
      <c r="W13" s="129"/>
      <c r="X13" s="129"/>
      <c r="Y13" s="129"/>
      <c r="Z13" s="129"/>
    </row>
    <row r="14" spans="1:26" ht="29" x14ac:dyDescent="0.35">
      <c r="A14" s="164" t="s">
        <v>256</v>
      </c>
      <c r="B14" s="165"/>
      <c r="C14" s="184">
        <f>J9+J11+J5</f>
        <v>1227.6999999999998</v>
      </c>
      <c r="D14" s="129"/>
      <c r="E14" s="129"/>
      <c r="F14" s="140"/>
      <c r="G14" s="129"/>
      <c r="H14" s="151" t="s">
        <v>112</v>
      </c>
      <c r="I14" s="152">
        <v>3.2</v>
      </c>
      <c r="J14" s="156">
        <f t="shared" si="0"/>
        <v>1061.79</v>
      </c>
      <c r="K14" s="129"/>
      <c r="L14" s="129"/>
      <c r="M14" s="141"/>
      <c r="N14" s="129"/>
      <c r="O14" s="129"/>
      <c r="P14" s="129"/>
      <c r="Q14" s="129"/>
      <c r="R14" s="129"/>
      <c r="S14" s="129"/>
      <c r="T14" s="129"/>
      <c r="U14" s="129"/>
      <c r="V14" s="129"/>
      <c r="W14" s="129"/>
      <c r="X14" s="129"/>
      <c r="Y14" s="129"/>
      <c r="Z14" s="129"/>
    </row>
    <row r="15" spans="1:26" ht="29" x14ac:dyDescent="0.35">
      <c r="A15" s="164" t="s">
        <v>113</v>
      </c>
      <c r="B15" s="166" t="s">
        <v>114</v>
      </c>
      <c r="C15" s="185">
        <f>MIN(C13:C14)</f>
        <v>1120</v>
      </c>
      <c r="D15" s="129"/>
      <c r="E15" s="129"/>
      <c r="F15" s="140"/>
      <c r="G15" s="129"/>
      <c r="H15" s="151" t="s">
        <v>115</v>
      </c>
      <c r="I15" s="152">
        <v>4</v>
      </c>
      <c r="J15" s="156">
        <f t="shared" si="0"/>
        <v>1327.24</v>
      </c>
      <c r="K15" s="129"/>
      <c r="L15" s="129"/>
      <c r="M15" s="141"/>
      <c r="N15" s="129"/>
      <c r="O15" s="129"/>
      <c r="P15" s="129"/>
      <c r="Q15" s="129"/>
      <c r="R15" s="129"/>
      <c r="S15" s="129"/>
      <c r="T15" s="129"/>
      <c r="U15" s="129"/>
      <c r="V15" s="129"/>
      <c r="W15" s="129"/>
      <c r="X15" s="129"/>
      <c r="Y15" s="129"/>
      <c r="Z15" s="129"/>
    </row>
    <row r="16" spans="1:26" ht="29" x14ac:dyDescent="0.35">
      <c r="A16" s="164" t="s">
        <v>116</v>
      </c>
      <c r="B16" s="166" t="s">
        <v>117</v>
      </c>
      <c r="C16" s="185">
        <f>C14-C15</f>
        <v>107.69999999999982</v>
      </c>
      <c r="D16" s="129"/>
      <c r="E16" s="129"/>
      <c r="F16" s="140"/>
      <c r="G16" s="129"/>
      <c r="H16" s="151" t="s">
        <v>118</v>
      </c>
      <c r="I16" s="152">
        <v>4.9000000000000004</v>
      </c>
      <c r="J16" s="156">
        <f t="shared" si="0"/>
        <v>1625.87</v>
      </c>
      <c r="K16" s="129"/>
      <c r="L16" s="129"/>
      <c r="M16" s="141"/>
      <c r="N16" s="129"/>
      <c r="O16" s="129"/>
      <c r="P16" s="129"/>
      <c r="Q16" s="129"/>
      <c r="R16" s="129"/>
      <c r="S16" s="129"/>
      <c r="T16" s="129"/>
      <c r="U16" s="129"/>
      <c r="V16" s="129"/>
      <c r="W16" s="129"/>
      <c r="X16" s="129"/>
      <c r="Y16" s="129"/>
      <c r="Z16" s="129"/>
    </row>
    <row r="17" spans="1:26" ht="29" x14ac:dyDescent="0.35">
      <c r="A17" s="161" t="s">
        <v>119</v>
      </c>
      <c r="B17" s="162" t="s">
        <v>120</v>
      </c>
      <c r="C17" s="163">
        <f>C13-C15</f>
        <v>0</v>
      </c>
      <c r="D17" s="129"/>
      <c r="E17" s="129"/>
      <c r="F17" s="140"/>
      <c r="G17" s="129"/>
      <c r="H17" s="151" t="s">
        <v>121</v>
      </c>
      <c r="I17" s="152">
        <v>5.9</v>
      </c>
      <c r="J17" s="156">
        <f t="shared" si="0"/>
        <v>1957.68</v>
      </c>
      <c r="K17" s="129"/>
      <c r="L17" s="129"/>
      <c r="M17" s="141"/>
      <c r="N17" s="129"/>
      <c r="O17" s="129"/>
      <c r="P17" s="129"/>
      <c r="Q17" s="129"/>
      <c r="R17" s="129"/>
      <c r="S17" s="129"/>
      <c r="T17" s="129"/>
      <c r="U17" s="129"/>
      <c r="V17" s="129"/>
      <c r="W17" s="129"/>
      <c r="X17" s="129"/>
      <c r="Y17" s="129"/>
      <c r="Z17" s="129"/>
    </row>
    <row r="18" spans="1:26" ht="29" x14ac:dyDescent="0.35">
      <c r="A18" s="167" t="s">
        <v>122</v>
      </c>
      <c r="B18" s="168" t="s">
        <v>257</v>
      </c>
      <c r="C18" s="169">
        <f>20%*C17</f>
        <v>0</v>
      </c>
      <c r="D18" s="129"/>
      <c r="E18" s="129"/>
      <c r="F18" s="140"/>
      <c r="G18" s="129"/>
      <c r="H18" s="170" t="s">
        <v>123</v>
      </c>
      <c r="I18" s="152">
        <v>0.7</v>
      </c>
      <c r="J18" s="156">
        <f t="shared" si="0"/>
        <v>232.27</v>
      </c>
      <c r="K18" s="129"/>
      <c r="L18" s="129"/>
      <c r="M18" s="141"/>
      <c r="N18" s="129"/>
      <c r="O18" s="129"/>
      <c r="P18" s="129"/>
      <c r="Q18" s="129"/>
      <c r="R18" s="129"/>
      <c r="S18" s="129"/>
      <c r="T18" s="129"/>
      <c r="U18" s="129"/>
      <c r="V18" s="129"/>
      <c r="W18" s="129"/>
      <c r="X18" s="129"/>
      <c r="Y18" s="129"/>
      <c r="Z18" s="129"/>
    </row>
    <row r="19" spans="1:26" ht="43.5" x14ac:dyDescent="0.35">
      <c r="A19" s="167" t="s">
        <v>124</v>
      </c>
      <c r="B19" s="168" t="s">
        <v>258</v>
      </c>
      <c r="C19" s="171"/>
      <c r="D19" s="129"/>
      <c r="E19" s="129"/>
      <c r="F19" s="140"/>
      <c r="G19" s="129"/>
      <c r="H19" s="172"/>
      <c r="I19" s="129"/>
      <c r="J19" s="129"/>
      <c r="K19" s="129"/>
      <c r="L19" s="129"/>
      <c r="M19" s="141"/>
      <c r="N19" s="129"/>
      <c r="O19" s="129"/>
      <c r="P19" s="129"/>
      <c r="Q19" s="129"/>
      <c r="R19" s="129"/>
      <c r="S19" s="129"/>
      <c r="T19" s="129"/>
      <c r="U19" s="129"/>
      <c r="V19" s="129"/>
      <c r="W19" s="129"/>
      <c r="X19" s="129"/>
      <c r="Y19" s="129"/>
      <c r="Z19" s="129"/>
    </row>
    <row r="20" spans="1:26" ht="14.5" x14ac:dyDescent="0.35">
      <c r="A20" s="167" t="s">
        <v>125</v>
      </c>
      <c r="B20" s="173"/>
      <c r="C20" s="169">
        <f>C18+C19</f>
        <v>0</v>
      </c>
      <c r="D20" s="129"/>
      <c r="E20" s="129"/>
      <c r="F20" s="140"/>
      <c r="G20" s="129"/>
      <c r="H20" s="172"/>
      <c r="I20" s="129"/>
      <c r="J20" s="129"/>
      <c r="K20" s="129"/>
      <c r="L20" s="129"/>
      <c r="M20" s="141"/>
      <c r="N20" s="129"/>
      <c r="O20" s="129"/>
      <c r="P20" s="129"/>
      <c r="Q20" s="129"/>
      <c r="R20" s="129"/>
      <c r="S20" s="129"/>
      <c r="T20" s="129"/>
      <c r="U20" s="129"/>
      <c r="V20" s="129"/>
      <c r="W20" s="129"/>
      <c r="X20" s="129"/>
      <c r="Y20" s="129"/>
      <c r="Z20" s="129"/>
    </row>
    <row r="21" spans="1:26" ht="14.5" x14ac:dyDescent="0.35">
      <c r="A21" s="167" t="s">
        <v>259</v>
      </c>
      <c r="B21" s="174" t="s">
        <v>260</v>
      </c>
      <c r="C21" s="169">
        <f>18%*C20</f>
        <v>0</v>
      </c>
      <c r="D21" s="129"/>
      <c r="E21" s="129"/>
      <c r="F21" s="140"/>
      <c r="G21" s="129"/>
      <c r="H21" s="142" t="s">
        <v>126</v>
      </c>
      <c r="I21" s="129"/>
      <c r="J21" s="129"/>
      <c r="K21" s="129"/>
      <c r="L21" s="129"/>
      <c r="M21" s="141"/>
      <c r="N21" s="129"/>
      <c r="O21" s="129"/>
      <c r="P21" s="129"/>
      <c r="Q21" s="129"/>
      <c r="R21" s="129"/>
      <c r="S21" s="129"/>
      <c r="T21" s="129"/>
      <c r="U21" s="129"/>
      <c r="V21" s="129"/>
      <c r="W21" s="129"/>
      <c r="X21" s="129"/>
      <c r="Y21" s="129"/>
      <c r="Z21" s="129"/>
    </row>
    <row r="22" spans="1:26" ht="29" x14ac:dyDescent="0.35">
      <c r="A22" s="175" t="s">
        <v>127</v>
      </c>
      <c r="B22" s="175" t="s">
        <v>128</v>
      </c>
      <c r="C22" s="176">
        <f>C13-C20-C21</f>
        <v>1120</v>
      </c>
      <c r="D22" s="129"/>
      <c r="E22" s="129"/>
      <c r="F22" s="129"/>
      <c r="G22" s="129"/>
      <c r="H22" s="142" t="s">
        <v>261</v>
      </c>
      <c r="I22" s="129"/>
      <c r="J22" s="129"/>
      <c r="K22" s="129"/>
      <c r="L22" s="129"/>
      <c r="M22" s="141"/>
      <c r="N22" s="129"/>
      <c r="O22" s="129"/>
      <c r="P22" s="129"/>
      <c r="Q22" s="129"/>
      <c r="R22" s="129"/>
      <c r="S22" s="129"/>
      <c r="T22" s="129"/>
      <c r="U22" s="129"/>
      <c r="V22" s="129"/>
      <c r="W22" s="129"/>
      <c r="X22" s="129"/>
      <c r="Y22" s="129"/>
      <c r="Z22" s="129"/>
    </row>
    <row r="23" spans="1:26" ht="29" x14ac:dyDescent="0.35">
      <c r="A23" s="157" t="s">
        <v>129</v>
      </c>
      <c r="B23" s="158" t="s">
        <v>130</v>
      </c>
      <c r="C23" s="159">
        <f>16.5%*C9</f>
        <v>231</v>
      </c>
      <c r="D23" s="129"/>
      <c r="E23" s="129"/>
      <c r="F23" s="140"/>
      <c r="G23" s="129"/>
      <c r="H23" s="177" t="s">
        <v>262</v>
      </c>
      <c r="I23" s="178"/>
      <c r="J23" s="178"/>
      <c r="K23" s="178"/>
      <c r="L23" s="178"/>
      <c r="M23" s="179"/>
      <c r="N23" s="129"/>
      <c r="O23" s="129"/>
      <c r="P23" s="129"/>
      <c r="Q23" s="129"/>
      <c r="R23" s="129"/>
      <c r="S23" s="129"/>
      <c r="T23" s="129"/>
      <c r="U23" s="129"/>
      <c r="V23" s="129"/>
      <c r="W23" s="129"/>
      <c r="X23" s="129"/>
      <c r="Y23" s="129"/>
      <c r="Z23" s="129"/>
    </row>
    <row r="24" spans="1:26" ht="29" x14ac:dyDescent="0.35">
      <c r="A24" s="153" t="s">
        <v>131</v>
      </c>
      <c r="B24" s="180" t="s">
        <v>132</v>
      </c>
      <c r="C24" s="155">
        <f>C9+C23</f>
        <v>1631</v>
      </c>
      <c r="D24" s="129"/>
      <c r="E24" s="129"/>
      <c r="F24" s="140"/>
      <c r="G24" s="129"/>
      <c r="H24" s="129"/>
      <c r="I24" s="129"/>
      <c r="J24" s="129"/>
      <c r="K24" s="129"/>
      <c r="L24" s="129"/>
      <c r="M24" s="129"/>
      <c r="N24" s="129"/>
      <c r="O24" s="129"/>
      <c r="P24" s="129"/>
      <c r="Q24" s="129"/>
      <c r="R24" s="129"/>
      <c r="S24" s="129"/>
      <c r="T24" s="129"/>
      <c r="U24" s="129"/>
      <c r="V24" s="129"/>
      <c r="W24" s="129"/>
      <c r="X24" s="129"/>
      <c r="Y24" s="129"/>
      <c r="Z24" s="129"/>
    </row>
    <row r="25" spans="1:26" ht="14.5" x14ac:dyDescent="0.35">
      <c r="A25" s="161" t="s">
        <v>133</v>
      </c>
      <c r="B25" s="181" t="s">
        <v>134</v>
      </c>
      <c r="C25" s="186">
        <f>C22/C24</f>
        <v>0.68669527896995708</v>
      </c>
      <c r="D25" s="129"/>
      <c r="E25" s="129"/>
      <c r="F25" s="140"/>
      <c r="G25" s="129"/>
      <c r="H25" s="209" t="s">
        <v>135</v>
      </c>
      <c r="I25" s="210"/>
      <c r="J25" s="210"/>
      <c r="K25" s="210"/>
      <c r="L25" s="210"/>
      <c r="M25" s="211"/>
      <c r="N25" s="129"/>
      <c r="O25" s="129"/>
      <c r="P25" s="129"/>
      <c r="Q25" s="129"/>
      <c r="R25" s="129"/>
      <c r="S25" s="129"/>
      <c r="T25" s="129"/>
      <c r="U25" s="129"/>
      <c r="V25" s="129"/>
      <c r="W25" s="129"/>
      <c r="X25" s="129"/>
      <c r="Y25" s="129"/>
      <c r="Z25" s="129"/>
    </row>
    <row r="26" spans="1:26" ht="14.5" x14ac:dyDescent="0.35">
      <c r="A26" s="129"/>
      <c r="B26" s="129"/>
      <c r="C26" s="129"/>
      <c r="D26" s="129"/>
      <c r="E26" s="129"/>
      <c r="F26" s="129"/>
      <c r="G26" s="129"/>
      <c r="H26" s="172" t="s">
        <v>136</v>
      </c>
      <c r="I26" s="129"/>
      <c r="J26" s="129"/>
      <c r="K26" s="129"/>
      <c r="L26" s="129"/>
      <c r="M26" s="141"/>
      <c r="N26" s="129"/>
      <c r="O26" s="129"/>
      <c r="P26" s="129"/>
      <c r="Q26" s="129"/>
      <c r="R26" s="129"/>
      <c r="S26" s="129"/>
      <c r="T26" s="129"/>
      <c r="U26" s="129"/>
      <c r="V26" s="129"/>
      <c r="W26" s="129"/>
      <c r="X26" s="129"/>
      <c r="Y26" s="129"/>
      <c r="Z26" s="129"/>
    </row>
    <row r="27" spans="1:26" ht="14.5" x14ac:dyDescent="0.35">
      <c r="A27" s="133"/>
      <c r="B27" s="129"/>
      <c r="C27" s="129"/>
      <c r="D27" s="129"/>
      <c r="E27" s="129"/>
      <c r="F27" s="129"/>
      <c r="G27" s="129"/>
      <c r="H27" s="172"/>
      <c r="I27" s="129"/>
      <c r="J27" s="129"/>
      <c r="K27" s="129"/>
      <c r="L27" s="129"/>
      <c r="M27" s="141"/>
      <c r="N27" s="129"/>
      <c r="O27" s="129"/>
      <c r="P27" s="129"/>
      <c r="Q27" s="129"/>
      <c r="R27" s="129"/>
      <c r="S27" s="129"/>
      <c r="T27" s="129"/>
      <c r="U27" s="129"/>
      <c r="V27" s="129"/>
      <c r="W27" s="129"/>
      <c r="X27" s="129"/>
      <c r="Y27" s="129"/>
      <c r="Z27" s="129"/>
    </row>
    <row r="28" spans="1:26" ht="14.5" x14ac:dyDescent="0.35">
      <c r="A28" s="182"/>
      <c r="B28" s="129"/>
      <c r="C28" s="129"/>
      <c r="D28" s="129"/>
      <c r="E28" s="129"/>
      <c r="F28" s="129"/>
      <c r="G28" s="129"/>
      <c r="H28" s="183"/>
      <c r="I28" s="178"/>
      <c r="J28" s="178"/>
      <c r="K28" s="178"/>
      <c r="L28" s="178"/>
      <c r="M28" s="179"/>
      <c r="N28" s="129"/>
      <c r="O28" s="129"/>
      <c r="P28" s="129"/>
      <c r="Q28" s="129"/>
      <c r="R28" s="129"/>
      <c r="S28" s="129"/>
      <c r="T28" s="129"/>
      <c r="U28" s="129"/>
      <c r="V28" s="129"/>
      <c r="W28" s="129"/>
      <c r="X28" s="129"/>
      <c r="Y28" s="129"/>
      <c r="Z28" s="129"/>
    </row>
    <row r="29" spans="1:26" ht="14.5" x14ac:dyDescent="0.35">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row>
    <row r="30" spans="1:26" ht="14.25" customHeight="1" x14ac:dyDescent="0.3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row>
    <row r="31" spans="1:26" ht="14.25" customHeight="1" x14ac:dyDescent="0.3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1:26" ht="14.25" customHeight="1" x14ac:dyDescent="0.3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1:26" ht="14.25" customHeight="1" x14ac:dyDescent="0.35">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26" ht="14.25" customHeight="1" x14ac:dyDescent="0.3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row>
    <row r="35" spans="1:26" ht="14.25" customHeight="1" x14ac:dyDescent="0.35">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row>
    <row r="36" spans="1:26" ht="14.25" customHeight="1" x14ac:dyDescent="0.35">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4.25" customHeight="1" x14ac:dyDescent="0.35">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4.25" customHeight="1" x14ac:dyDescent="0.35">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4.25" customHeight="1" x14ac:dyDescent="0.35">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4.25" customHeight="1" x14ac:dyDescent="0.35">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4.25" customHeight="1" x14ac:dyDescent="0.35">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4.25" customHeight="1" x14ac:dyDescent="0.35">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4.25" customHeight="1" x14ac:dyDescent="0.3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4.25" customHeight="1" x14ac:dyDescent="0.35">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4.25" customHeight="1" x14ac:dyDescent="0.35">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4.25" customHeight="1" x14ac:dyDescent="0.3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4.25" customHeight="1" x14ac:dyDescent="0.3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4.25" customHeight="1" x14ac:dyDescent="0.3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4.25" customHeight="1" x14ac:dyDescent="0.3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4.25" customHeight="1" x14ac:dyDescent="0.3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4.25" customHeight="1" x14ac:dyDescent="0.3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4.25" customHeight="1" x14ac:dyDescent="0.3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4.25" customHeight="1" x14ac:dyDescent="0.3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4.25" customHeight="1" x14ac:dyDescent="0.3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4.25" customHeight="1" x14ac:dyDescent="0.3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4.25" customHeight="1" x14ac:dyDescent="0.3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4.25" customHeight="1" x14ac:dyDescent="0.3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4.25" customHeight="1" x14ac:dyDescent="0.3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4.25" customHeight="1" x14ac:dyDescent="0.3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4.25" customHeight="1" x14ac:dyDescent="0.3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4.25" customHeight="1" x14ac:dyDescent="0.35">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4.25" customHeight="1" x14ac:dyDescent="0.35">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4.25" customHeight="1" x14ac:dyDescent="0.3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4.25" customHeight="1" x14ac:dyDescent="0.35">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4.25" customHeight="1" x14ac:dyDescent="0.35">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4.25" customHeight="1" x14ac:dyDescent="0.35">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4.25" customHeight="1" x14ac:dyDescent="0.35">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4.25" customHeight="1" x14ac:dyDescent="0.35">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4.25" customHeight="1" x14ac:dyDescent="0.3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4.25" customHeight="1" x14ac:dyDescent="0.35">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4.25" customHeight="1" x14ac:dyDescent="0.35">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4.25" customHeight="1" x14ac:dyDescent="0.35">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4.25" customHeight="1" x14ac:dyDescent="0.35">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4.25" customHeight="1" x14ac:dyDescent="0.3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4.25" customHeight="1" x14ac:dyDescent="0.3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4.25" customHeight="1" x14ac:dyDescent="0.35">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4.25" customHeight="1" x14ac:dyDescent="0.35">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4.25" customHeight="1" x14ac:dyDescent="0.3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4.25" customHeight="1" x14ac:dyDescent="0.3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4.25" customHeight="1" x14ac:dyDescent="0.3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4.25" customHeight="1" x14ac:dyDescent="0.3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4.25" customHeight="1" x14ac:dyDescent="0.3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4.25" customHeight="1" x14ac:dyDescent="0.3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4.25" customHeight="1" x14ac:dyDescent="0.3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4.25" customHeight="1" x14ac:dyDescent="0.35">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4.25" customHeight="1" x14ac:dyDescent="0.35">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4.25" customHeight="1" x14ac:dyDescent="0.3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4.25" customHeight="1" x14ac:dyDescent="0.3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4.25" customHeight="1" x14ac:dyDescent="0.3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4.25" customHeight="1" x14ac:dyDescent="0.35">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4.25" customHeight="1" x14ac:dyDescent="0.35">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4.25" customHeight="1" x14ac:dyDescent="0.35">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4.25" customHeight="1" x14ac:dyDescent="0.35">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4.25" customHeight="1" x14ac:dyDescent="0.35">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4.25" customHeight="1" x14ac:dyDescent="0.35">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4.25" customHeight="1" x14ac:dyDescent="0.35">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4.25" customHeight="1" x14ac:dyDescent="0.35">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4.25" customHeight="1" x14ac:dyDescent="0.35">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4.25" customHeight="1" x14ac:dyDescent="0.35">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4.25" customHeight="1" x14ac:dyDescent="0.35">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4.25" customHeight="1" x14ac:dyDescent="0.3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4.25" customHeight="1" x14ac:dyDescent="0.35">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4.25" customHeight="1" x14ac:dyDescent="0.35">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4.25" customHeight="1" x14ac:dyDescent="0.3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4.25" customHeight="1" x14ac:dyDescent="0.35">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4.25" customHeight="1" x14ac:dyDescent="0.35">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4.25" customHeight="1" x14ac:dyDescent="0.35">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4.25" customHeight="1" x14ac:dyDescent="0.3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4.25" customHeight="1" x14ac:dyDescent="0.3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4.25" customHeight="1" x14ac:dyDescent="0.3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4.25" customHeight="1" x14ac:dyDescent="0.35">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4.25" customHeight="1" x14ac:dyDescent="0.35">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4.25" customHeight="1" x14ac:dyDescent="0.35">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4.25" customHeight="1" x14ac:dyDescent="0.35">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4.25" customHeight="1" x14ac:dyDescent="0.35">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4.25" customHeight="1" x14ac:dyDescent="0.35">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4.25" customHeight="1" x14ac:dyDescent="0.35">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4.25" customHeight="1" x14ac:dyDescent="0.35">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4.25" customHeight="1" x14ac:dyDescent="0.3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4.25" customHeight="1" x14ac:dyDescent="0.35">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4.25" customHeight="1" x14ac:dyDescent="0.35">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4.25" customHeight="1" x14ac:dyDescent="0.35">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4.25" customHeight="1" x14ac:dyDescent="0.35">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4.25" customHeight="1" x14ac:dyDescent="0.35">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4.25" customHeight="1" x14ac:dyDescent="0.35">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4.25" customHeight="1" x14ac:dyDescent="0.35">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4.25" customHeight="1" x14ac:dyDescent="0.35">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4.25" customHeight="1" x14ac:dyDescent="0.35">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4.25" customHeight="1" x14ac:dyDescent="0.35">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4.25" customHeight="1" x14ac:dyDescent="0.35">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4.25" customHeight="1" x14ac:dyDescent="0.35">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4.25" customHeight="1" x14ac:dyDescent="0.35">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4.25" customHeight="1" x14ac:dyDescent="0.35">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4.25" customHeight="1" x14ac:dyDescent="0.35">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4.25" customHeight="1" x14ac:dyDescent="0.35">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4.25" customHeight="1" x14ac:dyDescent="0.35">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4.25" customHeight="1" x14ac:dyDescent="0.35">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4.25" customHeight="1" x14ac:dyDescent="0.35">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4.25" customHeight="1" x14ac:dyDescent="0.35">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4.25" customHeight="1" x14ac:dyDescent="0.35">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4.25" customHeight="1" x14ac:dyDescent="0.35">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4.25" customHeight="1" x14ac:dyDescent="0.35">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4.25" customHeight="1" x14ac:dyDescent="0.35">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4.25" customHeight="1" x14ac:dyDescent="0.35">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4.25" customHeight="1" x14ac:dyDescent="0.35">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4.25" customHeight="1" x14ac:dyDescent="0.35">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4.25" customHeight="1" x14ac:dyDescent="0.35">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4.25" customHeight="1" x14ac:dyDescent="0.35">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4.25" customHeight="1" x14ac:dyDescent="0.35">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4.25" customHeight="1" x14ac:dyDescent="0.35">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4.25" customHeight="1" x14ac:dyDescent="0.35">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4.25" customHeight="1" x14ac:dyDescent="0.35">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4.25" customHeight="1" x14ac:dyDescent="0.35">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4.25" customHeight="1" x14ac:dyDescent="0.35">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4.25" customHeight="1" x14ac:dyDescent="0.35">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4.25" customHeight="1" x14ac:dyDescent="0.35">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4.25" customHeight="1" x14ac:dyDescent="0.35">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4.25" customHeight="1" x14ac:dyDescent="0.35">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4.25" customHeight="1" x14ac:dyDescent="0.35">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4.25" customHeight="1" x14ac:dyDescent="0.35">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4.25" customHeight="1" x14ac:dyDescent="0.35">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4.25" customHeight="1" x14ac:dyDescent="0.35">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4.25" customHeight="1" x14ac:dyDescent="0.35">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4.25" customHeight="1" x14ac:dyDescent="0.35">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4.25" customHeight="1" x14ac:dyDescent="0.35">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4.25" customHeight="1" x14ac:dyDescent="0.35">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4.25" customHeight="1" x14ac:dyDescent="0.35">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4.25" customHeight="1" x14ac:dyDescent="0.35">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4.25" customHeight="1" x14ac:dyDescent="0.35">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4.25" customHeight="1" x14ac:dyDescent="0.35">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4.25" customHeight="1" x14ac:dyDescent="0.35">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4.25" customHeight="1" x14ac:dyDescent="0.35">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4.25" customHeight="1" x14ac:dyDescent="0.35">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4.25" customHeight="1" x14ac:dyDescent="0.35">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4.25" customHeight="1" x14ac:dyDescent="0.35">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4.25" customHeight="1" x14ac:dyDescent="0.35">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4.25" customHeight="1" x14ac:dyDescent="0.35">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4.25" customHeight="1" x14ac:dyDescent="0.35">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4.25" customHeight="1" x14ac:dyDescent="0.35">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4.25" customHeight="1" x14ac:dyDescent="0.35">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4.25" customHeight="1" x14ac:dyDescent="0.35">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4.25" customHeight="1" x14ac:dyDescent="0.3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4.25" customHeight="1" x14ac:dyDescent="0.35">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4.25" customHeight="1" x14ac:dyDescent="0.35">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4.25" customHeight="1" x14ac:dyDescent="0.35">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4.25" customHeight="1" x14ac:dyDescent="0.35">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4.25" customHeight="1" x14ac:dyDescent="0.35">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4.25" customHeight="1" x14ac:dyDescent="0.35">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4.25" customHeight="1" x14ac:dyDescent="0.35">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4.25" customHeight="1" x14ac:dyDescent="0.35">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4.25" customHeight="1" x14ac:dyDescent="0.35">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4.25" customHeight="1" x14ac:dyDescent="0.35">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4.25" customHeight="1" x14ac:dyDescent="0.35">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4.25" customHeight="1" x14ac:dyDescent="0.35">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4.25" customHeight="1" x14ac:dyDescent="0.35">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4.25" customHeight="1" x14ac:dyDescent="0.35">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4.25" customHeight="1" x14ac:dyDescent="0.35">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4.25" customHeight="1" x14ac:dyDescent="0.35">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4.25" customHeight="1" x14ac:dyDescent="0.35">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4.25" customHeight="1" x14ac:dyDescent="0.35">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4.25" customHeight="1" x14ac:dyDescent="0.35">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4.25" customHeight="1" x14ac:dyDescent="0.35">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4.25" customHeight="1" x14ac:dyDescent="0.35">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4.25" customHeight="1" x14ac:dyDescent="0.35">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4.25" customHeight="1" x14ac:dyDescent="0.35">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4.25" customHeight="1" x14ac:dyDescent="0.35">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4.25" customHeight="1" x14ac:dyDescent="0.35">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4.25" customHeight="1" x14ac:dyDescent="0.35">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4.25" customHeight="1" x14ac:dyDescent="0.35">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4.25" customHeight="1" x14ac:dyDescent="0.3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4.25" customHeight="1" x14ac:dyDescent="0.35">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4.25" customHeight="1" x14ac:dyDescent="0.35">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4.25" customHeight="1" x14ac:dyDescent="0.35">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4.25" customHeight="1" x14ac:dyDescent="0.35">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4.25" customHeight="1" x14ac:dyDescent="0.35">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4.25" customHeight="1" x14ac:dyDescent="0.35">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4.25" customHeight="1" x14ac:dyDescent="0.35">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4.25" customHeight="1" x14ac:dyDescent="0.35">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4.25" customHeight="1" x14ac:dyDescent="0.35">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4.25" customHeight="1" x14ac:dyDescent="0.35">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4.25" customHeight="1" x14ac:dyDescent="0.35">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4.25" customHeight="1" x14ac:dyDescent="0.35">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4.25" customHeight="1" x14ac:dyDescent="0.35">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4.25" customHeight="1" x14ac:dyDescent="0.35">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4.25" customHeight="1" x14ac:dyDescent="0.35">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4.25" customHeight="1" x14ac:dyDescent="0.35">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4.25" customHeight="1" x14ac:dyDescent="0.35">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4.25" customHeight="1" x14ac:dyDescent="0.35">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4.25" customHeight="1" x14ac:dyDescent="0.35">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4.25" customHeight="1" x14ac:dyDescent="0.35">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4.25" customHeight="1" x14ac:dyDescent="0.35">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4.25" customHeight="1" x14ac:dyDescent="0.35">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4.25" customHeight="1" x14ac:dyDescent="0.35">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4.25" customHeight="1" x14ac:dyDescent="0.35">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4.25" customHeight="1" x14ac:dyDescent="0.35">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4.25" customHeight="1" x14ac:dyDescent="0.35">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4.25" customHeight="1" x14ac:dyDescent="0.35">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4.25" customHeight="1" x14ac:dyDescent="0.35">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4.25" customHeight="1" x14ac:dyDescent="0.35">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4.25" customHeight="1" x14ac:dyDescent="0.35">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4.25" customHeight="1" x14ac:dyDescent="0.35">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4.25" customHeight="1" x14ac:dyDescent="0.35">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4.25" customHeight="1" x14ac:dyDescent="0.35">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4.25" customHeight="1" x14ac:dyDescent="0.35">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4.25" customHeight="1" x14ac:dyDescent="0.35">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4.25" customHeight="1" x14ac:dyDescent="0.35">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4.25" customHeight="1" x14ac:dyDescent="0.35">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4.25" customHeight="1" x14ac:dyDescent="0.35">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4.25" customHeight="1" x14ac:dyDescent="0.35">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4.25" customHeight="1" x14ac:dyDescent="0.35">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4.25" customHeight="1" x14ac:dyDescent="0.35">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4.25" customHeight="1" x14ac:dyDescent="0.35">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4.25" customHeight="1" x14ac:dyDescent="0.35">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4.25" customHeight="1" x14ac:dyDescent="0.35">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4.25" customHeight="1" x14ac:dyDescent="0.35">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4.25" customHeight="1" x14ac:dyDescent="0.35">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4.25" customHeight="1" x14ac:dyDescent="0.35">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4.25" customHeight="1" x14ac:dyDescent="0.35">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4.25" customHeight="1" x14ac:dyDescent="0.35">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4.25" customHeight="1" x14ac:dyDescent="0.35">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4.25" customHeight="1" x14ac:dyDescent="0.35">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4.25" customHeight="1" x14ac:dyDescent="0.35">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4.25" customHeight="1" x14ac:dyDescent="0.35">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4.25" customHeight="1" x14ac:dyDescent="0.35">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4.25" customHeight="1" x14ac:dyDescent="0.35">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4.25" customHeight="1" x14ac:dyDescent="0.35">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4.25" customHeight="1" x14ac:dyDescent="0.35">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4.25" customHeight="1" x14ac:dyDescent="0.35">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4.25" customHeight="1" x14ac:dyDescent="0.35">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4.25" customHeight="1" x14ac:dyDescent="0.35">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4.25" customHeight="1" x14ac:dyDescent="0.35">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4.25" customHeight="1" x14ac:dyDescent="0.35">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4.25" customHeight="1" x14ac:dyDescent="0.35">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4.25" customHeight="1" x14ac:dyDescent="0.35">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4.25" customHeight="1" x14ac:dyDescent="0.35">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4.25" customHeight="1" x14ac:dyDescent="0.35">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4.25" customHeight="1" x14ac:dyDescent="0.35">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4.25" customHeight="1" x14ac:dyDescent="0.35">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4.25" customHeight="1" x14ac:dyDescent="0.35">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4.25" customHeight="1" x14ac:dyDescent="0.35">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4.25" customHeight="1" x14ac:dyDescent="0.35">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4.25" customHeight="1" x14ac:dyDescent="0.35">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4.25" customHeight="1" x14ac:dyDescent="0.35">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4.25" customHeight="1" x14ac:dyDescent="0.35">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4.25" customHeight="1" x14ac:dyDescent="0.35">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4.25" customHeight="1" x14ac:dyDescent="0.35">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4.25" customHeight="1" x14ac:dyDescent="0.35">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4.25" customHeight="1" x14ac:dyDescent="0.35">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4.25" customHeight="1" x14ac:dyDescent="0.35">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4.25" customHeight="1" x14ac:dyDescent="0.35">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4.25" customHeight="1" x14ac:dyDescent="0.35">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4.25" customHeight="1" x14ac:dyDescent="0.35">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4.25" customHeight="1" x14ac:dyDescent="0.35">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4.25" customHeight="1" x14ac:dyDescent="0.35">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4.25" customHeight="1" x14ac:dyDescent="0.35">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4.25" customHeight="1" x14ac:dyDescent="0.35">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4.25" customHeight="1" x14ac:dyDescent="0.35">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4.25" customHeight="1" x14ac:dyDescent="0.35">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4.25" customHeight="1" x14ac:dyDescent="0.35">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4.25" customHeight="1" x14ac:dyDescent="0.35">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4.25" customHeight="1" x14ac:dyDescent="0.35">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4.25" customHeight="1" x14ac:dyDescent="0.35">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4.25" customHeight="1" x14ac:dyDescent="0.35">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4.25" customHeight="1" x14ac:dyDescent="0.35">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4.25" customHeight="1" x14ac:dyDescent="0.35">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4.25" customHeight="1" x14ac:dyDescent="0.35">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4.25" customHeight="1" x14ac:dyDescent="0.35">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4.25" customHeight="1" x14ac:dyDescent="0.35">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4.25" customHeight="1" x14ac:dyDescent="0.35">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4.25" customHeight="1" x14ac:dyDescent="0.35">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4.25" customHeight="1" x14ac:dyDescent="0.35">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4.25" customHeight="1" x14ac:dyDescent="0.35">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4.25" customHeight="1" x14ac:dyDescent="0.35">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4.25" customHeight="1" x14ac:dyDescent="0.35">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4.25" customHeight="1" x14ac:dyDescent="0.35">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4.25" customHeight="1" x14ac:dyDescent="0.35">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4.25" customHeight="1" x14ac:dyDescent="0.35">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4.25" customHeight="1" x14ac:dyDescent="0.35">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4.25" customHeight="1" x14ac:dyDescent="0.35">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4.25" customHeight="1" x14ac:dyDescent="0.35">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4.25" customHeight="1" x14ac:dyDescent="0.35">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4.25" customHeight="1" x14ac:dyDescent="0.35">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4.25" customHeight="1" x14ac:dyDescent="0.35">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4.25" customHeight="1" x14ac:dyDescent="0.35">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4.25" customHeight="1" x14ac:dyDescent="0.35">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4.25" customHeight="1" x14ac:dyDescent="0.35">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4.25" customHeight="1" x14ac:dyDescent="0.35">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4.25" customHeight="1" x14ac:dyDescent="0.35">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4.25" customHeight="1" x14ac:dyDescent="0.35">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4.25" customHeight="1" x14ac:dyDescent="0.35">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4.25" customHeight="1" x14ac:dyDescent="0.35">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4.25" customHeight="1" x14ac:dyDescent="0.35">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4.25" customHeight="1" x14ac:dyDescent="0.35">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4.25" customHeight="1" x14ac:dyDescent="0.35">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4.25" customHeight="1" x14ac:dyDescent="0.35">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4.25" customHeight="1" x14ac:dyDescent="0.35">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4.25" customHeight="1" x14ac:dyDescent="0.35">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4.25" customHeight="1" x14ac:dyDescent="0.35">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4.25" customHeight="1" x14ac:dyDescent="0.35">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4.25" customHeight="1" x14ac:dyDescent="0.35">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4.25" customHeight="1" x14ac:dyDescent="0.35">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4.25" customHeight="1" x14ac:dyDescent="0.35">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4.25" customHeight="1" x14ac:dyDescent="0.35">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4.25" customHeight="1" x14ac:dyDescent="0.35">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4.25" customHeight="1" x14ac:dyDescent="0.35">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4.25" customHeight="1" x14ac:dyDescent="0.35">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4.25" customHeight="1" x14ac:dyDescent="0.35">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4.25" customHeight="1" x14ac:dyDescent="0.35">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4.25" customHeight="1" x14ac:dyDescent="0.35">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4.25" customHeight="1" x14ac:dyDescent="0.35">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4.25" customHeight="1" x14ac:dyDescent="0.35">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4.25" customHeight="1" x14ac:dyDescent="0.35">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4.25" customHeight="1" x14ac:dyDescent="0.35">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4.25" customHeight="1" x14ac:dyDescent="0.35">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4.25" customHeight="1" x14ac:dyDescent="0.35">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4.25" customHeight="1" x14ac:dyDescent="0.35">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4.25" customHeight="1" x14ac:dyDescent="0.35">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4.25" customHeight="1" x14ac:dyDescent="0.35">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4.25" customHeight="1" x14ac:dyDescent="0.35">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4.25" customHeight="1" x14ac:dyDescent="0.35">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4.25" customHeight="1" x14ac:dyDescent="0.35">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4.25" customHeight="1" x14ac:dyDescent="0.35">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4.25" customHeight="1" x14ac:dyDescent="0.35">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4.25" customHeight="1" x14ac:dyDescent="0.35">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4.25" customHeight="1" x14ac:dyDescent="0.35">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4.25" customHeight="1" x14ac:dyDescent="0.35">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4.25" customHeight="1" x14ac:dyDescent="0.35">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4.25" customHeight="1" x14ac:dyDescent="0.35">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4.25" customHeight="1" x14ac:dyDescent="0.35">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4.25" customHeight="1" x14ac:dyDescent="0.35">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4.25" customHeight="1" x14ac:dyDescent="0.35">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4.25" customHeight="1" x14ac:dyDescent="0.35">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4.25" customHeight="1" x14ac:dyDescent="0.35">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4.25" customHeight="1" x14ac:dyDescent="0.35">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4.25" customHeight="1" x14ac:dyDescent="0.35">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4.25" customHeight="1" x14ac:dyDescent="0.35">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4.25" customHeight="1" x14ac:dyDescent="0.35">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4.25" customHeight="1" x14ac:dyDescent="0.35">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4.25" customHeight="1" x14ac:dyDescent="0.35">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4.25" customHeight="1" x14ac:dyDescent="0.35">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4.25" customHeight="1" x14ac:dyDescent="0.35">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4.25" customHeight="1" x14ac:dyDescent="0.35">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4.25" customHeight="1" x14ac:dyDescent="0.35">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4.25" customHeight="1" x14ac:dyDescent="0.35">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4.25" customHeight="1" x14ac:dyDescent="0.35">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4.25" customHeight="1" x14ac:dyDescent="0.35">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4.25" customHeight="1" x14ac:dyDescent="0.35">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4.25" customHeight="1" x14ac:dyDescent="0.35">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4.25" customHeight="1" x14ac:dyDescent="0.35">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4.25" customHeight="1" x14ac:dyDescent="0.35">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4.25" customHeight="1" x14ac:dyDescent="0.35">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4.25" customHeight="1" x14ac:dyDescent="0.35">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4.25" customHeight="1" x14ac:dyDescent="0.35">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4.25" customHeight="1" x14ac:dyDescent="0.35">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4.25" customHeight="1" x14ac:dyDescent="0.35">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4.25" customHeight="1" x14ac:dyDescent="0.35">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4.25" customHeight="1" x14ac:dyDescent="0.35">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4.25" customHeight="1" x14ac:dyDescent="0.35">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4.25" customHeight="1" x14ac:dyDescent="0.35">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4.25" customHeight="1" x14ac:dyDescent="0.35">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4.25" customHeight="1" x14ac:dyDescent="0.35">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4.25" customHeight="1" x14ac:dyDescent="0.35">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4.25" customHeight="1" x14ac:dyDescent="0.35">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4.25" customHeight="1" x14ac:dyDescent="0.35">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4.25" customHeight="1" x14ac:dyDescent="0.35">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4.25" customHeight="1" x14ac:dyDescent="0.35">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4.25" customHeight="1" x14ac:dyDescent="0.35">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4.25" customHeight="1" x14ac:dyDescent="0.35">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4.25" customHeight="1" x14ac:dyDescent="0.35">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4.25" customHeight="1" x14ac:dyDescent="0.35">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4.25" customHeight="1" x14ac:dyDescent="0.35">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4.25" customHeight="1" x14ac:dyDescent="0.35">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4.25" customHeight="1" x14ac:dyDescent="0.35">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4.25" customHeight="1" x14ac:dyDescent="0.35">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4.25" customHeight="1" x14ac:dyDescent="0.35">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4.25" customHeight="1" x14ac:dyDescent="0.35">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4.25" customHeight="1" x14ac:dyDescent="0.35">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4.25" customHeight="1" x14ac:dyDescent="0.35">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4.25" customHeight="1" x14ac:dyDescent="0.35">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4.25" customHeight="1" x14ac:dyDescent="0.35">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4.25" customHeight="1" x14ac:dyDescent="0.35">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4.25" customHeight="1" x14ac:dyDescent="0.35">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4.25" customHeight="1" x14ac:dyDescent="0.35">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4.25" customHeight="1" x14ac:dyDescent="0.35">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4.25" customHeight="1" x14ac:dyDescent="0.35">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4.25" customHeight="1" x14ac:dyDescent="0.35">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4.25" customHeight="1" x14ac:dyDescent="0.35">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4.25" customHeight="1" x14ac:dyDescent="0.35">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4.25" customHeight="1" x14ac:dyDescent="0.35">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4.25" customHeight="1" x14ac:dyDescent="0.35">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4.25" customHeight="1" x14ac:dyDescent="0.35">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4.25" customHeight="1" x14ac:dyDescent="0.35">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4.25" customHeight="1" x14ac:dyDescent="0.35">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4.25" customHeight="1" x14ac:dyDescent="0.35">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4.25" customHeight="1" x14ac:dyDescent="0.35">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4.25" customHeight="1" x14ac:dyDescent="0.35">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4.25" customHeight="1" x14ac:dyDescent="0.35">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4.25" customHeight="1" x14ac:dyDescent="0.35">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4.25" customHeight="1" x14ac:dyDescent="0.35">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4.25" customHeight="1" x14ac:dyDescent="0.35">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4.25" customHeight="1" x14ac:dyDescent="0.35">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4.25" customHeight="1" x14ac:dyDescent="0.35">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4.25" customHeight="1" x14ac:dyDescent="0.35">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4.25" customHeight="1" x14ac:dyDescent="0.35">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4.25" customHeight="1" x14ac:dyDescent="0.35">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4.25" customHeight="1" x14ac:dyDescent="0.35">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4.25" customHeight="1" x14ac:dyDescent="0.35">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4.25" customHeight="1" x14ac:dyDescent="0.35">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4.25" customHeight="1" x14ac:dyDescent="0.35">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4.25" customHeight="1" x14ac:dyDescent="0.35">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4.25" customHeight="1" x14ac:dyDescent="0.35">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4.25" customHeight="1" x14ac:dyDescent="0.35">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4.25" customHeight="1" x14ac:dyDescent="0.35">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4.25" customHeight="1" x14ac:dyDescent="0.35">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4.25" customHeight="1" x14ac:dyDescent="0.35">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4.25" customHeight="1" x14ac:dyDescent="0.35">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4.25" customHeight="1" x14ac:dyDescent="0.35">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4.25" customHeight="1" x14ac:dyDescent="0.35">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4.25" customHeight="1" x14ac:dyDescent="0.35">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4.25" customHeight="1" x14ac:dyDescent="0.35">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4.25" customHeight="1" x14ac:dyDescent="0.35">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4.25" customHeight="1" x14ac:dyDescent="0.35">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4.25" customHeight="1" x14ac:dyDescent="0.35">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4.25" customHeight="1" x14ac:dyDescent="0.35">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4.25" customHeight="1" x14ac:dyDescent="0.35">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4.25" customHeight="1" x14ac:dyDescent="0.35">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4.25" customHeight="1" x14ac:dyDescent="0.35">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4.25" customHeight="1" x14ac:dyDescent="0.35">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4.25" customHeight="1" x14ac:dyDescent="0.35">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4.25" customHeight="1" x14ac:dyDescent="0.35">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4.25" customHeight="1" x14ac:dyDescent="0.35">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4.25" customHeight="1" x14ac:dyDescent="0.35">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4.25" customHeight="1" x14ac:dyDescent="0.35">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4.25" customHeight="1" x14ac:dyDescent="0.35">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4.25" customHeight="1" x14ac:dyDescent="0.35">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4.25" customHeight="1" x14ac:dyDescent="0.35">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4.25" customHeight="1" x14ac:dyDescent="0.35">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4.25" customHeight="1" x14ac:dyDescent="0.35">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4.25" customHeight="1" x14ac:dyDescent="0.35">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4.25" customHeight="1" x14ac:dyDescent="0.35">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4.25" customHeight="1" x14ac:dyDescent="0.35">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4.25" customHeight="1" x14ac:dyDescent="0.35">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4.25" customHeight="1" x14ac:dyDescent="0.35">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4.25" customHeight="1" x14ac:dyDescent="0.35">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4.25" customHeight="1" x14ac:dyDescent="0.35">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4.25" customHeight="1" x14ac:dyDescent="0.35">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4.25" customHeight="1" x14ac:dyDescent="0.35">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4.25" customHeight="1" x14ac:dyDescent="0.35">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4.25" customHeight="1" x14ac:dyDescent="0.35">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4.25" customHeight="1" x14ac:dyDescent="0.35">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4.25" customHeight="1" x14ac:dyDescent="0.35">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4.25" customHeight="1" x14ac:dyDescent="0.35">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4.25" customHeight="1" x14ac:dyDescent="0.35">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4.25" customHeight="1" x14ac:dyDescent="0.35">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4.25" customHeight="1" x14ac:dyDescent="0.35">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4.25" customHeight="1" x14ac:dyDescent="0.35">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4.25" customHeight="1" x14ac:dyDescent="0.35">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4.25" customHeight="1" x14ac:dyDescent="0.35">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4.25" customHeight="1" x14ac:dyDescent="0.35">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4.25" customHeight="1" x14ac:dyDescent="0.35">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4.25" customHeight="1" x14ac:dyDescent="0.35">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4.25" customHeight="1" x14ac:dyDescent="0.35">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4.25" customHeight="1" x14ac:dyDescent="0.35">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4.25" customHeight="1" x14ac:dyDescent="0.35">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4.25" customHeight="1" x14ac:dyDescent="0.35">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4.25" customHeight="1" x14ac:dyDescent="0.35">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4.25" customHeight="1" x14ac:dyDescent="0.35">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4.25" customHeight="1" x14ac:dyDescent="0.35">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4.25" customHeight="1" x14ac:dyDescent="0.35">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4.25" customHeight="1" x14ac:dyDescent="0.35">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4.25" customHeight="1" x14ac:dyDescent="0.35">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4.25" customHeight="1" x14ac:dyDescent="0.35">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4.25" customHeight="1" x14ac:dyDescent="0.35">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4.25" customHeight="1" x14ac:dyDescent="0.35">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4.25" customHeight="1" x14ac:dyDescent="0.35">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4.25" customHeight="1" x14ac:dyDescent="0.35">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4.25" customHeight="1" x14ac:dyDescent="0.35">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4.25" customHeight="1" x14ac:dyDescent="0.35">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4.25" customHeight="1" x14ac:dyDescent="0.35">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4.25" customHeight="1" x14ac:dyDescent="0.35">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4.25" customHeight="1" x14ac:dyDescent="0.35">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4.25" customHeight="1" x14ac:dyDescent="0.35">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4.25" customHeight="1" x14ac:dyDescent="0.35">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4.25" customHeight="1" x14ac:dyDescent="0.35">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4.25" customHeight="1" x14ac:dyDescent="0.35">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4.25" customHeight="1" x14ac:dyDescent="0.35">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4.25" customHeight="1" x14ac:dyDescent="0.35">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4.25" customHeight="1" x14ac:dyDescent="0.35">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4.25" customHeight="1" x14ac:dyDescent="0.35">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4.25" customHeight="1" x14ac:dyDescent="0.35">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4.25" customHeight="1" x14ac:dyDescent="0.35">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4.25" customHeight="1" x14ac:dyDescent="0.35">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4.25" customHeight="1" x14ac:dyDescent="0.35">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4.25" customHeight="1" x14ac:dyDescent="0.35">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4.25" customHeight="1" x14ac:dyDescent="0.35">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4.25" customHeight="1" x14ac:dyDescent="0.35">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4.25" customHeight="1" x14ac:dyDescent="0.35">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4.25" customHeight="1" x14ac:dyDescent="0.35">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4.25" customHeight="1" x14ac:dyDescent="0.35">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4.25" customHeight="1" x14ac:dyDescent="0.35">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4.25" customHeight="1" x14ac:dyDescent="0.35">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4.25" customHeight="1" x14ac:dyDescent="0.35">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4.25" customHeight="1" x14ac:dyDescent="0.35">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4.25" customHeight="1" x14ac:dyDescent="0.35">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4.25" customHeight="1" x14ac:dyDescent="0.35">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4.25" customHeight="1" x14ac:dyDescent="0.35">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4.25" customHeight="1" x14ac:dyDescent="0.35">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4.25" customHeight="1" x14ac:dyDescent="0.35">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4.25" customHeight="1" x14ac:dyDescent="0.35">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4.25" customHeight="1" x14ac:dyDescent="0.35">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4.25" customHeight="1" x14ac:dyDescent="0.35">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4.25" customHeight="1" x14ac:dyDescent="0.35">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4.25" customHeight="1" x14ac:dyDescent="0.35">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4.25" customHeight="1" x14ac:dyDescent="0.35">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4.25" customHeight="1" x14ac:dyDescent="0.35">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4.25" customHeight="1" x14ac:dyDescent="0.35">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4.25" customHeight="1" x14ac:dyDescent="0.35">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4.25" customHeight="1" x14ac:dyDescent="0.35">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4.25" customHeight="1" x14ac:dyDescent="0.35">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4.25" customHeight="1" x14ac:dyDescent="0.35">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4.25" customHeight="1" x14ac:dyDescent="0.35">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4.25" customHeight="1" x14ac:dyDescent="0.35">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4.25" customHeight="1" x14ac:dyDescent="0.35">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4.25" customHeight="1" x14ac:dyDescent="0.35">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4.25" customHeight="1" x14ac:dyDescent="0.35">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4.25" customHeight="1" x14ac:dyDescent="0.35">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4.25" customHeight="1" x14ac:dyDescent="0.35">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4.25" customHeight="1" x14ac:dyDescent="0.35">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4.25" customHeight="1" x14ac:dyDescent="0.35">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4.25" customHeight="1" x14ac:dyDescent="0.35">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4.25" customHeight="1" x14ac:dyDescent="0.35">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4.25" customHeight="1" x14ac:dyDescent="0.35">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4.25" customHeight="1" x14ac:dyDescent="0.35">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4.25" customHeight="1" x14ac:dyDescent="0.35">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4.25" customHeight="1" x14ac:dyDescent="0.35">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4.25" customHeight="1" x14ac:dyDescent="0.35">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4.25" customHeight="1" x14ac:dyDescent="0.35">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4.25" customHeight="1" x14ac:dyDescent="0.35">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4.25" customHeight="1" x14ac:dyDescent="0.35">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4.25" customHeight="1" x14ac:dyDescent="0.35">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4.25" customHeight="1" x14ac:dyDescent="0.35">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4.25" customHeight="1" x14ac:dyDescent="0.35">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4.25" customHeight="1" x14ac:dyDescent="0.35">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4.25" customHeight="1" x14ac:dyDescent="0.35">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4.25" customHeight="1" x14ac:dyDescent="0.35">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4.25" customHeight="1" x14ac:dyDescent="0.35">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4.25" customHeight="1" x14ac:dyDescent="0.35">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4.25" customHeight="1" x14ac:dyDescent="0.35">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4.25" customHeight="1" x14ac:dyDescent="0.35">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4.25" customHeight="1" x14ac:dyDescent="0.35">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4.25" customHeight="1" x14ac:dyDescent="0.35">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4.25" customHeight="1" x14ac:dyDescent="0.35">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4.25" customHeight="1" x14ac:dyDescent="0.35">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4.25" customHeight="1" x14ac:dyDescent="0.35">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4.25" customHeight="1" x14ac:dyDescent="0.35">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4.25" customHeight="1" x14ac:dyDescent="0.35">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4.25" customHeight="1" x14ac:dyDescent="0.35">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4.25" customHeight="1" x14ac:dyDescent="0.35">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4.25" customHeight="1" x14ac:dyDescent="0.35">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4.25" customHeight="1" x14ac:dyDescent="0.35">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4.25" customHeight="1" x14ac:dyDescent="0.35">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4.25" customHeight="1" x14ac:dyDescent="0.35">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4.25" customHeight="1" x14ac:dyDescent="0.35">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4.25" customHeight="1" x14ac:dyDescent="0.35">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4.25" customHeight="1" x14ac:dyDescent="0.35">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4.25" customHeight="1" x14ac:dyDescent="0.35">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4.25" customHeight="1" x14ac:dyDescent="0.35">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4.25" customHeight="1" x14ac:dyDescent="0.35">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4.25" customHeight="1" x14ac:dyDescent="0.35">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4.25" customHeight="1" x14ac:dyDescent="0.35">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4.25" customHeight="1" x14ac:dyDescent="0.35">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4.25" customHeight="1" x14ac:dyDescent="0.35">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4.25" customHeight="1" x14ac:dyDescent="0.35">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4.25" customHeight="1" x14ac:dyDescent="0.35">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4.25" customHeight="1" x14ac:dyDescent="0.35">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4.25" customHeight="1" x14ac:dyDescent="0.35">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4.25" customHeight="1" x14ac:dyDescent="0.35">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4.25" customHeight="1" x14ac:dyDescent="0.35">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4.25" customHeight="1" x14ac:dyDescent="0.35">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4.25" customHeight="1" x14ac:dyDescent="0.35">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4.25" customHeight="1" x14ac:dyDescent="0.35">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4.25" customHeight="1" x14ac:dyDescent="0.35">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4.25" customHeight="1" x14ac:dyDescent="0.35">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4.25" customHeight="1" x14ac:dyDescent="0.35">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4.25" customHeight="1" x14ac:dyDescent="0.35">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4.25" customHeight="1" x14ac:dyDescent="0.35">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4.25" customHeight="1" x14ac:dyDescent="0.35">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4.25" customHeight="1" x14ac:dyDescent="0.35">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4.25" customHeight="1" x14ac:dyDescent="0.35">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4.25" customHeight="1" x14ac:dyDescent="0.35">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4.25" customHeight="1" x14ac:dyDescent="0.35">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4.25" customHeight="1" x14ac:dyDescent="0.35">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4.25" customHeight="1" x14ac:dyDescent="0.35">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4.25" customHeight="1" x14ac:dyDescent="0.35">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4.25" customHeight="1" x14ac:dyDescent="0.35">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4.25" customHeight="1" x14ac:dyDescent="0.35">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4.25" customHeight="1" x14ac:dyDescent="0.35">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4.25" customHeight="1" x14ac:dyDescent="0.35">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4.25" customHeight="1" x14ac:dyDescent="0.35">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4.25" customHeight="1" x14ac:dyDescent="0.35">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4.25" customHeight="1" x14ac:dyDescent="0.35">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4.25" customHeight="1" x14ac:dyDescent="0.35">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4.25" customHeight="1" x14ac:dyDescent="0.35">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4.25" customHeight="1" x14ac:dyDescent="0.35">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4.25" customHeight="1" x14ac:dyDescent="0.35">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4.25" customHeight="1" x14ac:dyDescent="0.35">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4.25" customHeight="1" x14ac:dyDescent="0.35">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4.25" customHeight="1" x14ac:dyDescent="0.35">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4.25" customHeight="1" x14ac:dyDescent="0.35">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4.25" customHeight="1" x14ac:dyDescent="0.35">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4.25" customHeight="1" x14ac:dyDescent="0.35">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4.25" customHeight="1" x14ac:dyDescent="0.35">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4.25" customHeight="1" x14ac:dyDescent="0.35">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4.25" customHeight="1" x14ac:dyDescent="0.35">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4.25" customHeight="1" x14ac:dyDescent="0.35">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4.25" customHeight="1" x14ac:dyDescent="0.35">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4.25" customHeight="1" x14ac:dyDescent="0.35">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4.25" customHeight="1" x14ac:dyDescent="0.35">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4.25" customHeight="1" x14ac:dyDescent="0.35">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4.25" customHeight="1" x14ac:dyDescent="0.35">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4.25" customHeight="1" x14ac:dyDescent="0.35">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4.25" customHeight="1" x14ac:dyDescent="0.35">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4.25" customHeight="1" x14ac:dyDescent="0.35">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4.25" customHeight="1" x14ac:dyDescent="0.35">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4.25" customHeight="1" x14ac:dyDescent="0.35">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4.25" customHeight="1" x14ac:dyDescent="0.35">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4.25" customHeight="1" x14ac:dyDescent="0.35">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4.25" customHeight="1" x14ac:dyDescent="0.35">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4.25" customHeight="1" x14ac:dyDescent="0.35">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4.25" customHeight="1" x14ac:dyDescent="0.35">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4.25" customHeight="1" x14ac:dyDescent="0.35">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4.25" customHeight="1" x14ac:dyDescent="0.35">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4.25" customHeight="1" x14ac:dyDescent="0.35">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4.25" customHeight="1" x14ac:dyDescent="0.35">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4.25" customHeight="1" x14ac:dyDescent="0.35">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4.25" customHeight="1" x14ac:dyDescent="0.35">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4.25" customHeight="1" x14ac:dyDescent="0.35">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4.25" customHeight="1" x14ac:dyDescent="0.35">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4.25" customHeight="1" x14ac:dyDescent="0.35">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4.25" customHeight="1" x14ac:dyDescent="0.35">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4.25" customHeight="1" x14ac:dyDescent="0.35">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4.25" customHeight="1" x14ac:dyDescent="0.35">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4.25" customHeight="1" x14ac:dyDescent="0.35">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4.25" customHeight="1" x14ac:dyDescent="0.35">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4.25" customHeight="1" x14ac:dyDescent="0.35">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4.25" customHeight="1" x14ac:dyDescent="0.35">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4.25" customHeight="1" x14ac:dyDescent="0.35">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4.25" customHeight="1" x14ac:dyDescent="0.35">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4.25" customHeight="1" x14ac:dyDescent="0.35">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4.25" customHeight="1" x14ac:dyDescent="0.35">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4.25" customHeight="1" x14ac:dyDescent="0.35">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4.25" customHeight="1" x14ac:dyDescent="0.35">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4.25" customHeight="1" x14ac:dyDescent="0.35">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4.25" customHeight="1" x14ac:dyDescent="0.35">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4.25" customHeight="1" x14ac:dyDescent="0.35">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4.25" customHeight="1" x14ac:dyDescent="0.35">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4.25" customHeight="1" x14ac:dyDescent="0.35">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4.25" customHeight="1" x14ac:dyDescent="0.35">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4.25" customHeight="1" x14ac:dyDescent="0.35">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4.25" customHeight="1" x14ac:dyDescent="0.35">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4.25" customHeight="1" x14ac:dyDescent="0.35">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4.25" customHeight="1" x14ac:dyDescent="0.35">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4.25" customHeight="1" x14ac:dyDescent="0.35">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4.25" customHeight="1" x14ac:dyDescent="0.35">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4.25" customHeight="1" x14ac:dyDescent="0.35">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4.25" customHeight="1" x14ac:dyDescent="0.35">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4.25" customHeight="1" x14ac:dyDescent="0.35">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4.25" customHeight="1" x14ac:dyDescent="0.35">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4.25" customHeight="1" x14ac:dyDescent="0.35">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4.25" customHeight="1" x14ac:dyDescent="0.35">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4.25" customHeight="1" x14ac:dyDescent="0.35">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4.25" customHeight="1" x14ac:dyDescent="0.35">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4.25" customHeight="1" x14ac:dyDescent="0.35">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4.25" customHeight="1" x14ac:dyDescent="0.35">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4.25" customHeight="1" x14ac:dyDescent="0.35">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4.25" customHeight="1" x14ac:dyDescent="0.35">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4.25" customHeight="1" x14ac:dyDescent="0.35">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4.25" customHeight="1" x14ac:dyDescent="0.35">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4.25" customHeight="1" x14ac:dyDescent="0.35">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4.25" customHeight="1" x14ac:dyDescent="0.35">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4.25" customHeight="1" x14ac:dyDescent="0.35">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4.25" customHeight="1" x14ac:dyDescent="0.35">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4.25" customHeight="1" x14ac:dyDescent="0.35">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4.25" customHeight="1" x14ac:dyDescent="0.35">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4.25" customHeight="1" x14ac:dyDescent="0.35">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4.25" customHeight="1" x14ac:dyDescent="0.35">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4.25" customHeight="1" x14ac:dyDescent="0.35">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4.25" customHeight="1" x14ac:dyDescent="0.35">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4.25" customHeight="1" x14ac:dyDescent="0.35">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4.25" customHeight="1" x14ac:dyDescent="0.35">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4.25" customHeight="1" x14ac:dyDescent="0.35">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4.25" customHeight="1" x14ac:dyDescent="0.35">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4.25" customHeight="1" x14ac:dyDescent="0.35">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4.25" customHeight="1" x14ac:dyDescent="0.35">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4.25" customHeight="1" x14ac:dyDescent="0.35">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4.25" customHeight="1" x14ac:dyDescent="0.35">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4.25" customHeight="1" x14ac:dyDescent="0.35">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4.25" customHeight="1" x14ac:dyDescent="0.35">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4.25" customHeight="1" x14ac:dyDescent="0.35">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4.25" customHeight="1" x14ac:dyDescent="0.35">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4.25" customHeight="1" x14ac:dyDescent="0.35">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4.25" customHeight="1" x14ac:dyDescent="0.35">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4.25" customHeight="1" x14ac:dyDescent="0.35">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4.25" customHeight="1" x14ac:dyDescent="0.35">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4.25" customHeight="1" x14ac:dyDescent="0.35">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4.25" customHeight="1" x14ac:dyDescent="0.35">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4.25" customHeight="1" x14ac:dyDescent="0.35">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4.25" customHeight="1" x14ac:dyDescent="0.35">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4.25" customHeight="1" x14ac:dyDescent="0.35">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4.25" customHeight="1" x14ac:dyDescent="0.35">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4.25" customHeight="1" x14ac:dyDescent="0.35">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4.25" customHeight="1" x14ac:dyDescent="0.35">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4.25" customHeight="1" x14ac:dyDescent="0.35">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4.25" customHeight="1" x14ac:dyDescent="0.35">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4.25" customHeight="1" x14ac:dyDescent="0.35">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4.25" customHeight="1" x14ac:dyDescent="0.35">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4.25" customHeight="1" x14ac:dyDescent="0.35">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4.25" customHeight="1" x14ac:dyDescent="0.35">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4.25" customHeight="1" x14ac:dyDescent="0.35">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4.25" customHeight="1" x14ac:dyDescent="0.35">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4.25" customHeight="1" x14ac:dyDescent="0.35">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4.25" customHeight="1" x14ac:dyDescent="0.35">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4.25" customHeight="1" x14ac:dyDescent="0.35">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4.25" customHeight="1" x14ac:dyDescent="0.35">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4.25" customHeight="1" x14ac:dyDescent="0.35">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4.25" customHeight="1" x14ac:dyDescent="0.35">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4.25" customHeight="1" x14ac:dyDescent="0.35">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4.25" customHeight="1" x14ac:dyDescent="0.35">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4.25" customHeight="1" x14ac:dyDescent="0.35">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4.25" customHeight="1" x14ac:dyDescent="0.35">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4.25" customHeight="1" x14ac:dyDescent="0.35">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4.25" customHeight="1" x14ac:dyDescent="0.35">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4.25" customHeight="1" x14ac:dyDescent="0.35">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4.25" customHeight="1" x14ac:dyDescent="0.35">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4.25" customHeight="1" x14ac:dyDescent="0.35">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4.25" customHeight="1" x14ac:dyDescent="0.35">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4.25" customHeight="1" x14ac:dyDescent="0.35">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4.25" customHeight="1" x14ac:dyDescent="0.35">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4.25" customHeight="1" x14ac:dyDescent="0.35">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4.25" customHeight="1" x14ac:dyDescent="0.35">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4.25" customHeight="1" x14ac:dyDescent="0.35">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4.25" customHeight="1" x14ac:dyDescent="0.35">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4.25" customHeight="1" x14ac:dyDescent="0.35">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4.25" customHeight="1" x14ac:dyDescent="0.35">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4.25" customHeight="1" x14ac:dyDescent="0.35">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4.25" customHeight="1" x14ac:dyDescent="0.35">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4.25" customHeight="1" x14ac:dyDescent="0.35">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4.25" customHeight="1" x14ac:dyDescent="0.35">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4.25" customHeight="1" x14ac:dyDescent="0.35">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4.25" customHeight="1" x14ac:dyDescent="0.35">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4.25" customHeight="1" x14ac:dyDescent="0.35">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4.25" customHeight="1" x14ac:dyDescent="0.35">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4.25" customHeight="1" x14ac:dyDescent="0.35">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4.25" customHeight="1" x14ac:dyDescent="0.35">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4.25" customHeight="1" x14ac:dyDescent="0.35">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4.25" customHeight="1" x14ac:dyDescent="0.35">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4.25" customHeight="1" x14ac:dyDescent="0.35">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4.25" customHeight="1" x14ac:dyDescent="0.35">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4.25" customHeight="1" x14ac:dyDescent="0.35">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4.25" customHeight="1" x14ac:dyDescent="0.35">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4.25" customHeight="1" x14ac:dyDescent="0.35">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4.25" customHeight="1" x14ac:dyDescent="0.35">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4.25" customHeight="1" x14ac:dyDescent="0.35">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4.25" customHeight="1" x14ac:dyDescent="0.35">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4.25" customHeight="1" x14ac:dyDescent="0.35">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4.25" customHeight="1" x14ac:dyDescent="0.35">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4.25" customHeight="1" x14ac:dyDescent="0.35">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4.25" customHeight="1" x14ac:dyDescent="0.35">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4.25" customHeight="1" x14ac:dyDescent="0.35">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4.25" customHeight="1" x14ac:dyDescent="0.35">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4.25" customHeight="1" x14ac:dyDescent="0.35">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4.25" customHeight="1" x14ac:dyDescent="0.35">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4.25" customHeight="1" x14ac:dyDescent="0.35">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4.25" customHeight="1" x14ac:dyDescent="0.35">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4.25" customHeight="1" x14ac:dyDescent="0.35">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4.25" customHeight="1" x14ac:dyDescent="0.35">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4.25" customHeight="1" x14ac:dyDescent="0.35">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4.25" customHeight="1" x14ac:dyDescent="0.35">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4.25" customHeight="1" x14ac:dyDescent="0.35">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4.25" customHeight="1" x14ac:dyDescent="0.35">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4.25" customHeight="1" x14ac:dyDescent="0.35">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4.25" customHeight="1" x14ac:dyDescent="0.35">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4.25" customHeight="1" x14ac:dyDescent="0.35">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4.25" customHeight="1" x14ac:dyDescent="0.35">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4.25" customHeight="1" x14ac:dyDescent="0.35">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4.25" customHeight="1" x14ac:dyDescent="0.35">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4.25" customHeight="1" x14ac:dyDescent="0.35">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4.25" customHeight="1" x14ac:dyDescent="0.35">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4.25" customHeight="1" x14ac:dyDescent="0.35">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4.25" customHeight="1" x14ac:dyDescent="0.35">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4.25" customHeight="1" x14ac:dyDescent="0.35">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4.25" customHeight="1" x14ac:dyDescent="0.35">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4.25" customHeight="1" x14ac:dyDescent="0.35">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4.25" customHeight="1" x14ac:dyDescent="0.35">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4.25" customHeight="1" x14ac:dyDescent="0.35">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4.25" customHeight="1" x14ac:dyDescent="0.35">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4.25" customHeight="1" x14ac:dyDescent="0.35">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4.25" customHeight="1" x14ac:dyDescent="0.35">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4.25" customHeight="1" x14ac:dyDescent="0.35">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4.25" customHeight="1" x14ac:dyDescent="0.35">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4.25" customHeight="1" x14ac:dyDescent="0.35">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4.25" customHeight="1" x14ac:dyDescent="0.35">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4.25" customHeight="1" x14ac:dyDescent="0.35">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4.25" customHeight="1" x14ac:dyDescent="0.35">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4.25" customHeight="1" x14ac:dyDescent="0.35">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4.25" customHeight="1" x14ac:dyDescent="0.35">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4.25" customHeight="1" x14ac:dyDescent="0.35">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4.25" customHeight="1" x14ac:dyDescent="0.35">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4.25" customHeight="1" x14ac:dyDescent="0.35">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4.25" customHeight="1" x14ac:dyDescent="0.35">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4.25" customHeight="1" x14ac:dyDescent="0.35">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4.25" customHeight="1" x14ac:dyDescent="0.35">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4.25" customHeight="1" x14ac:dyDescent="0.35">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4.25" customHeight="1" x14ac:dyDescent="0.35">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4.25" customHeight="1" x14ac:dyDescent="0.35">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4.25" customHeight="1" x14ac:dyDescent="0.35">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4.25" customHeight="1" x14ac:dyDescent="0.35">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4.25" customHeight="1" x14ac:dyDescent="0.35">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4.25" customHeight="1" x14ac:dyDescent="0.35">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4.25" customHeight="1" x14ac:dyDescent="0.35">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4.25" customHeight="1" x14ac:dyDescent="0.35">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4.25" customHeight="1" x14ac:dyDescent="0.35">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4.25" customHeight="1" x14ac:dyDescent="0.35">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4.25" customHeight="1" x14ac:dyDescent="0.35">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4.25" customHeight="1" x14ac:dyDescent="0.35">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4.25" customHeight="1" x14ac:dyDescent="0.35">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4.25" customHeight="1" x14ac:dyDescent="0.35">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4.25" customHeight="1" x14ac:dyDescent="0.35">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4.25" customHeight="1" x14ac:dyDescent="0.35">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4.25" customHeight="1" x14ac:dyDescent="0.35">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4.25" customHeight="1" x14ac:dyDescent="0.35">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4.25" customHeight="1" x14ac:dyDescent="0.35">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4.25" customHeight="1" x14ac:dyDescent="0.35">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4.25" customHeight="1" x14ac:dyDescent="0.35">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4.25" customHeight="1" x14ac:dyDescent="0.35">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4.25" customHeight="1" x14ac:dyDescent="0.35">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4.25" customHeight="1" x14ac:dyDescent="0.35">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4.25" customHeight="1" x14ac:dyDescent="0.35">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4.25" customHeight="1" x14ac:dyDescent="0.35">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4.25" customHeight="1" x14ac:dyDescent="0.35">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4.25" customHeight="1" x14ac:dyDescent="0.35">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4.25" customHeight="1" x14ac:dyDescent="0.35">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4.25" customHeight="1" x14ac:dyDescent="0.35">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4.25" customHeight="1" x14ac:dyDescent="0.35">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4.25" customHeight="1" x14ac:dyDescent="0.35">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4.25" customHeight="1" x14ac:dyDescent="0.35">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4.25" customHeight="1" x14ac:dyDescent="0.35">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4.25" customHeight="1" x14ac:dyDescent="0.35">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4.25" customHeight="1" x14ac:dyDescent="0.35">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4.25" customHeight="1" x14ac:dyDescent="0.35">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4.25" customHeight="1" x14ac:dyDescent="0.35">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4.25" customHeight="1" x14ac:dyDescent="0.35">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4.25" customHeight="1" x14ac:dyDescent="0.35">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4.25" customHeight="1" x14ac:dyDescent="0.35">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4.25" customHeight="1" x14ac:dyDescent="0.35">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4.25" customHeight="1" x14ac:dyDescent="0.35">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4.25" customHeight="1" x14ac:dyDescent="0.35">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4.25" customHeight="1" x14ac:dyDescent="0.35">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4.25" customHeight="1" x14ac:dyDescent="0.35">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4.25" customHeight="1" x14ac:dyDescent="0.35">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4.25" customHeight="1" x14ac:dyDescent="0.35">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4.25" customHeight="1" x14ac:dyDescent="0.35">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4.25" customHeight="1" x14ac:dyDescent="0.35">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4.25" customHeight="1" x14ac:dyDescent="0.35">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4.25" customHeight="1" x14ac:dyDescent="0.35">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4.25" customHeight="1" x14ac:dyDescent="0.35">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4.25" customHeight="1" x14ac:dyDescent="0.35">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4.25" customHeight="1" x14ac:dyDescent="0.35">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4.25" customHeight="1" x14ac:dyDescent="0.35">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4.25" customHeight="1" x14ac:dyDescent="0.35">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4.25" customHeight="1" x14ac:dyDescent="0.35">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4.25" customHeight="1" x14ac:dyDescent="0.35">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4.25" customHeight="1" x14ac:dyDescent="0.35">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4.25" customHeight="1" x14ac:dyDescent="0.35">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4.25" customHeight="1" x14ac:dyDescent="0.35">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4.25" customHeight="1" x14ac:dyDescent="0.35">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4.25" customHeight="1" x14ac:dyDescent="0.35">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4.25" customHeight="1" x14ac:dyDescent="0.35">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4.25" customHeight="1" x14ac:dyDescent="0.35">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4.25" customHeight="1" x14ac:dyDescent="0.35">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4.25" customHeight="1" x14ac:dyDescent="0.35">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4.25" customHeight="1" x14ac:dyDescent="0.35">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4.25" customHeight="1" x14ac:dyDescent="0.35">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4.25" customHeight="1" x14ac:dyDescent="0.35">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4.25" customHeight="1" x14ac:dyDescent="0.35">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4.25" customHeight="1" x14ac:dyDescent="0.35">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4.25" customHeight="1" x14ac:dyDescent="0.35">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4.25" customHeight="1" x14ac:dyDescent="0.35">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4.25" customHeight="1" x14ac:dyDescent="0.35">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4.25" customHeight="1" x14ac:dyDescent="0.35">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4.25" customHeight="1" x14ac:dyDescent="0.35">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4.25" customHeight="1" x14ac:dyDescent="0.35">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4.25" customHeight="1" x14ac:dyDescent="0.35">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4.25" customHeight="1" x14ac:dyDescent="0.35">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4.25" customHeight="1" x14ac:dyDescent="0.35">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4.25" customHeight="1" x14ac:dyDescent="0.35">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4.25" customHeight="1" x14ac:dyDescent="0.35">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4.25" customHeight="1" x14ac:dyDescent="0.35">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4.25" customHeight="1" x14ac:dyDescent="0.35">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4.25" customHeight="1" x14ac:dyDescent="0.35">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4.25" customHeight="1" x14ac:dyDescent="0.35">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4.25" customHeight="1" x14ac:dyDescent="0.35">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4.25" customHeight="1" x14ac:dyDescent="0.35">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4.25" customHeight="1" x14ac:dyDescent="0.35">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4.25" customHeight="1" x14ac:dyDescent="0.35">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4.25" customHeight="1" x14ac:dyDescent="0.35">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4.25" customHeight="1" x14ac:dyDescent="0.35">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4.25" customHeight="1" x14ac:dyDescent="0.35">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4.25" customHeight="1" x14ac:dyDescent="0.35">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4.25" customHeight="1" x14ac:dyDescent="0.35">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4.25" customHeight="1" x14ac:dyDescent="0.35">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4.25" customHeight="1" x14ac:dyDescent="0.35">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4.25" customHeight="1" x14ac:dyDescent="0.35">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4.25" customHeight="1" x14ac:dyDescent="0.35">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4.25" customHeight="1" x14ac:dyDescent="0.35">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4.25" customHeight="1" x14ac:dyDescent="0.35">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4.25" customHeight="1" x14ac:dyDescent="0.35">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4.25" customHeight="1" x14ac:dyDescent="0.35">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4.25" customHeight="1" x14ac:dyDescent="0.35">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4.25" customHeight="1" x14ac:dyDescent="0.35">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4.25" customHeight="1" x14ac:dyDescent="0.35">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4.25" customHeight="1" x14ac:dyDescent="0.35">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4.25" customHeight="1" x14ac:dyDescent="0.35">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4.25" customHeight="1" x14ac:dyDescent="0.35">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4.25" customHeight="1" x14ac:dyDescent="0.35">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4.25" customHeight="1" x14ac:dyDescent="0.35">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4.25" customHeight="1" x14ac:dyDescent="0.35">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4.25" customHeight="1" x14ac:dyDescent="0.35">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4.25" customHeight="1" x14ac:dyDescent="0.35">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4.25" customHeight="1" x14ac:dyDescent="0.35">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4.25" customHeight="1" x14ac:dyDescent="0.35">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4.25" customHeight="1" x14ac:dyDescent="0.35">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4.25" customHeight="1" x14ac:dyDescent="0.35">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4.25" customHeight="1" x14ac:dyDescent="0.35">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4.25" customHeight="1" x14ac:dyDescent="0.35">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4.25" customHeight="1" x14ac:dyDescent="0.35">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4.25" customHeight="1" x14ac:dyDescent="0.35">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4.25" customHeight="1" x14ac:dyDescent="0.35">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4.25" customHeight="1" x14ac:dyDescent="0.35">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4.25" customHeight="1" x14ac:dyDescent="0.35">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4.25" customHeight="1" x14ac:dyDescent="0.35">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4.25" customHeight="1" x14ac:dyDescent="0.35">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4.25" customHeight="1" x14ac:dyDescent="0.35">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4.25" customHeight="1" x14ac:dyDescent="0.35">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4.25" customHeight="1" x14ac:dyDescent="0.35">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4.25" customHeight="1" x14ac:dyDescent="0.35">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4.25" customHeight="1" x14ac:dyDescent="0.35">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4.25" customHeight="1" x14ac:dyDescent="0.35">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4.25" customHeight="1" x14ac:dyDescent="0.35">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4.25" customHeight="1" x14ac:dyDescent="0.35">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4.25" customHeight="1" x14ac:dyDescent="0.35">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4.25" customHeight="1" x14ac:dyDescent="0.35">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4.25" customHeight="1" x14ac:dyDescent="0.35">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4.25" customHeight="1" x14ac:dyDescent="0.35">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4.25" customHeight="1" x14ac:dyDescent="0.35">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4.25" customHeight="1" x14ac:dyDescent="0.35">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4.25" customHeight="1" x14ac:dyDescent="0.35">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4.25" customHeight="1" x14ac:dyDescent="0.35">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4.25" customHeight="1" x14ac:dyDescent="0.35">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4.25" customHeight="1" x14ac:dyDescent="0.35">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2">
    <mergeCell ref="A1:G3"/>
    <mergeCell ref="H25:M2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000"/>
  <sheetViews>
    <sheetView workbookViewId="0">
      <selection sqref="A1:J4"/>
    </sheetView>
  </sheetViews>
  <sheetFormatPr defaultColWidth="14.453125" defaultRowHeight="15" customHeight="1" x14ac:dyDescent="0.35"/>
  <cols>
    <col min="1" max="1" width="15.6328125" customWidth="1"/>
    <col min="2" max="2" width="35.81640625" customWidth="1"/>
    <col min="3" max="3" width="12.6328125" customWidth="1"/>
    <col min="4" max="6" width="8.6328125" customWidth="1"/>
    <col min="7" max="7" width="10" customWidth="1"/>
    <col min="8" max="8" width="12.6328125" customWidth="1"/>
    <col min="9" max="26" width="8.6328125" customWidth="1"/>
  </cols>
  <sheetData>
    <row r="1" spans="1:10" ht="14.25" customHeight="1" x14ac:dyDescent="0.35">
      <c r="A1" s="212" t="s">
        <v>137</v>
      </c>
      <c r="B1" s="199"/>
      <c r="C1" s="199"/>
      <c r="D1" s="199"/>
      <c r="E1" s="199"/>
      <c r="F1" s="199"/>
      <c r="G1" s="199"/>
      <c r="H1" s="199"/>
      <c r="I1" s="199"/>
      <c r="J1" s="199"/>
    </row>
    <row r="2" spans="1:10" ht="14.25" customHeight="1" x14ac:dyDescent="0.35">
      <c r="A2" s="199"/>
      <c r="B2" s="199"/>
      <c r="C2" s="199"/>
      <c r="D2" s="199"/>
      <c r="E2" s="199"/>
      <c r="F2" s="199"/>
      <c r="G2" s="199"/>
      <c r="H2" s="199"/>
      <c r="I2" s="199"/>
      <c r="J2" s="199"/>
    </row>
    <row r="3" spans="1:10" ht="14.25" customHeight="1" x14ac:dyDescent="0.35">
      <c r="A3" s="199"/>
      <c r="B3" s="199"/>
      <c r="C3" s="199"/>
      <c r="D3" s="199"/>
      <c r="E3" s="199"/>
      <c r="F3" s="199"/>
      <c r="G3" s="199"/>
      <c r="H3" s="199"/>
      <c r="I3" s="199"/>
      <c r="J3" s="199"/>
    </row>
    <row r="4" spans="1:10" ht="14.25" customHeight="1" x14ac:dyDescent="0.35">
      <c r="A4" s="199"/>
      <c r="B4" s="199"/>
      <c r="C4" s="199"/>
      <c r="D4" s="199"/>
      <c r="E4" s="199"/>
      <c r="F4" s="199"/>
      <c r="G4" s="199"/>
      <c r="H4" s="199"/>
      <c r="I4" s="199"/>
      <c r="J4" s="199"/>
    </row>
    <row r="5" spans="1:10" ht="14.25" customHeight="1" x14ac:dyDescent="0.35">
      <c r="A5" s="62"/>
      <c r="B5" s="62"/>
      <c r="C5" s="62"/>
      <c r="D5" s="62"/>
      <c r="E5" s="62"/>
      <c r="F5" s="62"/>
      <c r="G5" s="63"/>
      <c r="H5" s="63"/>
      <c r="I5" s="63"/>
      <c r="J5" s="63"/>
    </row>
    <row r="6" spans="1:10" ht="14.25" customHeight="1" x14ac:dyDescent="0.35">
      <c r="A6" s="64"/>
      <c r="B6" s="62">
        <v>19000</v>
      </c>
      <c r="C6" s="64"/>
      <c r="D6" s="62"/>
      <c r="E6" s="64"/>
      <c r="F6" s="62"/>
      <c r="G6" s="63"/>
      <c r="H6" s="63"/>
      <c r="I6" s="63"/>
      <c r="J6" s="63"/>
    </row>
    <row r="7" spans="1:10" ht="14.25" customHeight="1" x14ac:dyDescent="0.35">
      <c r="A7" s="64"/>
      <c r="B7" s="62">
        <v>4500</v>
      </c>
      <c r="C7" s="64"/>
      <c r="E7" s="64"/>
      <c r="F7" s="62"/>
      <c r="G7" s="63"/>
      <c r="H7" s="63"/>
      <c r="I7" s="63"/>
      <c r="J7" s="63"/>
    </row>
    <row r="8" spans="1:10" ht="14.25" customHeight="1" x14ac:dyDescent="0.35">
      <c r="A8" s="62">
        <v>4</v>
      </c>
      <c r="B8" s="62">
        <v>1.032</v>
      </c>
      <c r="C8" s="64"/>
      <c r="D8" s="62"/>
      <c r="E8" s="64"/>
      <c r="F8" s="62"/>
      <c r="G8" s="63"/>
      <c r="H8" s="63"/>
      <c r="I8" s="63"/>
      <c r="J8" s="63"/>
    </row>
    <row r="9" spans="1:10" ht="14.25" customHeight="1" x14ac:dyDescent="0.35">
      <c r="A9" s="62">
        <v>5</v>
      </c>
      <c r="B9" s="14">
        <v>1.028</v>
      </c>
      <c r="C9" s="64"/>
      <c r="D9" s="65"/>
      <c r="E9" s="64"/>
      <c r="F9" s="65"/>
      <c r="G9" s="63"/>
      <c r="H9" s="63"/>
      <c r="I9" s="63"/>
      <c r="J9" s="63"/>
    </row>
    <row r="10" spans="1:10" ht="14.25" customHeight="1" x14ac:dyDescent="0.35">
      <c r="A10" s="62">
        <v>2</v>
      </c>
      <c r="B10" s="14">
        <v>1.0169999999999999</v>
      </c>
      <c r="C10" s="64"/>
      <c r="D10" s="65"/>
      <c r="E10" s="64"/>
      <c r="F10" s="65"/>
      <c r="G10" s="63"/>
      <c r="H10" s="63"/>
      <c r="I10" s="63"/>
      <c r="J10" s="63"/>
    </row>
    <row r="11" spans="1:10" ht="14.25" customHeight="1" x14ac:dyDescent="0.35">
      <c r="A11" s="64"/>
      <c r="B11" s="63"/>
      <c r="C11" s="66"/>
      <c r="D11" s="63"/>
      <c r="E11" s="64"/>
      <c r="F11" s="63"/>
      <c r="G11" s="63"/>
      <c r="H11" s="63"/>
      <c r="I11" s="63"/>
      <c r="J11" s="63"/>
    </row>
    <row r="12" spans="1:10" ht="14.25" customHeight="1" x14ac:dyDescent="0.35">
      <c r="C12" s="66"/>
    </row>
    <row r="13" spans="1:10" ht="14.25" customHeight="1" x14ac:dyDescent="0.35"/>
    <row r="14" spans="1:10" ht="14.25" customHeight="1" x14ac:dyDescent="0.35">
      <c r="A14" s="49" t="s">
        <v>138</v>
      </c>
      <c r="B14" s="67" t="s">
        <v>139</v>
      </c>
      <c r="C14" s="48">
        <f>B6*B8^4</f>
        <v>21551.246290944</v>
      </c>
    </row>
    <row r="15" spans="1:10" ht="14.25" customHeight="1" x14ac:dyDescent="0.35">
      <c r="B15" s="68"/>
    </row>
    <row r="16" spans="1:10" ht="29" x14ac:dyDescent="0.35">
      <c r="A16" s="49" t="s">
        <v>140</v>
      </c>
      <c r="B16" s="67" t="s">
        <v>274</v>
      </c>
      <c r="C16" s="48">
        <f>C14*B9^2-4500</f>
        <v>18275.012260328964</v>
      </c>
    </row>
    <row r="17" spans="1:3" ht="14.25" customHeight="1" x14ac:dyDescent="0.35">
      <c r="B17" s="68"/>
    </row>
    <row r="18" spans="1:3" ht="14.25" customHeight="1" x14ac:dyDescent="0.35">
      <c r="A18" s="49" t="s">
        <v>141</v>
      </c>
      <c r="B18" s="67" t="s">
        <v>142</v>
      </c>
      <c r="C18" s="48">
        <f>C16*B9^3*B10^2</f>
        <v>20534.253860750909</v>
      </c>
    </row>
    <row r="19" spans="1:3" ht="14.25" customHeight="1" x14ac:dyDescent="0.35"/>
    <row r="20" spans="1:3" ht="14.25" customHeight="1" x14ac:dyDescent="0.35">
      <c r="C20" s="56"/>
    </row>
    <row r="21" spans="1:3" ht="14.25" customHeight="1" x14ac:dyDescent="0.35"/>
    <row r="22" spans="1:3" ht="14.25" customHeight="1" x14ac:dyDescent="0.35"/>
    <row r="23" spans="1:3" ht="14.25" customHeight="1" x14ac:dyDescent="0.35"/>
    <row r="24" spans="1:3" ht="14.25" customHeight="1" x14ac:dyDescent="0.35"/>
    <row r="25" spans="1:3" ht="14.25" customHeight="1" x14ac:dyDescent="0.35"/>
    <row r="26" spans="1:3" ht="14.25" customHeight="1" x14ac:dyDescent="0.35"/>
    <row r="27" spans="1:3" ht="14.25" customHeight="1" x14ac:dyDescent="0.35"/>
    <row r="28" spans="1:3" ht="14.25" customHeight="1" x14ac:dyDescent="0.35"/>
    <row r="29" spans="1:3" ht="14.25" customHeight="1" x14ac:dyDescent="0.35"/>
    <row r="30" spans="1:3" ht="14.25" customHeight="1" x14ac:dyDescent="0.35"/>
    <row r="31" spans="1:3" ht="14.25" customHeight="1" x14ac:dyDescent="0.35"/>
    <row r="32" spans="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J4"/>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000"/>
  <sheetViews>
    <sheetView workbookViewId="0">
      <selection sqref="A1:J5"/>
    </sheetView>
  </sheetViews>
  <sheetFormatPr defaultColWidth="14.453125" defaultRowHeight="15" customHeight="1" x14ac:dyDescent="0.35"/>
  <cols>
    <col min="1" max="1" width="8.6328125" customWidth="1"/>
    <col min="2" max="2" width="15" customWidth="1"/>
    <col min="3" max="3" width="17" customWidth="1"/>
    <col min="4" max="4" width="10.6328125" customWidth="1"/>
    <col min="5" max="6" width="8.6328125" customWidth="1"/>
    <col min="7" max="7" width="13.6328125" customWidth="1"/>
    <col min="8" max="8" width="15.453125" customWidth="1"/>
    <col min="9" max="9" width="9.6328125" customWidth="1"/>
    <col min="10" max="26" width="8.6328125" customWidth="1"/>
  </cols>
  <sheetData>
    <row r="1" spans="1:10" ht="15" customHeight="1" x14ac:dyDescent="0.35">
      <c r="A1" s="213" t="s">
        <v>245</v>
      </c>
      <c r="B1" s="199"/>
      <c r="C1" s="199"/>
      <c r="D1" s="199"/>
      <c r="E1" s="199"/>
      <c r="F1" s="199"/>
      <c r="G1" s="199"/>
      <c r="H1" s="199"/>
      <c r="I1" s="199"/>
      <c r="J1" s="199"/>
    </row>
    <row r="2" spans="1:10" ht="15" customHeight="1" x14ac:dyDescent="0.35">
      <c r="A2" s="199"/>
      <c r="B2" s="199"/>
      <c r="C2" s="199"/>
      <c r="D2" s="199"/>
      <c r="E2" s="199"/>
      <c r="F2" s="199"/>
      <c r="G2" s="199"/>
      <c r="H2" s="199"/>
      <c r="I2" s="199"/>
      <c r="J2" s="199"/>
    </row>
    <row r="3" spans="1:10" ht="15" customHeight="1" x14ac:dyDescent="0.35">
      <c r="A3" s="199"/>
      <c r="B3" s="199"/>
      <c r="C3" s="199"/>
      <c r="D3" s="199"/>
      <c r="E3" s="199"/>
      <c r="F3" s="199"/>
      <c r="G3" s="199"/>
      <c r="H3" s="199"/>
      <c r="I3" s="199"/>
      <c r="J3" s="199"/>
    </row>
    <row r="4" spans="1:10" ht="15" customHeight="1" x14ac:dyDescent="0.35">
      <c r="A4" s="199"/>
      <c r="B4" s="199"/>
      <c r="C4" s="199"/>
      <c r="D4" s="199"/>
      <c r="E4" s="199"/>
      <c r="F4" s="199"/>
      <c r="G4" s="199"/>
      <c r="H4" s="199"/>
      <c r="I4" s="199"/>
      <c r="J4" s="199"/>
    </row>
    <row r="5" spans="1:10" ht="15" customHeight="1" x14ac:dyDescent="0.35">
      <c r="A5" s="199"/>
      <c r="B5" s="199"/>
      <c r="C5" s="199"/>
      <c r="D5" s="199"/>
      <c r="E5" s="199"/>
      <c r="F5" s="199"/>
      <c r="G5" s="199"/>
      <c r="H5" s="199"/>
      <c r="I5" s="199"/>
      <c r="J5" s="199"/>
    </row>
    <row r="6" spans="1:10" ht="15" customHeight="1" x14ac:dyDescent="0.35">
      <c r="A6" s="69"/>
      <c r="B6" s="69"/>
      <c r="C6" s="69"/>
      <c r="D6" s="69"/>
      <c r="E6" s="69"/>
      <c r="F6" s="69"/>
      <c r="G6" s="69"/>
      <c r="H6" s="69"/>
      <c r="I6" s="69"/>
      <c r="J6" s="69"/>
    </row>
    <row r="7" spans="1:10" ht="15" customHeight="1" x14ac:dyDescent="0.35">
      <c r="A7" s="69" t="s">
        <v>143</v>
      </c>
      <c r="B7" s="70">
        <v>63000</v>
      </c>
      <c r="C7" s="69"/>
      <c r="D7" s="69"/>
      <c r="E7" s="69"/>
      <c r="F7" s="69"/>
      <c r="G7" s="69"/>
      <c r="H7" s="69"/>
      <c r="I7" s="69"/>
      <c r="J7" s="69"/>
    </row>
    <row r="8" spans="1:10" ht="15" customHeight="1" x14ac:dyDescent="0.35">
      <c r="A8" s="69" t="s">
        <v>144</v>
      </c>
      <c r="B8" s="71">
        <v>1.7000000000000001E-2</v>
      </c>
      <c r="C8" s="69"/>
      <c r="D8" s="69"/>
      <c r="E8" s="69"/>
      <c r="F8" s="69"/>
      <c r="G8" s="69"/>
      <c r="H8" s="69"/>
      <c r="I8" s="69"/>
      <c r="J8" s="69"/>
    </row>
    <row r="9" spans="1:10" ht="15" customHeight="1" x14ac:dyDescent="0.35">
      <c r="A9" s="3" t="s">
        <v>145</v>
      </c>
      <c r="B9" s="72">
        <f>1+B8</f>
        <v>1.0169999999999999</v>
      </c>
    </row>
    <row r="10" spans="1:10" ht="15" customHeight="1" x14ac:dyDescent="0.35">
      <c r="A10" s="214" t="s">
        <v>146</v>
      </c>
      <c r="B10" s="194"/>
      <c r="C10" s="192"/>
      <c r="F10" s="214" t="s">
        <v>147</v>
      </c>
      <c r="G10" s="194"/>
      <c r="H10" s="192"/>
    </row>
    <row r="11" spans="1:10" ht="29" x14ac:dyDescent="0.35">
      <c r="A11" s="22" t="s">
        <v>148</v>
      </c>
      <c r="B11" s="73" t="s">
        <v>149</v>
      </c>
      <c r="C11" s="22" t="s">
        <v>150</v>
      </c>
      <c r="D11" s="51"/>
      <c r="E11" s="51"/>
      <c r="F11" s="22" t="s">
        <v>148</v>
      </c>
      <c r="G11" s="73" t="s">
        <v>149</v>
      </c>
      <c r="H11" s="22" t="s">
        <v>150</v>
      </c>
    </row>
    <row r="12" spans="1:10" ht="15" customHeight="1" x14ac:dyDescent="0.35">
      <c r="A12" s="7">
        <v>0</v>
      </c>
      <c r="B12" s="74"/>
      <c r="C12" s="74">
        <f>B7</f>
        <v>63000</v>
      </c>
      <c r="F12" s="7">
        <v>0</v>
      </c>
      <c r="G12" s="74"/>
      <c r="H12" s="74">
        <f>B7</f>
        <v>63000</v>
      </c>
    </row>
    <row r="13" spans="1:10" ht="15" customHeight="1" x14ac:dyDescent="0.35">
      <c r="A13" s="7">
        <v>1</v>
      </c>
      <c r="B13" s="74">
        <f>ROUND($C$12*$B$8,2)</f>
        <v>1071</v>
      </c>
      <c r="C13" s="74">
        <f t="shared" ref="C13:C21" si="0">C12+B13</f>
        <v>64071</v>
      </c>
      <c r="F13" s="7">
        <v>1</v>
      </c>
      <c r="G13" s="74">
        <f t="shared" ref="G13:G21" si="1">ROUND(H12*$B$8,2)</f>
        <v>1071</v>
      </c>
      <c r="H13" s="74">
        <f t="shared" ref="H13:H21" si="2">H12+G13</f>
        <v>64071</v>
      </c>
    </row>
    <row r="14" spans="1:10" ht="15" customHeight="1" x14ac:dyDescent="0.35">
      <c r="A14" s="7">
        <v>2</v>
      </c>
      <c r="B14" s="74">
        <f t="shared" ref="B14:B21" si="3">ROUND($C$12*$B$8,2)</f>
        <v>1071</v>
      </c>
      <c r="C14" s="74">
        <f t="shared" si="0"/>
        <v>65142</v>
      </c>
      <c r="F14" s="7">
        <v>2</v>
      </c>
      <c r="G14" s="74">
        <f>ROUND(H13*$B$8,2)</f>
        <v>1089.21</v>
      </c>
      <c r="H14" s="74">
        <f t="shared" si="2"/>
        <v>65160.21</v>
      </c>
    </row>
    <row r="15" spans="1:10" ht="15" customHeight="1" x14ac:dyDescent="0.35">
      <c r="A15" s="7">
        <v>3</v>
      </c>
      <c r="B15" s="74">
        <f t="shared" si="3"/>
        <v>1071</v>
      </c>
      <c r="C15" s="74">
        <f t="shared" si="0"/>
        <v>66213</v>
      </c>
      <c r="F15" s="7">
        <v>3</v>
      </c>
      <c r="G15" s="74">
        <f t="shared" si="1"/>
        <v>1107.72</v>
      </c>
      <c r="H15" s="74">
        <f t="shared" si="2"/>
        <v>66267.929999999993</v>
      </c>
    </row>
    <row r="16" spans="1:10" ht="15" customHeight="1" x14ac:dyDescent="0.35">
      <c r="A16" s="7">
        <v>4</v>
      </c>
      <c r="B16" s="74">
        <f t="shared" si="3"/>
        <v>1071</v>
      </c>
      <c r="C16" s="74">
        <f t="shared" si="0"/>
        <v>67284</v>
      </c>
      <c r="F16" s="7">
        <v>4</v>
      </c>
      <c r="G16" s="74">
        <f t="shared" si="1"/>
        <v>1126.55</v>
      </c>
      <c r="H16" s="74">
        <f t="shared" si="2"/>
        <v>67394.48</v>
      </c>
    </row>
    <row r="17" spans="1:9" ht="15" customHeight="1" x14ac:dyDescent="0.35">
      <c r="A17" s="7">
        <v>5</v>
      </c>
      <c r="B17" s="74">
        <f t="shared" si="3"/>
        <v>1071</v>
      </c>
      <c r="C17" s="74">
        <f t="shared" si="0"/>
        <v>68355</v>
      </c>
      <c r="F17" s="7">
        <v>5</v>
      </c>
      <c r="G17" s="74">
        <f t="shared" si="1"/>
        <v>1145.71</v>
      </c>
      <c r="H17" s="74">
        <f t="shared" si="2"/>
        <v>68540.19</v>
      </c>
    </row>
    <row r="18" spans="1:9" ht="15" customHeight="1" x14ac:dyDescent="0.35">
      <c r="A18" s="7">
        <v>6</v>
      </c>
      <c r="B18" s="74">
        <f t="shared" si="3"/>
        <v>1071</v>
      </c>
      <c r="C18" s="74">
        <f t="shared" si="0"/>
        <v>69426</v>
      </c>
      <c r="F18" s="7">
        <v>6</v>
      </c>
      <c r="G18" s="74">
        <f t="shared" si="1"/>
        <v>1165.18</v>
      </c>
      <c r="H18" s="74">
        <f t="shared" si="2"/>
        <v>69705.37</v>
      </c>
    </row>
    <row r="19" spans="1:9" ht="15" customHeight="1" x14ac:dyDescent="0.35">
      <c r="A19" s="7">
        <v>7</v>
      </c>
      <c r="B19" s="74">
        <f t="shared" si="3"/>
        <v>1071</v>
      </c>
      <c r="C19" s="74">
        <f t="shared" si="0"/>
        <v>70497</v>
      </c>
      <c r="D19" s="75"/>
      <c r="F19" s="7">
        <v>7</v>
      </c>
      <c r="G19" s="74">
        <f t="shared" si="1"/>
        <v>1184.99</v>
      </c>
      <c r="H19" s="74">
        <f t="shared" si="2"/>
        <v>70890.36</v>
      </c>
      <c r="I19" s="75"/>
    </row>
    <row r="20" spans="1:9" ht="15" customHeight="1" x14ac:dyDescent="0.35">
      <c r="A20" s="7">
        <v>8</v>
      </c>
      <c r="B20" s="74">
        <f t="shared" si="3"/>
        <v>1071</v>
      </c>
      <c r="C20" s="74">
        <f t="shared" si="0"/>
        <v>71568</v>
      </c>
      <c r="D20" s="75"/>
      <c r="F20" s="7">
        <v>8</v>
      </c>
      <c r="G20" s="74">
        <f t="shared" si="1"/>
        <v>1205.1400000000001</v>
      </c>
      <c r="H20" s="74">
        <f t="shared" si="2"/>
        <v>72095.5</v>
      </c>
      <c r="I20" s="75"/>
    </row>
    <row r="21" spans="1:9" ht="15" customHeight="1" x14ac:dyDescent="0.35">
      <c r="A21" s="7">
        <v>9</v>
      </c>
      <c r="B21" s="74">
        <f t="shared" si="3"/>
        <v>1071</v>
      </c>
      <c r="C21" s="74">
        <f t="shared" si="0"/>
        <v>72639</v>
      </c>
      <c r="D21" s="75" t="s">
        <v>151</v>
      </c>
      <c r="F21" s="7">
        <v>9</v>
      </c>
      <c r="G21" s="74">
        <f t="shared" si="1"/>
        <v>1225.6199999999999</v>
      </c>
      <c r="H21" s="74">
        <f t="shared" si="2"/>
        <v>73321.119999999995</v>
      </c>
      <c r="I21" s="75" t="s">
        <v>151</v>
      </c>
    </row>
    <row r="23" spans="1:9" ht="58" x14ac:dyDescent="0.35">
      <c r="A23" s="75" t="s">
        <v>138</v>
      </c>
      <c r="B23" s="54" t="s">
        <v>152</v>
      </c>
      <c r="C23" s="76">
        <f>ROUND(H21/C21-1,4)</f>
        <v>9.4000000000000004E-3</v>
      </c>
    </row>
    <row r="24" spans="1:9" ht="15" customHeight="1" x14ac:dyDescent="0.35">
      <c r="C24" s="56"/>
    </row>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3">
    <mergeCell ref="A1:J5"/>
    <mergeCell ref="A10:C10"/>
    <mergeCell ref="F10:H10"/>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M1000"/>
  <sheetViews>
    <sheetView workbookViewId="0">
      <selection sqref="A1:M3"/>
    </sheetView>
  </sheetViews>
  <sheetFormatPr defaultColWidth="14.453125" defaultRowHeight="15" customHeight="1" x14ac:dyDescent="0.35"/>
  <cols>
    <col min="1" max="2" width="8.6328125" customWidth="1"/>
    <col min="3" max="3" width="12.36328125" customWidth="1"/>
    <col min="4" max="4" width="17.36328125" customWidth="1"/>
    <col min="5" max="6" width="8.6328125" customWidth="1"/>
    <col min="7" max="7" width="11" customWidth="1"/>
    <col min="8" max="8" width="13.453125" customWidth="1"/>
    <col min="9" max="9" width="10.36328125" customWidth="1"/>
    <col min="10" max="10" width="14.6328125" customWidth="1"/>
    <col min="11" max="26" width="8.6328125" customWidth="1"/>
  </cols>
  <sheetData>
    <row r="1" spans="1:13" ht="14.25" customHeight="1" x14ac:dyDescent="0.35">
      <c r="A1" s="198" t="s">
        <v>153</v>
      </c>
      <c r="B1" s="199"/>
      <c r="C1" s="199"/>
      <c r="D1" s="199"/>
      <c r="E1" s="199"/>
      <c r="F1" s="199"/>
      <c r="G1" s="199"/>
      <c r="H1" s="199"/>
      <c r="I1" s="199"/>
      <c r="J1" s="199"/>
      <c r="K1" s="199"/>
      <c r="L1" s="199"/>
      <c r="M1" s="199"/>
    </row>
    <row r="2" spans="1:13" ht="14.25" customHeight="1" x14ac:dyDescent="0.35">
      <c r="A2" s="199"/>
      <c r="B2" s="199"/>
      <c r="C2" s="199"/>
      <c r="D2" s="199"/>
      <c r="E2" s="199"/>
      <c r="F2" s="199"/>
      <c r="G2" s="199"/>
      <c r="H2" s="199"/>
      <c r="I2" s="199"/>
      <c r="J2" s="199"/>
      <c r="K2" s="199"/>
      <c r="L2" s="199"/>
      <c r="M2" s="199"/>
    </row>
    <row r="3" spans="1:13" ht="23.5" customHeight="1" x14ac:dyDescent="0.35">
      <c r="A3" s="199"/>
      <c r="B3" s="199"/>
      <c r="C3" s="199"/>
      <c r="D3" s="199"/>
      <c r="E3" s="199"/>
      <c r="F3" s="199"/>
      <c r="G3" s="199"/>
      <c r="H3" s="199"/>
      <c r="I3" s="199"/>
      <c r="J3" s="199"/>
      <c r="K3" s="199"/>
      <c r="L3" s="199"/>
      <c r="M3" s="199"/>
    </row>
    <row r="4" spans="1:13" ht="14.25" customHeight="1" x14ac:dyDescent="0.35">
      <c r="A4" s="54"/>
      <c r="B4" s="54"/>
      <c r="C4" s="54"/>
      <c r="D4" s="54"/>
      <c r="E4" s="54"/>
      <c r="F4" s="54"/>
      <c r="G4" s="54"/>
      <c r="H4" s="54"/>
      <c r="I4" s="54"/>
      <c r="J4" s="54"/>
      <c r="K4" s="54"/>
      <c r="L4" s="54"/>
      <c r="M4" s="54"/>
    </row>
    <row r="5" spans="1:13" ht="14.25" customHeight="1" x14ac:dyDescent="0.35">
      <c r="A5" s="54"/>
      <c r="B5" s="54"/>
      <c r="C5" s="54"/>
      <c r="D5" s="54"/>
      <c r="E5" s="54"/>
      <c r="F5" s="54"/>
      <c r="G5" s="54"/>
      <c r="H5" s="54"/>
      <c r="I5" s="54"/>
      <c r="J5" s="54"/>
      <c r="K5" s="54"/>
      <c r="L5" s="54"/>
      <c r="M5" s="54"/>
    </row>
    <row r="6" spans="1:13" ht="14.25" customHeight="1" x14ac:dyDescent="0.35"/>
    <row r="7" spans="1:13" ht="14.25" customHeight="1" x14ac:dyDescent="0.35"/>
    <row r="8" spans="1:13" ht="14.25" customHeight="1" x14ac:dyDescent="0.35">
      <c r="C8" s="3" t="s">
        <v>154</v>
      </c>
      <c r="G8" s="3" t="s">
        <v>155</v>
      </c>
    </row>
    <row r="9" spans="1:13" ht="14.25" customHeight="1" x14ac:dyDescent="0.35"/>
    <row r="10" spans="1:13" ht="14.25" customHeight="1" x14ac:dyDescent="0.35">
      <c r="F10" s="49" t="s">
        <v>156</v>
      </c>
      <c r="G10" s="3" t="s">
        <v>157</v>
      </c>
      <c r="H10" s="77">
        <f>-D21</f>
        <v>-57904.341048863753</v>
      </c>
    </row>
    <row r="11" spans="1:13" ht="14.25" customHeight="1" x14ac:dyDescent="0.35">
      <c r="C11" s="3" t="s">
        <v>158</v>
      </c>
      <c r="D11" s="77">
        <v>-670</v>
      </c>
    </row>
    <row r="12" spans="1:13" ht="14.25" customHeight="1" x14ac:dyDescent="0.35">
      <c r="C12" s="3" t="s">
        <v>159</v>
      </c>
      <c r="D12" s="56">
        <v>28</v>
      </c>
      <c r="G12" s="3" t="s">
        <v>159</v>
      </c>
      <c r="H12" s="56">
        <v>25</v>
      </c>
    </row>
    <row r="13" spans="1:13" ht="14.25" customHeight="1" x14ac:dyDescent="0.35">
      <c r="C13" s="3" t="s">
        <v>160</v>
      </c>
      <c r="D13" s="56">
        <v>2</v>
      </c>
      <c r="G13" s="3" t="s">
        <v>160</v>
      </c>
      <c r="H13" s="56">
        <v>12</v>
      </c>
    </row>
    <row r="14" spans="1:13" ht="14.25" customHeight="1" x14ac:dyDescent="0.35">
      <c r="C14" s="3" t="s">
        <v>161</v>
      </c>
      <c r="D14" s="53">
        <v>2.9000000000000001E-2</v>
      </c>
      <c r="G14" s="3" t="s">
        <v>161</v>
      </c>
      <c r="H14" s="53">
        <v>1.6E-2</v>
      </c>
    </row>
    <row r="15" spans="1:13" ht="14.25" customHeight="1" x14ac:dyDescent="0.35">
      <c r="C15" s="3" t="s">
        <v>162</v>
      </c>
      <c r="D15" s="78">
        <f>1+D14</f>
        <v>1.0289999999999999</v>
      </c>
      <c r="G15" s="3" t="s">
        <v>162</v>
      </c>
      <c r="H15" s="78">
        <f>1+H14</f>
        <v>1.016</v>
      </c>
    </row>
    <row r="16" spans="1:13" ht="14.25" customHeight="1" x14ac:dyDescent="0.35"/>
    <row r="17" spans="2:9" ht="14.25" customHeight="1" x14ac:dyDescent="0.35">
      <c r="B17" s="49" t="s">
        <v>156</v>
      </c>
      <c r="C17" s="3" t="s">
        <v>163</v>
      </c>
      <c r="D17" s="56">
        <f>D15^(1/D13)</f>
        <v>1.0143963722332607</v>
      </c>
      <c r="G17" s="3" t="s">
        <v>163</v>
      </c>
      <c r="H17" s="56">
        <f>H15^(1/H13)</f>
        <v>1.0013236543545083</v>
      </c>
      <c r="I17" s="49"/>
    </row>
    <row r="18" spans="2:9" ht="14.25" customHeight="1" x14ac:dyDescent="0.35">
      <c r="B18" s="49" t="s">
        <v>156</v>
      </c>
      <c r="C18" s="3" t="s">
        <v>164</v>
      </c>
      <c r="D18" s="79">
        <f>D17-1</f>
        <v>1.4396372233260735E-2</v>
      </c>
      <c r="G18" s="3" t="s">
        <v>164</v>
      </c>
      <c r="H18" s="79">
        <f>H17-1</f>
        <v>1.323654354508319E-3</v>
      </c>
      <c r="I18" s="49"/>
    </row>
    <row r="19" spans="2:9" ht="14.25" customHeight="1" x14ac:dyDescent="0.35">
      <c r="B19" s="49" t="s">
        <v>156</v>
      </c>
      <c r="C19" s="3" t="s">
        <v>165</v>
      </c>
      <c r="D19" s="56">
        <f>D13*D12</f>
        <v>56</v>
      </c>
      <c r="G19" s="3" t="s">
        <v>165</v>
      </c>
      <c r="H19" s="56">
        <f>H13*H12</f>
        <v>300</v>
      </c>
      <c r="I19" s="49"/>
    </row>
    <row r="20" spans="2:9" ht="14.25" customHeight="1" x14ac:dyDescent="0.35"/>
    <row r="21" spans="2:9" ht="14.25" customHeight="1" x14ac:dyDescent="0.35">
      <c r="B21" s="49" t="s">
        <v>166</v>
      </c>
      <c r="C21" s="80" t="s">
        <v>167</v>
      </c>
      <c r="D21" s="48">
        <f>FV(D18,D19,D11,0,1)</f>
        <v>57904.341048863753</v>
      </c>
      <c r="F21" s="49" t="s">
        <v>166</v>
      </c>
      <c r="G21" s="80" t="s">
        <v>168</v>
      </c>
      <c r="H21" s="48">
        <f>PMT(H18,H19,H10,0,1)</f>
        <v>233.68352813972925</v>
      </c>
    </row>
    <row r="22" spans="2:9" ht="14.25" customHeight="1" x14ac:dyDescent="0.35"/>
    <row r="23" spans="2:9" ht="14.25" customHeight="1" x14ac:dyDescent="0.35">
      <c r="G23" s="56"/>
    </row>
    <row r="24" spans="2:9" ht="14.25" customHeight="1" x14ac:dyDescent="0.35"/>
    <row r="25" spans="2:9" ht="14.25" customHeight="1" x14ac:dyDescent="0.35"/>
    <row r="26" spans="2:9" ht="14.25" customHeight="1" x14ac:dyDescent="0.35"/>
    <row r="27" spans="2:9" ht="14.25" customHeight="1" x14ac:dyDescent="0.35"/>
    <row r="28" spans="2:9" ht="14.25" customHeight="1" x14ac:dyDescent="0.35"/>
    <row r="29" spans="2:9" ht="14.25" customHeight="1" x14ac:dyDescent="0.35"/>
    <row r="30" spans="2:9" ht="14.25" customHeight="1" x14ac:dyDescent="0.35"/>
    <row r="31" spans="2:9" ht="14.25" customHeight="1" x14ac:dyDescent="0.35"/>
    <row r="32" spans="2:9"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M3"/>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1000"/>
  <sheetViews>
    <sheetView workbookViewId="0">
      <selection activeCell="Z41" sqref="Z41"/>
    </sheetView>
  </sheetViews>
  <sheetFormatPr defaultColWidth="14.453125" defaultRowHeight="15" customHeight="1" x14ac:dyDescent="0.35"/>
  <cols>
    <col min="1" max="2" width="8.6328125" customWidth="1"/>
    <col min="3" max="3" width="12.54296875" customWidth="1"/>
    <col min="4" max="4" width="12.6328125" customWidth="1"/>
    <col min="5" max="5" width="11.6328125" customWidth="1"/>
    <col min="6" max="6" width="12.36328125" customWidth="1"/>
    <col min="7" max="7" width="8.6328125" customWidth="1"/>
    <col min="8" max="8" width="11.6328125" customWidth="1"/>
    <col min="9" max="26" width="8.6328125" customWidth="1"/>
  </cols>
  <sheetData>
    <row r="1" spans="1:11" ht="14.25" customHeight="1" x14ac:dyDescent="0.35">
      <c r="A1" s="198" t="s">
        <v>271</v>
      </c>
      <c r="B1" s="199"/>
      <c r="C1" s="199"/>
      <c r="D1" s="199"/>
      <c r="E1" s="199"/>
      <c r="F1" s="199"/>
      <c r="G1" s="199"/>
      <c r="H1" s="199"/>
      <c r="I1" s="199"/>
      <c r="J1" s="199"/>
      <c r="K1" s="199"/>
    </row>
    <row r="2" spans="1:11" ht="14.25" customHeight="1" x14ac:dyDescent="0.35">
      <c r="A2" s="199"/>
      <c r="B2" s="199"/>
      <c r="C2" s="199"/>
      <c r="D2" s="199"/>
      <c r="E2" s="199"/>
      <c r="F2" s="199"/>
      <c r="G2" s="199"/>
      <c r="H2" s="199"/>
      <c r="I2" s="199"/>
      <c r="J2" s="199"/>
      <c r="K2" s="199"/>
    </row>
    <row r="3" spans="1:11" ht="24.5" customHeight="1" x14ac:dyDescent="0.35">
      <c r="A3" s="199"/>
      <c r="B3" s="199"/>
      <c r="C3" s="199"/>
      <c r="D3" s="199"/>
      <c r="E3" s="199"/>
      <c r="F3" s="199"/>
      <c r="G3" s="199"/>
      <c r="H3" s="199"/>
      <c r="I3" s="199"/>
      <c r="J3" s="199"/>
      <c r="K3" s="199"/>
    </row>
    <row r="4" spans="1:11" ht="14.25" customHeight="1" x14ac:dyDescent="0.35">
      <c r="A4" s="49" t="s">
        <v>169</v>
      </c>
    </row>
    <row r="5" spans="1:11" ht="14.25" customHeight="1" x14ac:dyDescent="0.35"/>
    <row r="6" spans="1:11" ht="14.25" customHeight="1" x14ac:dyDescent="0.35">
      <c r="B6" s="3" t="s">
        <v>143</v>
      </c>
      <c r="C6" s="48">
        <v>14000</v>
      </c>
    </row>
    <row r="7" spans="1:11" ht="14.25" customHeight="1" x14ac:dyDescent="0.35">
      <c r="B7" s="3" t="s">
        <v>159</v>
      </c>
      <c r="C7" s="56">
        <v>7</v>
      </c>
    </row>
    <row r="8" spans="1:11" ht="14.25" customHeight="1" x14ac:dyDescent="0.35">
      <c r="B8" s="3" t="s">
        <v>160</v>
      </c>
      <c r="C8" s="56">
        <v>4</v>
      </c>
      <c r="E8" s="3" t="s">
        <v>170</v>
      </c>
      <c r="F8" s="56">
        <f>C7*C8</f>
        <v>28</v>
      </c>
      <c r="G8" s="49" t="s">
        <v>171</v>
      </c>
    </row>
    <row r="9" spans="1:11" ht="14.25" customHeight="1" x14ac:dyDescent="0.35">
      <c r="B9" s="3" t="s">
        <v>161</v>
      </c>
      <c r="C9" s="53">
        <v>4.7E-2</v>
      </c>
      <c r="E9" s="3" t="s">
        <v>172</v>
      </c>
      <c r="F9" s="81">
        <f>C9/C8</f>
        <v>1.175E-2</v>
      </c>
      <c r="G9" s="49" t="s">
        <v>171</v>
      </c>
    </row>
    <row r="10" spans="1:11" ht="14.25" customHeight="1" x14ac:dyDescent="0.35">
      <c r="B10" s="3" t="s">
        <v>162</v>
      </c>
      <c r="C10" s="78">
        <f>1+C9</f>
        <v>1.0469999999999999</v>
      </c>
      <c r="E10" s="3" t="s">
        <v>173</v>
      </c>
      <c r="F10" s="82">
        <f>1+F9</f>
        <v>1.0117499999999999</v>
      </c>
      <c r="G10" s="49" t="s">
        <v>171</v>
      </c>
    </row>
    <row r="11" spans="1:11" ht="14.25" customHeight="1" x14ac:dyDescent="0.35"/>
    <row r="12" spans="1:11" ht="14.25" customHeight="1" x14ac:dyDescent="0.35">
      <c r="E12" s="3" t="s">
        <v>174</v>
      </c>
      <c r="F12" s="77">
        <f>ROUND(PMT(F9,F8,C6,0,0),2)</f>
        <v>-589.66</v>
      </c>
      <c r="G12" s="49" t="s">
        <v>175</v>
      </c>
      <c r="H12" s="83"/>
    </row>
    <row r="13" spans="1:11" ht="14.25" customHeight="1" x14ac:dyDescent="0.35">
      <c r="G13" s="49"/>
      <c r="H13" s="83"/>
    </row>
    <row r="14" spans="1:11" ht="14.25" customHeight="1" x14ac:dyDescent="0.35"/>
    <row r="15" spans="1:11" ht="14.25" customHeight="1" x14ac:dyDescent="0.35">
      <c r="B15" s="61" t="s">
        <v>176</v>
      </c>
      <c r="C15" s="61" t="s">
        <v>174</v>
      </c>
      <c r="D15" s="61" t="s">
        <v>177</v>
      </c>
      <c r="E15" s="61" t="s">
        <v>178</v>
      </c>
      <c r="F15" s="61" t="s">
        <v>179</v>
      </c>
      <c r="G15" s="14"/>
    </row>
    <row r="16" spans="1:11" ht="14.25" customHeight="1" x14ac:dyDescent="0.35">
      <c r="B16" s="42">
        <v>0</v>
      </c>
      <c r="C16" s="84"/>
      <c r="D16" s="84"/>
      <c r="E16" s="84"/>
      <c r="F16" s="85">
        <f>C6</f>
        <v>14000</v>
      </c>
      <c r="G16" s="14"/>
    </row>
    <row r="17" spans="2:7" ht="14.25" customHeight="1" x14ac:dyDescent="0.35">
      <c r="B17" s="86">
        <v>1</v>
      </c>
      <c r="C17" s="84">
        <f t="shared" ref="C17:C43" si="0">-$F$12</f>
        <v>589.66</v>
      </c>
      <c r="D17" s="84">
        <f t="shared" ref="D17:D44" si="1">ROUND(F16*$F$9,2)</f>
        <v>164.5</v>
      </c>
      <c r="E17" s="84">
        <f t="shared" ref="E17:E43" si="2">C17-D17</f>
        <v>425.15999999999997</v>
      </c>
      <c r="F17" s="84">
        <f t="shared" ref="F17:F44" si="3">F16-E17</f>
        <v>13574.84</v>
      </c>
      <c r="G17" s="14"/>
    </row>
    <row r="18" spans="2:7" ht="14.25" customHeight="1" x14ac:dyDescent="0.35">
      <c r="B18" s="86">
        <v>2</v>
      </c>
      <c r="C18" s="84">
        <f t="shared" si="0"/>
        <v>589.66</v>
      </c>
      <c r="D18" s="84">
        <f t="shared" si="1"/>
        <v>159.5</v>
      </c>
      <c r="E18" s="84">
        <f t="shared" si="2"/>
        <v>430.15999999999997</v>
      </c>
      <c r="F18" s="84">
        <f t="shared" si="3"/>
        <v>13144.68</v>
      </c>
      <c r="G18" s="14"/>
    </row>
    <row r="19" spans="2:7" ht="14.25" customHeight="1" x14ac:dyDescent="0.35">
      <c r="B19" s="86">
        <v>3</v>
      </c>
      <c r="C19" s="84">
        <f t="shared" si="0"/>
        <v>589.66</v>
      </c>
      <c r="D19" s="84">
        <f t="shared" si="1"/>
        <v>154.44999999999999</v>
      </c>
      <c r="E19" s="84">
        <f t="shared" si="2"/>
        <v>435.21</v>
      </c>
      <c r="F19" s="84">
        <f t="shared" si="3"/>
        <v>12709.470000000001</v>
      </c>
      <c r="G19" s="14"/>
    </row>
    <row r="20" spans="2:7" ht="14.25" customHeight="1" x14ac:dyDescent="0.35">
      <c r="B20" s="86">
        <v>4</v>
      </c>
      <c r="C20" s="84">
        <f t="shared" si="0"/>
        <v>589.66</v>
      </c>
      <c r="D20" s="84">
        <f t="shared" si="1"/>
        <v>149.34</v>
      </c>
      <c r="E20" s="84">
        <f t="shared" si="2"/>
        <v>440.31999999999994</v>
      </c>
      <c r="F20" s="84">
        <f t="shared" si="3"/>
        <v>12269.150000000001</v>
      </c>
      <c r="G20" s="14"/>
    </row>
    <row r="21" spans="2:7" ht="14.25" customHeight="1" x14ac:dyDescent="0.35">
      <c r="B21" s="86">
        <v>5</v>
      </c>
      <c r="C21" s="84">
        <f t="shared" si="0"/>
        <v>589.66</v>
      </c>
      <c r="D21" s="84">
        <f t="shared" si="1"/>
        <v>144.16</v>
      </c>
      <c r="E21" s="84">
        <f t="shared" si="2"/>
        <v>445.5</v>
      </c>
      <c r="F21" s="84">
        <f t="shared" si="3"/>
        <v>11823.650000000001</v>
      </c>
      <c r="G21" s="14"/>
    </row>
    <row r="22" spans="2:7" ht="14.25" customHeight="1" x14ac:dyDescent="0.35">
      <c r="B22" s="86">
        <v>6</v>
      </c>
      <c r="C22" s="84">
        <f t="shared" si="0"/>
        <v>589.66</v>
      </c>
      <c r="D22" s="84">
        <f t="shared" si="1"/>
        <v>138.93</v>
      </c>
      <c r="E22" s="84">
        <f t="shared" si="2"/>
        <v>450.72999999999996</v>
      </c>
      <c r="F22" s="84">
        <f t="shared" si="3"/>
        <v>11372.920000000002</v>
      </c>
      <c r="G22" s="14"/>
    </row>
    <row r="23" spans="2:7" ht="14.25" customHeight="1" x14ac:dyDescent="0.35">
      <c r="B23" s="86">
        <v>7</v>
      </c>
      <c r="C23" s="84">
        <f t="shared" si="0"/>
        <v>589.66</v>
      </c>
      <c r="D23" s="84">
        <f t="shared" si="1"/>
        <v>133.63</v>
      </c>
      <c r="E23" s="84">
        <f t="shared" si="2"/>
        <v>456.03</v>
      </c>
      <c r="F23" s="84">
        <f t="shared" si="3"/>
        <v>10916.890000000001</v>
      </c>
      <c r="G23" s="14"/>
    </row>
    <row r="24" spans="2:7" ht="14.25" customHeight="1" x14ac:dyDescent="0.35">
      <c r="B24" s="86">
        <v>8</v>
      </c>
      <c r="C24" s="84">
        <f t="shared" si="0"/>
        <v>589.66</v>
      </c>
      <c r="D24" s="84">
        <f t="shared" si="1"/>
        <v>128.27000000000001</v>
      </c>
      <c r="E24" s="84">
        <f t="shared" si="2"/>
        <v>461.39</v>
      </c>
      <c r="F24" s="84">
        <f t="shared" si="3"/>
        <v>10455.500000000002</v>
      </c>
      <c r="G24" s="14"/>
    </row>
    <row r="25" spans="2:7" ht="14.25" customHeight="1" x14ac:dyDescent="0.35">
      <c r="B25" s="86">
        <v>9</v>
      </c>
      <c r="C25" s="84">
        <f t="shared" si="0"/>
        <v>589.66</v>
      </c>
      <c r="D25" s="84">
        <f t="shared" si="1"/>
        <v>122.85</v>
      </c>
      <c r="E25" s="84">
        <f t="shared" si="2"/>
        <v>466.80999999999995</v>
      </c>
      <c r="F25" s="84">
        <f t="shared" si="3"/>
        <v>9988.6900000000023</v>
      </c>
    </row>
    <row r="26" spans="2:7" ht="14.25" customHeight="1" x14ac:dyDescent="0.35">
      <c r="B26" s="86">
        <v>10</v>
      </c>
      <c r="C26" s="84">
        <f t="shared" si="0"/>
        <v>589.66</v>
      </c>
      <c r="D26" s="84">
        <f t="shared" si="1"/>
        <v>117.37</v>
      </c>
      <c r="E26" s="84">
        <f t="shared" si="2"/>
        <v>472.28999999999996</v>
      </c>
      <c r="F26" s="84">
        <f t="shared" si="3"/>
        <v>9516.4000000000015</v>
      </c>
    </row>
    <row r="27" spans="2:7" ht="14.25" customHeight="1" x14ac:dyDescent="0.35">
      <c r="B27" s="86">
        <v>11</v>
      </c>
      <c r="C27" s="84">
        <f t="shared" si="0"/>
        <v>589.66</v>
      </c>
      <c r="D27" s="84">
        <f t="shared" si="1"/>
        <v>111.82</v>
      </c>
      <c r="E27" s="84">
        <f t="shared" si="2"/>
        <v>477.84</v>
      </c>
      <c r="F27" s="84">
        <f t="shared" si="3"/>
        <v>9038.5600000000013</v>
      </c>
      <c r="G27" s="87"/>
    </row>
    <row r="28" spans="2:7" ht="14.25" customHeight="1" x14ac:dyDescent="0.35">
      <c r="B28" s="86">
        <v>12</v>
      </c>
      <c r="C28" s="84">
        <f t="shared" si="0"/>
        <v>589.66</v>
      </c>
      <c r="D28" s="84">
        <f t="shared" si="1"/>
        <v>106.2</v>
      </c>
      <c r="E28" s="84">
        <f t="shared" si="2"/>
        <v>483.46</v>
      </c>
      <c r="F28" s="84">
        <f t="shared" si="3"/>
        <v>8555.1000000000022</v>
      </c>
      <c r="G28" s="87"/>
    </row>
    <row r="29" spans="2:7" ht="14.25" customHeight="1" x14ac:dyDescent="0.35">
      <c r="B29" s="86">
        <v>13</v>
      </c>
      <c r="C29" s="84">
        <f t="shared" si="0"/>
        <v>589.66</v>
      </c>
      <c r="D29" s="84">
        <f t="shared" si="1"/>
        <v>100.52</v>
      </c>
      <c r="E29" s="84">
        <f t="shared" si="2"/>
        <v>489.14</v>
      </c>
      <c r="F29" s="84">
        <f t="shared" si="3"/>
        <v>8065.9600000000019</v>
      </c>
      <c r="G29" s="87"/>
    </row>
    <row r="30" spans="2:7" ht="14.25" customHeight="1" x14ac:dyDescent="0.35">
      <c r="B30" s="86">
        <v>14</v>
      </c>
      <c r="C30" s="84">
        <f t="shared" si="0"/>
        <v>589.66</v>
      </c>
      <c r="D30" s="84">
        <f t="shared" si="1"/>
        <v>94.78</v>
      </c>
      <c r="E30" s="84">
        <f t="shared" si="2"/>
        <v>494.88</v>
      </c>
      <c r="F30" s="84">
        <f t="shared" si="3"/>
        <v>7571.0800000000017</v>
      </c>
      <c r="G30" s="87"/>
    </row>
    <row r="31" spans="2:7" ht="14.25" customHeight="1" x14ac:dyDescent="0.35">
      <c r="B31" s="86">
        <v>15</v>
      </c>
      <c r="C31" s="84">
        <f t="shared" si="0"/>
        <v>589.66</v>
      </c>
      <c r="D31" s="84">
        <f t="shared" si="1"/>
        <v>88.96</v>
      </c>
      <c r="E31" s="84">
        <f t="shared" si="2"/>
        <v>500.7</v>
      </c>
      <c r="F31" s="84">
        <f t="shared" si="3"/>
        <v>7070.3800000000019</v>
      </c>
      <c r="G31" s="87"/>
    </row>
    <row r="32" spans="2:7" ht="14.25" customHeight="1" x14ac:dyDescent="0.35">
      <c r="B32" s="86">
        <v>16</v>
      </c>
      <c r="C32" s="84">
        <f t="shared" si="0"/>
        <v>589.66</v>
      </c>
      <c r="D32" s="84">
        <f t="shared" si="1"/>
        <v>83.08</v>
      </c>
      <c r="E32" s="84">
        <f t="shared" si="2"/>
        <v>506.58</v>
      </c>
      <c r="F32" s="84">
        <f t="shared" si="3"/>
        <v>6563.800000000002</v>
      </c>
      <c r="G32" s="87"/>
    </row>
    <row r="33" spans="2:7" ht="14.25" customHeight="1" x14ac:dyDescent="0.35">
      <c r="B33" s="86">
        <v>17</v>
      </c>
      <c r="C33" s="84">
        <f t="shared" si="0"/>
        <v>589.66</v>
      </c>
      <c r="D33" s="84">
        <f t="shared" si="1"/>
        <v>77.12</v>
      </c>
      <c r="E33" s="84">
        <f t="shared" si="2"/>
        <v>512.54</v>
      </c>
      <c r="F33" s="84">
        <f t="shared" si="3"/>
        <v>6051.260000000002</v>
      </c>
    </row>
    <row r="34" spans="2:7" ht="14.25" customHeight="1" x14ac:dyDescent="0.35">
      <c r="B34" s="86">
        <v>18</v>
      </c>
      <c r="C34" s="84">
        <f t="shared" si="0"/>
        <v>589.66</v>
      </c>
      <c r="D34" s="84">
        <f t="shared" si="1"/>
        <v>71.099999999999994</v>
      </c>
      <c r="E34" s="84">
        <f t="shared" si="2"/>
        <v>518.55999999999995</v>
      </c>
      <c r="F34" s="84">
        <f t="shared" si="3"/>
        <v>5532.7000000000025</v>
      </c>
    </row>
    <row r="35" spans="2:7" ht="14.25" customHeight="1" x14ac:dyDescent="0.35">
      <c r="B35" s="86">
        <v>19</v>
      </c>
      <c r="C35" s="84">
        <f t="shared" si="0"/>
        <v>589.66</v>
      </c>
      <c r="D35" s="84">
        <f t="shared" si="1"/>
        <v>65.010000000000005</v>
      </c>
      <c r="E35" s="84">
        <f t="shared" si="2"/>
        <v>524.65</v>
      </c>
      <c r="F35" s="84">
        <f t="shared" si="3"/>
        <v>5008.0500000000029</v>
      </c>
    </row>
    <row r="36" spans="2:7" ht="14.25" customHeight="1" x14ac:dyDescent="0.35">
      <c r="B36" s="86">
        <v>20</v>
      </c>
      <c r="C36" s="84">
        <f t="shared" si="0"/>
        <v>589.66</v>
      </c>
      <c r="D36" s="84">
        <f t="shared" si="1"/>
        <v>58.84</v>
      </c>
      <c r="E36" s="84">
        <f t="shared" si="2"/>
        <v>530.81999999999994</v>
      </c>
      <c r="F36" s="84">
        <f t="shared" si="3"/>
        <v>4477.2300000000032</v>
      </c>
    </row>
    <row r="37" spans="2:7" ht="14.25" customHeight="1" x14ac:dyDescent="0.35">
      <c r="B37" s="86">
        <v>21</v>
      </c>
      <c r="C37" s="84">
        <f t="shared" si="0"/>
        <v>589.66</v>
      </c>
      <c r="D37" s="84">
        <f t="shared" si="1"/>
        <v>52.61</v>
      </c>
      <c r="E37" s="84">
        <f t="shared" si="2"/>
        <v>537.04999999999995</v>
      </c>
      <c r="F37" s="84">
        <f t="shared" si="3"/>
        <v>3940.180000000003</v>
      </c>
    </row>
    <row r="38" spans="2:7" ht="14.25" customHeight="1" x14ac:dyDescent="0.35">
      <c r="B38" s="86">
        <v>22</v>
      </c>
      <c r="C38" s="84">
        <f t="shared" si="0"/>
        <v>589.66</v>
      </c>
      <c r="D38" s="84">
        <f t="shared" si="1"/>
        <v>46.3</v>
      </c>
      <c r="E38" s="84">
        <f t="shared" si="2"/>
        <v>543.36</v>
      </c>
      <c r="F38" s="84">
        <f t="shared" si="3"/>
        <v>3396.8200000000029</v>
      </c>
    </row>
    <row r="39" spans="2:7" ht="14.25" customHeight="1" x14ac:dyDescent="0.35">
      <c r="B39" s="86">
        <v>23</v>
      </c>
      <c r="C39" s="84">
        <f t="shared" si="0"/>
        <v>589.66</v>
      </c>
      <c r="D39" s="84">
        <f t="shared" si="1"/>
        <v>39.909999999999997</v>
      </c>
      <c r="E39" s="84">
        <f t="shared" si="2"/>
        <v>549.75</v>
      </c>
      <c r="F39" s="84">
        <f t="shared" si="3"/>
        <v>2847.0700000000029</v>
      </c>
    </row>
    <row r="40" spans="2:7" ht="14.25" customHeight="1" x14ac:dyDescent="0.35">
      <c r="B40" s="86">
        <v>24</v>
      </c>
      <c r="C40" s="84">
        <f t="shared" si="0"/>
        <v>589.66</v>
      </c>
      <c r="D40" s="84">
        <f t="shared" si="1"/>
        <v>33.450000000000003</v>
      </c>
      <c r="E40" s="84">
        <f t="shared" si="2"/>
        <v>556.20999999999992</v>
      </c>
      <c r="F40" s="84">
        <f t="shared" si="3"/>
        <v>2290.8600000000029</v>
      </c>
    </row>
    <row r="41" spans="2:7" ht="14.25" customHeight="1" x14ac:dyDescent="0.35">
      <c r="B41" s="86">
        <v>25</v>
      </c>
      <c r="C41" s="84">
        <f t="shared" si="0"/>
        <v>589.66</v>
      </c>
      <c r="D41" s="84">
        <f t="shared" si="1"/>
        <v>26.92</v>
      </c>
      <c r="E41" s="84">
        <f t="shared" si="2"/>
        <v>562.74</v>
      </c>
      <c r="F41" s="84">
        <f t="shared" si="3"/>
        <v>1728.1200000000028</v>
      </c>
    </row>
    <row r="42" spans="2:7" ht="14.25" customHeight="1" x14ac:dyDescent="0.35">
      <c r="B42" s="86">
        <v>26</v>
      </c>
      <c r="C42" s="84">
        <f t="shared" si="0"/>
        <v>589.66</v>
      </c>
      <c r="D42" s="84">
        <f t="shared" si="1"/>
        <v>20.309999999999999</v>
      </c>
      <c r="E42" s="84">
        <f t="shared" si="2"/>
        <v>569.35</v>
      </c>
      <c r="F42" s="84">
        <f t="shared" si="3"/>
        <v>1158.7700000000027</v>
      </c>
    </row>
    <row r="43" spans="2:7" ht="14.25" customHeight="1" x14ac:dyDescent="0.35">
      <c r="B43" s="86">
        <v>27</v>
      </c>
      <c r="C43" s="84">
        <f t="shared" si="0"/>
        <v>589.66</v>
      </c>
      <c r="D43" s="84">
        <f t="shared" si="1"/>
        <v>13.62</v>
      </c>
      <c r="E43" s="84">
        <f t="shared" si="2"/>
        <v>576.04</v>
      </c>
      <c r="F43" s="84">
        <f t="shared" si="3"/>
        <v>582.73000000000275</v>
      </c>
    </row>
    <row r="44" spans="2:7" ht="14.25" customHeight="1" x14ac:dyDescent="0.35">
      <c r="B44" s="86">
        <v>28</v>
      </c>
      <c r="C44" s="88">
        <f>E44+D44</f>
        <v>589.58000000000277</v>
      </c>
      <c r="D44" s="84">
        <f t="shared" si="1"/>
        <v>6.85</v>
      </c>
      <c r="E44" s="84">
        <f>F43</f>
        <v>582.73000000000275</v>
      </c>
      <c r="F44" s="88">
        <f t="shared" si="3"/>
        <v>0</v>
      </c>
      <c r="G44" s="87" t="s">
        <v>272</v>
      </c>
    </row>
    <row r="45" spans="2:7" ht="14.25" customHeight="1" x14ac:dyDescent="0.35">
      <c r="B45" s="3" t="s">
        <v>180</v>
      </c>
      <c r="C45" s="89">
        <f t="shared" ref="C45:E45" si="4">SUM(C17:C44)</f>
        <v>16510.400000000001</v>
      </c>
      <c r="D45" s="89">
        <f t="shared" si="4"/>
        <v>2510.3999999999996</v>
      </c>
      <c r="E45" s="89">
        <f t="shared" si="4"/>
        <v>14000</v>
      </c>
      <c r="F45" s="89"/>
      <c r="G45" s="87" t="s">
        <v>171</v>
      </c>
    </row>
    <row r="46" spans="2:7" ht="14.25" customHeight="1" x14ac:dyDescent="0.35"/>
    <row r="47" spans="2:7" ht="14.25" customHeight="1" x14ac:dyDescent="0.35"/>
    <row r="48" spans="2:7"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K3"/>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1000"/>
  <sheetViews>
    <sheetView topLeftCell="A121" workbookViewId="0">
      <selection activeCell="N151" sqref="N151"/>
    </sheetView>
  </sheetViews>
  <sheetFormatPr defaultColWidth="14.453125" defaultRowHeight="15" customHeight="1" x14ac:dyDescent="0.35"/>
  <cols>
    <col min="1" max="2" width="8.6328125" customWidth="1"/>
    <col min="3" max="3" width="14.6328125" customWidth="1"/>
    <col min="4" max="6" width="8.6328125" customWidth="1"/>
    <col min="7" max="8" width="14.453125" customWidth="1"/>
    <col min="9" max="9" width="13.6328125" customWidth="1"/>
    <col min="10" max="10" width="14.6328125" customWidth="1"/>
    <col min="11" max="26" width="8.6328125" customWidth="1"/>
  </cols>
  <sheetData>
    <row r="1" spans="1:12" ht="14.25" customHeight="1" x14ac:dyDescent="0.35">
      <c r="A1" s="213" t="s">
        <v>246</v>
      </c>
      <c r="B1" s="199"/>
      <c r="C1" s="199"/>
      <c r="D1" s="199"/>
      <c r="E1" s="199"/>
      <c r="F1" s="199"/>
      <c r="G1" s="199"/>
      <c r="H1" s="199"/>
      <c r="I1" s="199"/>
      <c r="J1" s="199"/>
      <c r="K1" s="199"/>
      <c r="L1" s="199"/>
    </row>
    <row r="2" spans="1:12" ht="14.25" customHeight="1" x14ac:dyDescent="0.35">
      <c r="A2" s="199"/>
      <c r="B2" s="199"/>
      <c r="C2" s="199"/>
      <c r="D2" s="199"/>
      <c r="E2" s="199"/>
      <c r="F2" s="199"/>
      <c r="G2" s="199"/>
      <c r="H2" s="199"/>
      <c r="I2" s="199"/>
      <c r="J2" s="199"/>
      <c r="K2" s="199"/>
      <c r="L2" s="199"/>
    </row>
    <row r="3" spans="1:12" ht="14.25" customHeight="1" x14ac:dyDescent="0.35">
      <c r="A3" s="199"/>
      <c r="B3" s="199"/>
      <c r="C3" s="199"/>
      <c r="D3" s="199"/>
      <c r="E3" s="199"/>
      <c r="F3" s="199"/>
      <c r="G3" s="199"/>
      <c r="H3" s="199"/>
      <c r="I3" s="199"/>
      <c r="J3" s="199"/>
      <c r="K3" s="199"/>
      <c r="L3" s="199"/>
    </row>
    <row r="4" spans="1:12" ht="14.25" customHeight="1" x14ac:dyDescent="0.35">
      <c r="A4" s="199"/>
      <c r="B4" s="199"/>
      <c r="C4" s="199"/>
      <c r="D4" s="199"/>
      <c r="E4" s="199"/>
      <c r="F4" s="199"/>
      <c r="G4" s="199"/>
      <c r="H4" s="199"/>
      <c r="I4" s="199"/>
      <c r="J4" s="199"/>
      <c r="K4" s="199"/>
      <c r="L4" s="199"/>
    </row>
    <row r="5" spans="1:12" ht="14.25" customHeight="1" x14ac:dyDescent="0.35">
      <c r="A5" s="199"/>
      <c r="B5" s="199"/>
      <c r="C5" s="199"/>
      <c r="D5" s="199"/>
      <c r="E5" s="199"/>
      <c r="F5" s="199"/>
      <c r="G5" s="199"/>
      <c r="H5" s="199"/>
      <c r="I5" s="199"/>
      <c r="J5" s="199"/>
      <c r="K5" s="199"/>
      <c r="L5" s="199"/>
    </row>
    <row r="6" spans="1:12" ht="14.25" customHeight="1" x14ac:dyDescent="0.35">
      <c r="A6" s="49" t="s">
        <v>169</v>
      </c>
    </row>
    <row r="7" spans="1:12" ht="14.25" customHeight="1" x14ac:dyDescent="0.35">
      <c r="C7" s="58"/>
    </row>
    <row r="8" spans="1:12" ht="14.25" customHeight="1" x14ac:dyDescent="0.35">
      <c r="C8" s="58"/>
      <c r="F8" s="27" t="s">
        <v>176</v>
      </c>
      <c r="G8" s="27" t="s">
        <v>181</v>
      </c>
      <c r="H8" s="27" t="s">
        <v>177</v>
      </c>
      <c r="I8" s="27" t="s">
        <v>158</v>
      </c>
      <c r="J8" s="27" t="s">
        <v>179</v>
      </c>
    </row>
    <row r="9" spans="1:12" ht="14.25" customHeight="1" x14ac:dyDescent="0.35">
      <c r="F9" s="27">
        <v>0</v>
      </c>
      <c r="G9" s="90"/>
      <c r="H9" s="90"/>
      <c r="I9" s="90"/>
      <c r="J9" s="90">
        <f>C10</f>
        <v>180000</v>
      </c>
    </row>
    <row r="10" spans="1:12" ht="14.25" customHeight="1" x14ac:dyDescent="0.35">
      <c r="B10" s="3" t="s">
        <v>143</v>
      </c>
      <c r="C10" s="48">
        <v>180000</v>
      </c>
      <c r="F10" s="14">
        <v>1</v>
      </c>
      <c r="G10" s="84">
        <f t="shared" ref="G10:G153" si="0">H10+I10</f>
        <v>1797.5</v>
      </c>
      <c r="H10" s="84">
        <f t="shared" ref="H10:H153" si="1">ROUND(J9*$C$15,2)</f>
        <v>547.5</v>
      </c>
      <c r="I10" s="84">
        <f t="shared" ref="I10:I153" si="2">$C$19</f>
        <v>1250</v>
      </c>
      <c r="J10" s="84">
        <f t="shared" ref="J10:J153" si="3">J9-I10</f>
        <v>178750</v>
      </c>
    </row>
    <row r="11" spans="1:12" ht="14.25" customHeight="1" x14ac:dyDescent="0.35">
      <c r="B11" s="3" t="s">
        <v>159</v>
      </c>
      <c r="C11" s="56">
        <v>12</v>
      </c>
      <c r="F11" s="14">
        <v>2</v>
      </c>
      <c r="G11" s="84">
        <f t="shared" si="0"/>
        <v>1793.7</v>
      </c>
      <c r="H11" s="84">
        <f t="shared" si="1"/>
        <v>543.70000000000005</v>
      </c>
      <c r="I11" s="84">
        <f t="shared" si="2"/>
        <v>1250</v>
      </c>
      <c r="J11" s="84">
        <f t="shared" si="3"/>
        <v>177500</v>
      </c>
    </row>
    <row r="12" spans="1:12" ht="14.25" customHeight="1" x14ac:dyDescent="0.35">
      <c r="B12" s="3" t="s">
        <v>161</v>
      </c>
      <c r="C12" s="53">
        <v>3.6499999999999998E-2</v>
      </c>
      <c r="F12" s="14">
        <v>3</v>
      </c>
      <c r="G12" s="84">
        <f t="shared" si="0"/>
        <v>1789.9</v>
      </c>
      <c r="H12" s="84">
        <f t="shared" si="1"/>
        <v>539.9</v>
      </c>
      <c r="I12" s="84">
        <f t="shared" si="2"/>
        <v>1250</v>
      </c>
      <c r="J12" s="84">
        <f t="shared" si="3"/>
        <v>176250</v>
      </c>
    </row>
    <row r="13" spans="1:12" ht="14.25" customHeight="1" x14ac:dyDescent="0.35">
      <c r="B13" s="3" t="s">
        <v>160</v>
      </c>
      <c r="C13" s="56">
        <v>12</v>
      </c>
      <c r="F13" s="14">
        <v>4</v>
      </c>
      <c r="G13" s="84">
        <f t="shared" si="0"/>
        <v>1786.0900000000001</v>
      </c>
      <c r="H13" s="84">
        <f t="shared" si="1"/>
        <v>536.09</v>
      </c>
      <c r="I13" s="84">
        <f t="shared" si="2"/>
        <v>1250</v>
      </c>
      <c r="J13" s="84">
        <f t="shared" si="3"/>
        <v>175000</v>
      </c>
    </row>
    <row r="14" spans="1:12" ht="14.25" customHeight="1" x14ac:dyDescent="0.35">
      <c r="B14" s="3" t="s">
        <v>182</v>
      </c>
      <c r="F14" s="14">
        <v>5</v>
      </c>
      <c r="G14" s="84">
        <f t="shared" si="0"/>
        <v>1782.29</v>
      </c>
      <c r="H14" s="84">
        <f t="shared" si="1"/>
        <v>532.29</v>
      </c>
      <c r="I14" s="84">
        <f t="shared" si="2"/>
        <v>1250</v>
      </c>
      <c r="J14" s="84">
        <f t="shared" si="3"/>
        <v>173750</v>
      </c>
    </row>
    <row r="15" spans="1:12" ht="14.25" customHeight="1" x14ac:dyDescent="0.35">
      <c r="B15" s="3" t="s">
        <v>172</v>
      </c>
      <c r="C15" s="81">
        <f>C12/C13</f>
        <v>3.0416666666666665E-3</v>
      </c>
      <c r="D15" s="49" t="s">
        <v>171</v>
      </c>
      <c r="F15" s="14">
        <v>6</v>
      </c>
      <c r="G15" s="84">
        <f t="shared" si="0"/>
        <v>1778.49</v>
      </c>
      <c r="H15" s="84">
        <f t="shared" si="1"/>
        <v>528.49</v>
      </c>
      <c r="I15" s="84">
        <f t="shared" si="2"/>
        <v>1250</v>
      </c>
      <c r="J15" s="84">
        <f t="shared" si="3"/>
        <v>172500</v>
      </c>
    </row>
    <row r="16" spans="1:12" ht="14.25" customHeight="1" x14ac:dyDescent="0.35">
      <c r="B16" s="3" t="s">
        <v>170</v>
      </c>
      <c r="C16" s="56">
        <f>C11*C13</f>
        <v>144</v>
      </c>
      <c r="D16" s="49" t="s">
        <v>171</v>
      </c>
      <c r="F16" s="14">
        <v>7</v>
      </c>
      <c r="G16" s="84">
        <f t="shared" si="0"/>
        <v>1774.69</v>
      </c>
      <c r="H16" s="84">
        <f t="shared" si="1"/>
        <v>524.69000000000005</v>
      </c>
      <c r="I16" s="84">
        <f t="shared" si="2"/>
        <v>1250</v>
      </c>
      <c r="J16" s="84">
        <f t="shared" si="3"/>
        <v>171250</v>
      </c>
    </row>
    <row r="17" spans="2:10" ht="14.25" customHeight="1" x14ac:dyDescent="0.35">
      <c r="F17" s="14">
        <v>8</v>
      </c>
      <c r="G17" s="84">
        <f t="shared" si="0"/>
        <v>1770.8899999999999</v>
      </c>
      <c r="H17" s="84">
        <f t="shared" si="1"/>
        <v>520.89</v>
      </c>
      <c r="I17" s="84">
        <f t="shared" si="2"/>
        <v>1250</v>
      </c>
      <c r="J17" s="84">
        <f t="shared" si="3"/>
        <v>170000</v>
      </c>
    </row>
    <row r="18" spans="2:10" ht="14.25" customHeight="1" x14ac:dyDescent="0.35">
      <c r="C18" s="83"/>
      <c r="F18" s="14">
        <v>9</v>
      </c>
      <c r="G18" s="84">
        <f t="shared" si="0"/>
        <v>1767.08</v>
      </c>
      <c r="H18" s="84">
        <f t="shared" si="1"/>
        <v>517.08000000000004</v>
      </c>
      <c r="I18" s="84">
        <f t="shared" si="2"/>
        <v>1250</v>
      </c>
      <c r="J18" s="84">
        <f t="shared" si="3"/>
        <v>168750</v>
      </c>
    </row>
    <row r="19" spans="2:10" ht="14.25" customHeight="1" x14ac:dyDescent="0.35">
      <c r="B19" s="3" t="s">
        <v>158</v>
      </c>
      <c r="C19" s="48">
        <f>ROUND(C10/C16,2)</f>
        <v>1250</v>
      </c>
      <c r="D19" s="49" t="s">
        <v>183</v>
      </c>
      <c r="F19" s="14">
        <v>10</v>
      </c>
      <c r="G19" s="84">
        <f t="shared" si="0"/>
        <v>1763.28</v>
      </c>
      <c r="H19" s="84">
        <f t="shared" si="1"/>
        <v>513.28</v>
      </c>
      <c r="I19" s="84">
        <f t="shared" si="2"/>
        <v>1250</v>
      </c>
      <c r="J19" s="84">
        <f t="shared" si="3"/>
        <v>167500</v>
      </c>
    </row>
    <row r="20" spans="2:10" ht="14.25" customHeight="1" x14ac:dyDescent="0.35">
      <c r="F20" s="14">
        <v>11</v>
      </c>
      <c r="G20" s="84">
        <f t="shared" si="0"/>
        <v>1759.48</v>
      </c>
      <c r="H20" s="84">
        <f t="shared" si="1"/>
        <v>509.48</v>
      </c>
      <c r="I20" s="84">
        <f t="shared" si="2"/>
        <v>1250</v>
      </c>
      <c r="J20" s="84">
        <f t="shared" si="3"/>
        <v>166250</v>
      </c>
    </row>
    <row r="21" spans="2:10" ht="14.25" customHeight="1" x14ac:dyDescent="0.35">
      <c r="F21" s="14">
        <v>12</v>
      </c>
      <c r="G21" s="84">
        <f t="shared" si="0"/>
        <v>1755.68</v>
      </c>
      <c r="H21" s="84">
        <f t="shared" si="1"/>
        <v>505.68</v>
      </c>
      <c r="I21" s="84">
        <f t="shared" si="2"/>
        <v>1250</v>
      </c>
      <c r="J21" s="84">
        <f t="shared" si="3"/>
        <v>165000</v>
      </c>
    </row>
    <row r="22" spans="2:10" ht="14.25" customHeight="1" x14ac:dyDescent="0.35">
      <c r="F22" s="14">
        <v>13</v>
      </c>
      <c r="G22" s="84">
        <f t="shared" si="0"/>
        <v>1751.88</v>
      </c>
      <c r="H22" s="84">
        <f t="shared" si="1"/>
        <v>501.88</v>
      </c>
      <c r="I22" s="84">
        <f t="shared" si="2"/>
        <v>1250</v>
      </c>
      <c r="J22" s="84">
        <f t="shared" si="3"/>
        <v>163750</v>
      </c>
    </row>
    <row r="23" spans="2:10" ht="14.25" customHeight="1" x14ac:dyDescent="0.35">
      <c r="F23" s="14">
        <v>14</v>
      </c>
      <c r="G23" s="84">
        <f t="shared" si="0"/>
        <v>1748.07</v>
      </c>
      <c r="H23" s="84">
        <f t="shared" si="1"/>
        <v>498.07</v>
      </c>
      <c r="I23" s="84">
        <f t="shared" si="2"/>
        <v>1250</v>
      </c>
      <c r="J23" s="84">
        <f t="shared" si="3"/>
        <v>162500</v>
      </c>
    </row>
    <row r="24" spans="2:10" ht="14.25" customHeight="1" x14ac:dyDescent="0.35">
      <c r="F24" s="14">
        <v>15</v>
      </c>
      <c r="G24" s="84">
        <f t="shared" si="0"/>
        <v>1744.27</v>
      </c>
      <c r="H24" s="84">
        <f t="shared" si="1"/>
        <v>494.27</v>
      </c>
      <c r="I24" s="84">
        <f t="shared" si="2"/>
        <v>1250</v>
      </c>
      <c r="J24" s="84">
        <f t="shared" si="3"/>
        <v>161250</v>
      </c>
    </row>
    <row r="25" spans="2:10" ht="14.25" customHeight="1" x14ac:dyDescent="0.35">
      <c r="F25" s="14">
        <v>16</v>
      </c>
      <c r="G25" s="84">
        <f t="shared" si="0"/>
        <v>1740.47</v>
      </c>
      <c r="H25" s="84">
        <f t="shared" si="1"/>
        <v>490.47</v>
      </c>
      <c r="I25" s="84">
        <f t="shared" si="2"/>
        <v>1250</v>
      </c>
      <c r="J25" s="84">
        <f t="shared" si="3"/>
        <v>160000</v>
      </c>
    </row>
    <row r="26" spans="2:10" ht="14.25" customHeight="1" x14ac:dyDescent="0.35">
      <c r="F26" s="14">
        <v>17</v>
      </c>
      <c r="G26" s="84">
        <f t="shared" si="0"/>
        <v>1736.67</v>
      </c>
      <c r="H26" s="84">
        <f t="shared" si="1"/>
        <v>486.67</v>
      </c>
      <c r="I26" s="84">
        <f t="shared" si="2"/>
        <v>1250</v>
      </c>
      <c r="J26" s="84">
        <f t="shared" si="3"/>
        <v>158750</v>
      </c>
    </row>
    <row r="27" spans="2:10" ht="14.25" customHeight="1" x14ac:dyDescent="0.35">
      <c r="F27" s="14">
        <v>18</v>
      </c>
      <c r="G27" s="84">
        <f t="shared" si="0"/>
        <v>1732.8600000000001</v>
      </c>
      <c r="H27" s="84">
        <f t="shared" si="1"/>
        <v>482.86</v>
      </c>
      <c r="I27" s="84">
        <f t="shared" si="2"/>
        <v>1250</v>
      </c>
      <c r="J27" s="84">
        <f t="shared" si="3"/>
        <v>157500</v>
      </c>
    </row>
    <row r="28" spans="2:10" ht="14.25" customHeight="1" x14ac:dyDescent="0.35">
      <c r="F28" s="14">
        <v>19</v>
      </c>
      <c r="G28" s="84">
        <f t="shared" si="0"/>
        <v>1729.06</v>
      </c>
      <c r="H28" s="84">
        <f t="shared" si="1"/>
        <v>479.06</v>
      </c>
      <c r="I28" s="84">
        <f t="shared" si="2"/>
        <v>1250</v>
      </c>
      <c r="J28" s="84">
        <f t="shared" si="3"/>
        <v>156250</v>
      </c>
    </row>
    <row r="29" spans="2:10" ht="14.25" customHeight="1" x14ac:dyDescent="0.35">
      <c r="F29" s="14">
        <v>20</v>
      </c>
      <c r="G29" s="84">
        <f t="shared" si="0"/>
        <v>1725.26</v>
      </c>
      <c r="H29" s="84">
        <f t="shared" si="1"/>
        <v>475.26</v>
      </c>
      <c r="I29" s="84">
        <f t="shared" si="2"/>
        <v>1250</v>
      </c>
      <c r="J29" s="84">
        <f t="shared" si="3"/>
        <v>155000</v>
      </c>
    </row>
    <row r="30" spans="2:10" ht="14.25" customHeight="1" x14ac:dyDescent="0.35">
      <c r="F30" s="14">
        <v>21</v>
      </c>
      <c r="G30" s="84">
        <f t="shared" si="0"/>
        <v>1721.46</v>
      </c>
      <c r="H30" s="84">
        <f t="shared" si="1"/>
        <v>471.46</v>
      </c>
      <c r="I30" s="84">
        <f t="shared" si="2"/>
        <v>1250</v>
      </c>
      <c r="J30" s="84">
        <f t="shared" si="3"/>
        <v>153750</v>
      </c>
    </row>
    <row r="31" spans="2:10" ht="14.25" customHeight="1" x14ac:dyDescent="0.35">
      <c r="F31" s="14">
        <v>22</v>
      </c>
      <c r="G31" s="84">
        <f t="shared" si="0"/>
        <v>1717.66</v>
      </c>
      <c r="H31" s="84">
        <f t="shared" si="1"/>
        <v>467.66</v>
      </c>
      <c r="I31" s="84">
        <f t="shared" si="2"/>
        <v>1250</v>
      </c>
      <c r="J31" s="84">
        <f t="shared" si="3"/>
        <v>152500</v>
      </c>
    </row>
    <row r="32" spans="2:10" ht="14.25" customHeight="1" x14ac:dyDescent="0.35">
      <c r="F32" s="14">
        <v>23</v>
      </c>
      <c r="G32" s="84">
        <f t="shared" si="0"/>
        <v>1713.85</v>
      </c>
      <c r="H32" s="84">
        <f t="shared" si="1"/>
        <v>463.85</v>
      </c>
      <c r="I32" s="84">
        <f t="shared" si="2"/>
        <v>1250</v>
      </c>
      <c r="J32" s="84">
        <f t="shared" si="3"/>
        <v>151250</v>
      </c>
    </row>
    <row r="33" spans="6:10" ht="14.25" customHeight="1" x14ac:dyDescent="0.35">
      <c r="F33" s="14">
        <v>24</v>
      </c>
      <c r="G33" s="84">
        <f t="shared" si="0"/>
        <v>1710.05</v>
      </c>
      <c r="H33" s="84">
        <f t="shared" si="1"/>
        <v>460.05</v>
      </c>
      <c r="I33" s="84">
        <f t="shared" si="2"/>
        <v>1250</v>
      </c>
      <c r="J33" s="84">
        <f t="shared" si="3"/>
        <v>150000</v>
      </c>
    </row>
    <row r="34" spans="6:10" ht="14.25" customHeight="1" x14ac:dyDescent="0.35">
      <c r="F34" s="14">
        <v>25</v>
      </c>
      <c r="G34" s="84">
        <f t="shared" si="0"/>
        <v>1706.25</v>
      </c>
      <c r="H34" s="84">
        <f t="shared" si="1"/>
        <v>456.25</v>
      </c>
      <c r="I34" s="84">
        <f t="shared" si="2"/>
        <v>1250</v>
      </c>
      <c r="J34" s="84">
        <f t="shared" si="3"/>
        <v>148750</v>
      </c>
    </row>
    <row r="35" spans="6:10" ht="14.25" customHeight="1" x14ac:dyDescent="0.35">
      <c r="F35" s="14">
        <v>26</v>
      </c>
      <c r="G35" s="84">
        <f t="shared" si="0"/>
        <v>1702.45</v>
      </c>
      <c r="H35" s="84">
        <f t="shared" si="1"/>
        <v>452.45</v>
      </c>
      <c r="I35" s="84">
        <f t="shared" si="2"/>
        <v>1250</v>
      </c>
      <c r="J35" s="84">
        <f t="shared" si="3"/>
        <v>147500</v>
      </c>
    </row>
    <row r="36" spans="6:10" ht="14.25" customHeight="1" x14ac:dyDescent="0.35">
      <c r="F36" s="14">
        <v>27</v>
      </c>
      <c r="G36" s="84">
        <f t="shared" si="0"/>
        <v>1698.65</v>
      </c>
      <c r="H36" s="84">
        <f t="shared" si="1"/>
        <v>448.65</v>
      </c>
      <c r="I36" s="84">
        <f t="shared" si="2"/>
        <v>1250</v>
      </c>
      <c r="J36" s="84">
        <f t="shared" si="3"/>
        <v>146250</v>
      </c>
    </row>
    <row r="37" spans="6:10" ht="14.25" customHeight="1" x14ac:dyDescent="0.35">
      <c r="F37" s="14">
        <v>28</v>
      </c>
      <c r="G37" s="84">
        <f t="shared" si="0"/>
        <v>1694.84</v>
      </c>
      <c r="H37" s="84">
        <f t="shared" si="1"/>
        <v>444.84</v>
      </c>
      <c r="I37" s="84">
        <f t="shared" si="2"/>
        <v>1250</v>
      </c>
      <c r="J37" s="84">
        <f t="shared" si="3"/>
        <v>145000</v>
      </c>
    </row>
    <row r="38" spans="6:10" ht="14.25" customHeight="1" x14ac:dyDescent="0.35">
      <c r="F38" s="14">
        <v>29</v>
      </c>
      <c r="G38" s="84">
        <f t="shared" si="0"/>
        <v>1691.04</v>
      </c>
      <c r="H38" s="84">
        <f t="shared" si="1"/>
        <v>441.04</v>
      </c>
      <c r="I38" s="84">
        <f t="shared" si="2"/>
        <v>1250</v>
      </c>
      <c r="J38" s="84">
        <f t="shared" si="3"/>
        <v>143750</v>
      </c>
    </row>
    <row r="39" spans="6:10" ht="14.25" customHeight="1" x14ac:dyDescent="0.35">
      <c r="F39" s="14">
        <v>30</v>
      </c>
      <c r="G39" s="84">
        <f t="shared" si="0"/>
        <v>1687.24</v>
      </c>
      <c r="H39" s="84">
        <f t="shared" si="1"/>
        <v>437.24</v>
      </c>
      <c r="I39" s="84">
        <f t="shared" si="2"/>
        <v>1250</v>
      </c>
      <c r="J39" s="84">
        <f t="shared" si="3"/>
        <v>142500</v>
      </c>
    </row>
    <row r="40" spans="6:10" ht="14.25" customHeight="1" x14ac:dyDescent="0.35">
      <c r="F40" s="14">
        <v>31</v>
      </c>
      <c r="G40" s="84">
        <f t="shared" si="0"/>
        <v>1683.44</v>
      </c>
      <c r="H40" s="84">
        <f t="shared" si="1"/>
        <v>433.44</v>
      </c>
      <c r="I40" s="84">
        <f t="shared" si="2"/>
        <v>1250</v>
      </c>
      <c r="J40" s="84">
        <f t="shared" si="3"/>
        <v>141250</v>
      </c>
    </row>
    <row r="41" spans="6:10" ht="14.25" customHeight="1" x14ac:dyDescent="0.35">
      <c r="F41" s="14">
        <v>32</v>
      </c>
      <c r="G41" s="84">
        <f t="shared" si="0"/>
        <v>1679.6399999999999</v>
      </c>
      <c r="H41" s="84">
        <f t="shared" si="1"/>
        <v>429.64</v>
      </c>
      <c r="I41" s="84">
        <f t="shared" si="2"/>
        <v>1250</v>
      </c>
      <c r="J41" s="84">
        <f t="shared" si="3"/>
        <v>140000</v>
      </c>
    </row>
    <row r="42" spans="6:10" ht="14.25" customHeight="1" x14ac:dyDescent="0.35">
      <c r="F42" s="14">
        <v>33</v>
      </c>
      <c r="G42" s="84">
        <f t="shared" si="0"/>
        <v>1675.83</v>
      </c>
      <c r="H42" s="84">
        <f t="shared" si="1"/>
        <v>425.83</v>
      </c>
      <c r="I42" s="84">
        <f t="shared" si="2"/>
        <v>1250</v>
      </c>
      <c r="J42" s="84">
        <f t="shared" si="3"/>
        <v>138750</v>
      </c>
    </row>
    <row r="43" spans="6:10" ht="14.25" customHeight="1" x14ac:dyDescent="0.35">
      <c r="F43" s="14">
        <v>34</v>
      </c>
      <c r="G43" s="84">
        <f t="shared" si="0"/>
        <v>1672.03</v>
      </c>
      <c r="H43" s="84">
        <f t="shared" si="1"/>
        <v>422.03</v>
      </c>
      <c r="I43" s="84">
        <f t="shared" si="2"/>
        <v>1250</v>
      </c>
      <c r="J43" s="84">
        <f t="shared" si="3"/>
        <v>137500</v>
      </c>
    </row>
    <row r="44" spans="6:10" ht="14.25" customHeight="1" x14ac:dyDescent="0.35">
      <c r="F44" s="14">
        <v>35</v>
      </c>
      <c r="G44" s="84">
        <f t="shared" si="0"/>
        <v>1668.23</v>
      </c>
      <c r="H44" s="84">
        <f t="shared" si="1"/>
        <v>418.23</v>
      </c>
      <c r="I44" s="84">
        <f t="shared" si="2"/>
        <v>1250</v>
      </c>
      <c r="J44" s="84">
        <f t="shared" si="3"/>
        <v>136250</v>
      </c>
    </row>
    <row r="45" spans="6:10" ht="14.25" customHeight="1" x14ac:dyDescent="0.35">
      <c r="F45" s="14">
        <v>36</v>
      </c>
      <c r="G45" s="84">
        <f t="shared" si="0"/>
        <v>1664.43</v>
      </c>
      <c r="H45" s="84">
        <f t="shared" si="1"/>
        <v>414.43</v>
      </c>
      <c r="I45" s="84">
        <f t="shared" si="2"/>
        <v>1250</v>
      </c>
      <c r="J45" s="84">
        <f t="shared" si="3"/>
        <v>135000</v>
      </c>
    </row>
    <row r="46" spans="6:10" ht="14.25" customHeight="1" x14ac:dyDescent="0.35">
      <c r="F46" s="14">
        <v>37</v>
      </c>
      <c r="G46" s="84">
        <f t="shared" si="0"/>
        <v>1660.63</v>
      </c>
      <c r="H46" s="84">
        <f t="shared" si="1"/>
        <v>410.63</v>
      </c>
      <c r="I46" s="84">
        <f t="shared" si="2"/>
        <v>1250</v>
      </c>
      <c r="J46" s="84">
        <f t="shared" si="3"/>
        <v>133750</v>
      </c>
    </row>
    <row r="47" spans="6:10" ht="14.25" customHeight="1" x14ac:dyDescent="0.35">
      <c r="F47" s="14">
        <v>38</v>
      </c>
      <c r="G47" s="84">
        <f t="shared" si="0"/>
        <v>1656.82</v>
      </c>
      <c r="H47" s="84">
        <f t="shared" si="1"/>
        <v>406.82</v>
      </c>
      <c r="I47" s="84">
        <f t="shared" si="2"/>
        <v>1250</v>
      </c>
      <c r="J47" s="84">
        <f t="shared" si="3"/>
        <v>132500</v>
      </c>
    </row>
    <row r="48" spans="6:10" ht="14.25" customHeight="1" x14ac:dyDescent="0.35">
      <c r="F48" s="14">
        <v>39</v>
      </c>
      <c r="G48" s="84">
        <f t="shared" si="0"/>
        <v>1653.02</v>
      </c>
      <c r="H48" s="84">
        <f t="shared" si="1"/>
        <v>403.02</v>
      </c>
      <c r="I48" s="84">
        <f t="shared" si="2"/>
        <v>1250</v>
      </c>
      <c r="J48" s="84">
        <f t="shared" si="3"/>
        <v>131250</v>
      </c>
    </row>
    <row r="49" spans="6:10" ht="14.25" customHeight="1" x14ac:dyDescent="0.35">
      <c r="F49" s="14">
        <v>40</v>
      </c>
      <c r="G49" s="84">
        <f t="shared" si="0"/>
        <v>1649.22</v>
      </c>
      <c r="H49" s="84">
        <f t="shared" si="1"/>
        <v>399.22</v>
      </c>
      <c r="I49" s="84">
        <f t="shared" si="2"/>
        <v>1250</v>
      </c>
      <c r="J49" s="84">
        <f t="shared" si="3"/>
        <v>130000</v>
      </c>
    </row>
    <row r="50" spans="6:10" ht="14.25" customHeight="1" x14ac:dyDescent="0.35">
      <c r="F50" s="14">
        <v>41</v>
      </c>
      <c r="G50" s="84">
        <f t="shared" si="0"/>
        <v>1645.42</v>
      </c>
      <c r="H50" s="84">
        <f t="shared" si="1"/>
        <v>395.42</v>
      </c>
      <c r="I50" s="84">
        <f t="shared" si="2"/>
        <v>1250</v>
      </c>
      <c r="J50" s="84">
        <f t="shared" si="3"/>
        <v>128750</v>
      </c>
    </row>
    <row r="51" spans="6:10" ht="14.25" customHeight="1" x14ac:dyDescent="0.35">
      <c r="F51" s="14">
        <v>42</v>
      </c>
      <c r="G51" s="84">
        <f t="shared" si="0"/>
        <v>1641.6100000000001</v>
      </c>
      <c r="H51" s="84">
        <f t="shared" si="1"/>
        <v>391.61</v>
      </c>
      <c r="I51" s="84">
        <f t="shared" si="2"/>
        <v>1250</v>
      </c>
      <c r="J51" s="84">
        <f t="shared" si="3"/>
        <v>127500</v>
      </c>
    </row>
    <row r="52" spans="6:10" ht="14.25" customHeight="1" x14ac:dyDescent="0.35">
      <c r="F52" s="14">
        <v>43</v>
      </c>
      <c r="G52" s="84">
        <f t="shared" si="0"/>
        <v>1637.81</v>
      </c>
      <c r="H52" s="84">
        <f t="shared" si="1"/>
        <v>387.81</v>
      </c>
      <c r="I52" s="84">
        <f t="shared" si="2"/>
        <v>1250</v>
      </c>
      <c r="J52" s="84">
        <f t="shared" si="3"/>
        <v>126250</v>
      </c>
    </row>
    <row r="53" spans="6:10" ht="14.25" customHeight="1" x14ac:dyDescent="0.35">
      <c r="F53" s="14">
        <v>44</v>
      </c>
      <c r="G53" s="84">
        <f t="shared" si="0"/>
        <v>1634.01</v>
      </c>
      <c r="H53" s="84">
        <f t="shared" si="1"/>
        <v>384.01</v>
      </c>
      <c r="I53" s="84">
        <f t="shared" si="2"/>
        <v>1250</v>
      </c>
      <c r="J53" s="84">
        <f t="shared" si="3"/>
        <v>125000</v>
      </c>
    </row>
    <row r="54" spans="6:10" ht="14.25" customHeight="1" x14ac:dyDescent="0.35">
      <c r="F54" s="14">
        <v>45</v>
      </c>
      <c r="G54" s="84">
        <f t="shared" si="0"/>
        <v>1630.21</v>
      </c>
      <c r="H54" s="84">
        <f t="shared" si="1"/>
        <v>380.21</v>
      </c>
      <c r="I54" s="84">
        <f t="shared" si="2"/>
        <v>1250</v>
      </c>
      <c r="J54" s="84">
        <f t="shared" si="3"/>
        <v>123750</v>
      </c>
    </row>
    <row r="55" spans="6:10" ht="14.25" customHeight="1" x14ac:dyDescent="0.35">
      <c r="F55" s="14">
        <v>46</v>
      </c>
      <c r="G55" s="84">
        <f t="shared" si="0"/>
        <v>1626.41</v>
      </c>
      <c r="H55" s="84">
        <f t="shared" si="1"/>
        <v>376.41</v>
      </c>
      <c r="I55" s="84">
        <f t="shared" si="2"/>
        <v>1250</v>
      </c>
      <c r="J55" s="84">
        <f t="shared" si="3"/>
        <v>122500</v>
      </c>
    </row>
    <row r="56" spans="6:10" ht="14.25" customHeight="1" x14ac:dyDescent="0.35">
      <c r="F56" s="14">
        <v>47</v>
      </c>
      <c r="G56" s="84">
        <f t="shared" si="0"/>
        <v>1622.6</v>
      </c>
      <c r="H56" s="84">
        <f t="shared" si="1"/>
        <v>372.6</v>
      </c>
      <c r="I56" s="84">
        <f t="shared" si="2"/>
        <v>1250</v>
      </c>
      <c r="J56" s="84">
        <f t="shared" si="3"/>
        <v>121250</v>
      </c>
    </row>
    <row r="57" spans="6:10" ht="14.25" customHeight="1" x14ac:dyDescent="0.35">
      <c r="F57" s="14">
        <v>48</v>
      </c>
      <c r="G57" s="84">
        <f t="shared" si="0"/>
        <v>1618.8</v>
      </c>
      <c r="H57" s="84">
        <f t="shared" si="1"/>
        <v>368.8</v>
      </c>
      <c r="I57" s="84">
        <f t="shared" si="2"/>
        <v>1250</v>
      </c>
      <c r="J57" s="84">
        <f t="shared" si="3"/>
        <v>120000</v>
      </c>
    </row>
    <row r="58" spans="6:10" ht="14.25" customHeight="1" x14ac:dyDescent="0.35">
      <c r="F58" s="14">
        <v>49</v>
      </c>
      <c r="G58" s="84">
        <f t="shared" si="0"/>
        <v>1615</v>
      </c>
      <c r="H58" s="84">
        <f t="shared" si="1"/>
        <v>365</v>
      </c>
      <c r="I58" s="84">
        <f t="shared" si="2"/>
        <v>1250</v>
      </c>
      <c r="J58" s="84">
        <f t="shared" si="3"/>
        <v>118750</v>
      </c>
    </row>
    <row r="59" spans="6:10" ht="14.25" customHeight="1" x14ac:dyDescent="0.35">
      <c r="F59" s="14">
        <v>50</v>
      </c>
      <c r="G59" s="84">
        <f t="shared" si="0"/>
        <v>1611.2</v>
      </c>
      <c r="H59" s="84">
        <f t="shared" si="1"/>
        <v>361.2</v>
      </c>
      <c r="I59" s="84">
        <f t="shared" si="2"/>
        <v>1250</v>
      </c>
      <c r="J59" s="84">
        <f t="shared" si="3"/>
        <v>117500</v>
      </c>
    </row>
    <row r="60" spans="6:10" ht="14.25" customHeight="1" x14ac:dyDescent="0.35">
      <c r="F60" s="14">
        <v>51</v>
      </c>
      <c r="G60" s="84">
        <f t="shared" si="0"/>
        <v>1607.4</v>
      </c>
      <c r="H60" s="84">
        <f t="shared" si="1"/>
        <v>357.4</v>
      </c>
      <c r="I60" s="84">
        <f t="shared" si="2"/>
        <v>1250</v>
      </c>
      <c r="J60" s="84">
        <f t="shared" si="3"/>
        <v>116250</v>
      </c>
    </row>
    <row r="61" spans="6:10" ht="14.25" customHeight="1" x14ac:dyDescent="0.35">
      <c r="F61" s="14">
        <v>52</v>
      </c>
      <c r="G61" s="84">
        <f t="shared" si="0"/>
        <v>1603.59</v>
      </c>
      <c r="H61" s="84">
        <f t="shared" si="1"/>
        <v>353.59</v>
      </c>
      <c r="I61" s="84">
        <f t="shared" si="2"/>
        <v>1250</v>
      </c>
      <c r="J61" s="84">
        <f t="shared" si="3"/>
        <v>115000</v>
      </c>
    </row>
    <row r="62" spans="6:10" ht="14.25" customHeight="1" x14ac:dyDescent="0.35">
      <c r="F62" s="14">
        <v>53</v>
      </c>
      <c r="G62" s="84">
        <f t="shared" si="0"/>
        <v>1599.79</v>
      </c>
      <c r="H62" s="84">
        <f t="shared" si="1"/>
        <v>349.79</v>
      </c>
      <c r="I62" s="84">
        <f t="shared" si="2"/>
        <v>1250</v>
      </c>
      <c r="J62" s="84">
        <f t="shared" si="3"/>
        <v>113750</v>
      </c>
    </row>
    <row r="63" spans="6:10" ht="14.25" customHeight="1" x14ac:dyDescent="0.35">
      <c r="F63" s="14">
        <v>54</v>
      </c>
      <c r="G63" s="84">
        <f t="shared" si="0"/>
        <v>1595.99</v>
      </c>
      <c r="H63" s="84">
        <f t="shared" si="1"/>
        <v>345.99</v>
      </c>
      <c r="I63" s="84">
        <f t="shared" si="2"/>
        <v>1250</v>
      </c>
      <c r="J63" s="84">
        <f t="shared" si="3"/>
        <v>112500</v>
      </c>
    </row>
    <row r="64" spans="6:10" ht="14.25" customHeight="1" x14ac:dyDescent="0.35">
      <c r="F64" s="14">
        <v>55</v>
      </c>
      <c r="G64" s="84">
        <f t="shared" si="0"/>
        <v>1592.19</v>
      </c>
      <c r="H64" s="84">
        <f t="shared" si="1"/>
        <v>342.19</v>
      </c>
      <c r="I64" s="84">
        <f t="shared" si="2"/>
        <v>1250</v>
      </c>
      <c r="J64" s="84">
        <f t="shared" si="3"/>
        <v>111250</v>
      </c>
    </row>
    <row r="65" spans="6:10" ht="14.25" customHeight="1" x14ac:dyDescent="0.35">
      <c r="F65" s="14">
        <v>56</v>
      </c>
      <c r="G65" s="84">
        <f t="shared" si="0"/>
        <v>1588.3899999999999</v>
      </c>
      <c r="H65" s="84">
        <f t="shared" si="1"/>
        <v>338.39</v>
      </c>
      <c r="I65" s="84">
        <f t="shared" si="2"/>
        <v>1250</v>
      </c>
      <c r="J65" s="84">
        <f t="shared" si="3"/>
        <v>110000</v>
      </c>
    </row>
    <row r="66" spans="6:10" ht="14.25" customHeight="1" x14ac:dyDescent="0.35">
      <c r="F66" s="14">
        <v>57</v>
      </c>
      <c r="G66" s="84">
        <f t="shared" si="0"/>
        <v>1584.58</v>
      </c>
      <c r="H66" s="84">
        <f t="shared" si="1"/>
        <v>334.58</v>
      </c>
      <c r="I66" s="84">
        <f t="shared" si="2"/>
        <v>1250</v>
      </c>
      <c r="J66" s="84">
        <f t="shared" si="3"/>
        <v>108750</v>
      </c>
    </row>
    <row r="67" spans="6:10" ht="14.25" customHeight="1" x14ac:dyDescent="0.35">
      <c r="F67" s="14">
        <v>58</v>
      </c>
      <c r="G67" s="84">
        <f t="shared" si="0"/>
        <v>1580.78</v>
      </c>
      <c r="H67" s="84">
        <f t="shared" si="1"/>
        <v>330.78</v>
      </c>
      <c r="I67" s="84">
        <f t="shared" si="2"/>
        <v>1250</v>
      </c>
      <c r="J67" s="84">
        <f t="shared" si="3"/>
        <v>107500</v>
      </c>
    </row>
    <row r="68" spans="6:10" ht="14.25" customHeight="1" x14ac:dyDescent="0.35">
      <c r="F68" s="14">
        <v>59</v>
      </c>
      <c r="G68" s="84">
        <f t="shared" si="0"/>
        <v>1576.98</v>
      </c>
      <c r="H68" s="84">
        <f t="shared" si="1"/>
        <v>326.98</v>
      </c>
      <c r="I68" s="84">
        <f t="shared" si="2"/>
        <v>1250</v>
      </c>
      <c r="J68" s="84">
        <f t="shared" si="3"/>
        <v>106250</v>
      </c>
    </row>
    <row r="69" spans="6:10" ht="14.25" customHeight="1" x14ac:dyDescent="0.35">
      <c r="F69" s="14">
        <v>60</v>
      </c>
      <c r="G69" s="84">
        <f t="shared" si="0"/>
        <v>1573.18</v>
      </c>
      <c r="H69" s="84">
        <f t="shared" si="1"/>
        <v>323.18</v>
      </c>
      <c r="I69" s="84">
        <f t="shared" si="2"/>
        <v>1250</v>
      </c>
      <c r="J69" s="84">
        <f t="shared" si="3"/>
        <v>105000</v>
      </c>
    </row>
    <row r="70" spans="6:10" ht="14.25" customHeight="1" x14ac:dyDescent="0.35">
      <c r="F70" s="14">
        <v>61</v>
      </c>
      <c r="G70" s="84">
        <f t="shared" si="0"/>
        <v>1569.38</v>
      </c>
      <c r="H70" s="84">
        <f t="shared" si="1"/>
        <v>319.38</v>
      </c>
      <c r="I70" s="84">
        <f t="shared" si="2"/>
        <v>1250</v>
      </c>
      <c r="J70" s="84">
        <f t="shared" si="3"/>
        <v>103750</v>
      </c>
    </row>
    <row r="71" spans="6:10" ht="14.25" customHeight="1" x14ac:dyDescent="0.35">
      <c r="F71" s="14">
        <v>62</v>
      </c>
      <c r="G71" s="84">
        <f t="shared" si="0"/>
        <v>1565.57</v>
      </c>
      <c r="H71" s="84">
        <f t="shared" si="1"/>
        <v>315.57</v>
      </c>
      <c r="I71" s="84">
        <f t="shared" si="2"/>
        <v>1250</v>
      </c>
      <c r="J71" s="84">
        <f t="shared" si="3"/>
        <v>102500</v>
      </c>
    </row>
    <row r="72" spans="6:10" ht="14.25" customHeight="1" x14ac:dyDescent="0.35">
      <c r="F72" s="14">
        <v>63</v>
      </c>
      <c r="G72" s="84">
        <f t="shared" si="0"/>
        <v>1561.77</v>
      </c>
      <c r="H72" s="84">
        <f t="shared" si="1"/>
        <v>311.77</v>
      </c>
      <c r="I72" s="84">
        <f t="shared" si="2"/>
        <v>1250</v>
      </c>
      <c r="J72" s="84">
        <f t="shared" si="3"/>
        <v>101250</v>
      </c>
    </row>
    <row r="73" spans="6:10" ht="14.25" customHeight="1" x14ac:dyDescent="0.35">
      <c r="F73" s="14">
        <v>64</v>
      </c>
      <c r="G73" s="84">
        <f t="shared" si="0"/>
        <v>1557.97</v>
      </c>
      <c r="H73" s="84">
        <f t="shared" si="1"/>
        <v>307.97000000000003</v>
      </c>
      <c r="I73" s="84">
        <f t="shared" si="2"/>
        <v>1250</v>
      </c>
      <c r="J73" s="84">
        <f t="shared" si="3"/>
        <v>100000</v>
      </c>
    </row>
    <row r="74" spans="6:10" ht="14.25" customHeight="1" x14ac:dyDescent="0.35">
      <c r="F74" s="14">
        <v>65</v>
      </c>
      <c r="G74" s="84">
        <f t="shared" si="0"/>
        <v>1554.17</v>
      </c>
      <c r="H74" s="84">
        <f t="shared" si="1"/>
        <v>304.17</v>
      </c>
      <c r="I74" s="84">
        <f t="shared" si="2"/>
        <v>1250</v>
      </c>
      <c r="J74" s="84">
        <f t="shared" si="3"/>
        <v>98750</v>
      </c>
    </row>
    <row r="75" spans="6:10" ht="14.25" customHeight="1" x14ac:dyDescent="0.35">
      <c r="F75" s="14">
        <v>66</v>
      </c>
      <c r="G75" s="84">
        <f t="shared" si="0"/>
        <v>1550.3600000000001</v>
      </c>
      <c r="H75" s="84">
        <f t="shared" si="1"/>
        <v>300.36</v>
      </c>
      <c r="I75" s="84">
        <f t="shared" si="2"/>
        <v>1250</v>
      </c>
      <c r="J75" s="84">
        <f t="shared" si="3"/>
        <v>97500</v>
      </c>
    </row>
    <row r="76" spans="6:10" ht="14.25" customHeight="1" x14ac:dyDescent="0.35">
      <c r="F76" s="14">
        <v>67</v>
      </c>
      <c r="G76" s="84">
        <f t="shared" si="0"/>
        <v>1546.56</v>
      </c>
      <c r="H76" s="84">
        <f t="shared" si="1"/>
        <v>296.56</v>
      </c>
      <c r="I76" s="84">
        <f t="shared" si="2"/>
        <v>1250</v>
      </c>
      <c r="J76" s="84">
        <f t="shared" si="3"/>
        <v>96250</v>
      </c>
    </row>
    <row r="77" spans="6:10" ht="14.25" customHeight="1" x14ac:dyDescent="0.35">
      <c r="F77" s="14">
        <v>68</v>
      </c>
      <c r="G77" s="84">
        <f t="shared" si="0"/>
        <v>1542.76</v>
      </c>
      <c r="H77" s="84">
        <f t="shared" si="1"/>
        <v>292.76</v>
      </c>
      <c r="I77" s="84">
        <f t="shared" si="2"/>
        <v>1250</v>
      </c>
      <c r="J77" s="84">
        <f t="shared" si="3"/>
        <v>95000</v>
      </c>
    </row>
    <row r="78" spans="6:10" ht="14.25" customHeight="1" x14ac:dyDescent="0.35">
      <c r="F78" s="14">
        <v>69</v>
      </c>
      <c r="G78" s="84">
        <f t="shared" si="0"/>
        <v>1538.96</v>
      </c>
      <c r="H78" s="84">
        <f t="shared" si="1"/>
        <v>288.95999999999998</v>
      </c>
      <c r="I78" s="84">
        <f t="shared" si="2"/>
        <v>1250</v>
      </c>
      <c r="J78" s="84">
        <f t="shared" si="3"/>
        <v>93750</v>
      </c>
    </row>
    <row r="79" spans="6:10" ht="14.25" customHeight="1" x14ac:dyDescent="0.35">
      <c r="F79" s="14">
        <v>70</v>
      </c>
      <c r="G79" s="84">
        <f t="shared" si="0"/>
        <v>1535.16</v>
      </c>
      <c r="H79" s="84">
        <f t="shared" si="1"/>
        <v>285.16000000000003</v>
      </c>
      <c r="I79" s="84">
        <f t="shared" si="2"/>
        <v>1250</v>
      </c>
      <c r="J79" s="84">
        <f t="shared" si="3"/>
        <v>92500</v>
      </c>
    </row>
    <row r="80" spans="6:10" ht="14.25" customHeight="1" x14ac:dyDescent="0.35">
      <c r="F80" s="14">
        <v>71</v>
      </c>
      <c r="G80" s="84">
        <f t="shared" si="0"/>
        <v>1531.35</v>
      </c>
      <c r="H80" s="84">
        <f t="shared" si="1"/>
        <v>281.35000000000002</v>
      </c>
      <c r="I80" s="84">
        <f t="shared" si="2"/>
        <v>1250</v>
      </c>
      <c r="J80" s="84">
        <f t="shared" si="3"/>
        <v>91250</v>
      </c>
    </row>
    <row r="81" spans="6:10" ht="14.25" customHeight="1" x14ac:dyDescent="0.35">
      <c r="F81" s="14">
        <v>72</v>
      </c>
      <c r="G81" s="84">
        <f t="shared" si="0"/>
        <v>1527.55</v>
      </c>
      <c r="H81" s="84">
        <f t="shared" si="1"/>
        <v>277.55</v>
      </c>
      <c r="I81" s="84">
        <f t="shared" si="2"/>
        <v>1250</v>
      </c>
      <c r="J81" s="84">
        <f t="shared" si="3"/>
        <v>90000</v>
      </c>
    </row>
    <row r="82" spans="6:10" ht="14.25" customHeight="1" x14ac:dyDescent="0.35">
      <c r="F82" s="14">
        <v>73</v>
      </c>
      <c r="G82" s="84">
        <f t="shared" si="0"/>
        <v>1523.75</v>
      </c>
      <c r="H82" s="84">
        <f t="shared" si="1"/>
        <v>273.75</v>
      </c>
      <c r="I82" s="84">
        <f t="shared" si="2"/>
        <v>1250</v>
      </c>
      <c r="J82" s="84">
        <f t="shared" si="3"/>
        <v>88750</v>
      </c>
    </row>
    <row r="83" spans="6:10" ht="14.25" customHeight="1" x14ac:dyDescent="0.35">
      <c r="F83" s="14">
        <v>74</v>
      </c>
      <c r="G83" s="84">
        <f t="shared" si="0"/>
        <v>1519.95</v>
      </c>
      <c r="H83" s="84">
        <f t="shared" si="1"/>
        <v>269.95</v>
      </c>
      <c r="I83" s="84">
        <f t="shared" si="2"/>
        <v>1250</v>
      </c>
      <c r="J83" s="84">
        <f t="shared" si="3"/>
        <v>87500</v>
      </c>
    </row>
    <row r="84" spans="6:10" ht="14.25" customHeight="1" x14ac:dyDescent="0.35">
      <c r="F84" s="14">
        <v>75</v>
      </c>
      <c r="G84" s="84">
        <f t="shared" si="0"/>
        <v>1516.15</v>
      </c>
      <c r="H84" s="84">
        <f t="shared" si="1"/>
        <v>266.14999999999998</v>
      </c>
      <c r="I84" s="84">
        <f t="shared" si="2"/>
        <v>1250</v>
      </c>
      <c r="J84" s="84">
        <f t="shared" si="3"/>
        <v>86250</v>
      </c>
    </row>
    <row r="85" spans="6:10" ht="14.25" customHeight="1" x14ac:dyDescent="0.35">
      <c r="F85" s="14">
        <v>76</v>
      </c>
      <c r="G85" s="84">
        <f t="shared" si="0"/>
        <v>1512.34</v>
      </c>
      <c r="H85" s="84">
        <f t="shared" si="1"/>
        <v>262.33999999999997</v>
      </c>
      <c r="I85" s="84">
        <f t="shared" si="2"/>
        <v>1250</v>
      </c>
      <c r="J85" s="84">
        <f t="shared" si="3"/>
        <v>85000</v>
      </c>
    </row>
    <row r="86" spans="6:10" ht="14.25" customHeight="1" x14ac:dyDescent="0.35">
      <c r="F86" s="14">
        <v>77</v>
      </c>
      <c r="G86" s="84">
        <f t="shared" si="0"/>
        <v>1508.54</v>
      </c>
      <c r="H86" s="84">
        <f t="shared" si="1"/>
        <v>258.54000000000002</v>
      </c>
      <c r="I86" s="84">
        <f t="shared" si="2"/>
        <v>1250</v>
      </c>
      <c r="J86" s="84">
        <f t="shared" si="3"/>
        <v>83750</v>
      </c>
    </row>
    <row r="87" spans="6:10" ht="14.25" customHeight="1" x14ac:dyDescent="0.35">
      <c r="F87" s="14">
        <v>78</v>
      </c>
      <c r="G87" s="84">
        <f t="shared" si="0"/>
        <v>1504.74</v>
      </c>
      <c r="H87" s="84">
        <f t="shared" si="1"/>
        <v>254.74</v>
      </c>
      <c r="I87" s="84">
        <f t="shared" si="2"/>
        <v>1250</v>
      </c>
      <c r="J87" s="84">
        <f t="shared" si="3"/>
        <v>82500</v>
      </c>
    </row>
    <row r="88" spans="6:10" ht="14.25" customHeight="1" x14ac:dyDescent="0.35">
      <c r="F88" s="14">
        <v>79</v>
      </c>
      <c r="G88" s="84">
        <f t="shared" si="0"/>
        <v>1500.94</v>
      </c>
      <c r="H88" s="84">
        <f t="shared" si="1"/>
        <v>250.94</v>
      </c>
      <c r="I88" s="84">
        <f t="shared" si="2"/>
        <v>1250</v>
      </c>
      <c r="J88" s="84">
        <f t="shared" si="3"/>
        <v>81250</v>
      </c>
    </row>
    <row r="89" spans="6:10" ht="14.25" customHeight="1" x14ac:dyDescent="0.35">
      <c r="F89" s="14">
        <v>80</v>
      </c>
      <c r="G89" s="84">
        <f t="shared" si="0"/>
        <v>1497.1399999999999</v>
      </c>
      <c r="H89" s="84">
        <f t="shared" si="1"/>
        <v>247.14</v>
      </c>
      <c r="I89" s="84">
        <f t="shared" si="2"/>
        <v>1250</v>
      </c>
      <c r="J89" s="84">
        <f t="shared" si="3"/>
        <v>80000</v>
      </c>
    </row>
    <row r="90" spans="6:10" ht="14.25" customHeight="1" x14ac:dyDescent="0.35">
      <c r="F90" s="14">
        <v>81</v>
      </c>
      <c r="G90" s="84">
        <f t="shared" si="0"/>
        <v>1493.33</v>
      </c>
      <c r="H90" s="84">
        <f t="shared" si="1"/>
        <v>243.33</v>
      </c>
      <c r="I90" s="84">
        <f t="shared" si="2"/>
        <v>1250</v>
      </c>
      <c r="J90" s="84">
        <f t="shared" si="3"/>
        <v>78750</v>
      </c>
    </row>
    <row r="91" spans="6:10" ht="14.25" customHeight="1" x14ac:dyDescent="0.35">
      <c r="F91" s="14">
        <v>82</v>
      </c>
      <c r="G91" s="84">
        <f t="shared" si="0"/>
        <v>1489.53</v>
      </c>
      <c r="H91" s="84">
        <f t="shared" si="1"/>
        <v>239.53</v>
      </c>
      <c r="I91" s="84">
        <f t="shared" si="2"/>
        <v>1250</v>
      </c>
      <c r="J91" s="84">
        <f t="shared" si="3"/>
        <v>77500</v>
      </c>
    </row>
    <row r="92" spans="6:10" ht="14.25" customHeight="1" x14ac:dyDescent="0.35">
      <c r="F92" s="14">
        <v>83</v>
      </c>
      <c r="G92" s="84">
        <f t="shared" si="0"/>
        <v>1485.73</v>
      </c>
      <c r="H92" s="84">
        <f t="shared" si="1"/>
        <v>235.73</v>
      </c>
      <c r="I92" s="84">
        <f t="shared" si="2"/>
        <v>1250</v>
      </c>
      <c r="J92" s="84">
        <f t="shared" si="3"/>
        <v>76250</v>
      </c>
    </row>
    <row r="93" spans="6:10" ht="14.25" customHeight="1" x14ac:dyDescent="0.35">
      <c r="F93" s="14">
        <v>84</v>
      </c>
      <c r="G93" s="84">
        <f t="shared" si="0"/>
        <v>1481.93</v>
      </c>
      <c r="H93" s="84">
        <f t="shared" si="1"/>
        <v>231.93</v>
      </c>
      <c r="I93" s="84">
        <f t="shared" si="2"/>
        <v>1250</v>
      </c>
      <c r="J93" s="84">
        <f t="shared" si="3"/>
        <v>75000</v>
      </c>
    </row>
    <row r="94" spans="6:10" ht="14.25" customHeight="1" x14ac:dyDescent="0.35">
      <c r="F94" s="14">
        <v>85</v>
      </c>
      <c r="G94" s="84">
        <f t="shared" si="0"/>
        <v>1478.13</v>
      </c>
      <c r="H94" s="84">
        <f t="shared" si="1"/>
        <v>228.13</v>
      </c>
      <c r="I94" s="84">
        <f t="shared" si="2"/>
        <v>1250</v>
      </c>
      <c r="J94" s="84">
        <f t="shared" si="3"/>
        <v>73750</v>
      </c>
    </row>
    <row r="95" spans="6:10" ht="14.25" customHeight="1" x14ac:dyDescent="0.35">
      <c r="F95" s="14">
        <v>86</v>
      </c>
      <c r="G95" s="84">
        <f t="shared" si="0"/>
        <v>1474.32</v>
      </c>
      <c r="H95" s="84">
        <f t="shared" si="1"/>
        <v>224.32</v>
      </c>
      <c r="I95" s="84">
        <f t="shared" si="2"/>
        <v>1250</v>
      </c>
      <c r="J95" s="84">
        <f t="shared" si="3"/>
        <v>72500</v>
      </c>
    </row>
    <row r="96" spans="6:10" ht="14.25" customHeight="1" x14ac:dyDescent="0.35">
      <c r="F96" s="14">
        <v>87</v>
      </c>
      <c r="G96" s="84">
        <f t="shared" si="0"/>
        <v>1470.52</v>
      </c>
      <c r="H96" s="84">
        <f t="shared" si="1"/>
        <v>220.52</v>
      </c>
      <c r="I96" s="84">
        <f t="shared" si="2"/>
        <v>1250</v>
      </c>
      <c r="J96" s="84">
        <f t="shared" si="3"/>
        <v>71250</v>
      </c>
    </row>
    <row r="97" spans="6:10" ht="14.25" customHeight="1" x14ac:dyDescent="0.35">
      <c r="F97" s="14">
        <v>88</v>
      </c>
      <c r="G97" s="84">
        <f t="shared" si="0"/>
        <v>1466.72</v>
      </c>
      <c r="H97" s="84">
        <f t="shared" si="1"/>
        <v>216.72</v>
      </c>
      <c r="I97" s="84">
        <f t="shared" si="2"/>
        <v>1250</v>
      </c>
      <c r="J97" s="84">
        <f t="shared" si="3"/>
        <v>70000</v>
      </c>
    </row>
    <row r="98" spans="6:10" ht="14.25" customHeight="1" x14ac:dyDescent="0.35">
      <c r="F98" s="14">
        <v>89</v>
      </c>
      <c r="G98" s="84">
        <f t="shared" si="0"/>
        <v>1462.92</v>
      </c>
      <c r="H98" s="84">
        <f t="shared" si="1"/>
        <v>212.92</v>
      </c>
      <c r="I98" s="84">
        <f t="shared" si="2"/>
        <v>1250</v>
      </c>
      <c r="J98" s="84">
        <f t="shared" si="3"/>
        <v>68750</v>
      </c>
    </row>
    <row r="99" spans="6:10" ht="14.25" customHeight="1" x14ac:dyDescent="0.35">
      <c r="F99" s="14">
        <v>90</v>
      </c>
      <c r="G99" s="84">
        <f t="shared" si="0"/>
        <v>1459.1100000000001</v>
      </c>
      <c r="H99" s="84">
        <f t="shared" si="1"/>
        <v>209.11</v>
      </c>
      <c r="I99" s="84">
        <f t="shared" si="2"/>
        <v>1250</v>
      </c>
      <c r="J99" s="84">
        <f t="shared" si="3"/>
        <v>67500</v>
      </c>
    </row>
    <row r="100" spans="6:10" ht="14.25" customHeight="1" x14ac:dyDescent="0.35">
      <c r="F100" s="14">
        <v>91</v>
      </c>
      <c r="G100" s="84">
        <f t="shared" si="0"/>
        <v>1455.31</v>
      </c>
      <c r="H100" s="84">
        <f t="shared" si="1"/>
        <v>205.31</v>
      </c>
      <c r="I100" s="84">
        <f t="shared" si="2"/>
        <v>1250</v>
      </c>
      <c r="J100" s="84">
        <f t="shared" si="3"/>
        <v>66250</v>
      </c>
    </row>
    <row r="101" spans="6:10" ht="14.25" customHeight="1" x14ac:dyDescent="0.35">
      <c r="F101" s="14">
        <v>92</v>
      </c>
      <c r="G101" s="84">
        <f t="shared" si="0"/>
        <v>1451.51</v>
      </c>
      <c r="H101" s="84">
        <f t="shared" si="1"/>
        <v>201.51</v>
      </c>
      <c r="I101" s="84">
        <f t="shared" si="2"/>
        <v>1250</v>
      </c>
      <c r="J101" s="84">
        <f t="shared" si="3"/>
        <v>65000</v>
      </c>
    </row>
    <row r="102" spans="6:10" ht="14.25" customHeight="1" x14ac:dyDescent="0.35">
      <c r="F102" s="14">
        <v>93</v>
      </c>
      <c r="G102" s="84">
        <f t="shared" si="0"/>
        <v>1447.71</v>
      </c>
      <c r="H102" s="84">
        <f t="shared" si="1"/>
        <v>197.71</v>
      </c>
      <c r="I102" s="84">
        <f t="shared" si="2"/>
        <v>1250</v>
      </c>
      <c r="J102" s="84">
        <f t="shared" si="3"/>
        <v>63750</v>
      </c>
    </row>
    <row r="103" spans="6:10" ht="14.25" customHeight="1" x14ac:dyDescent="0.35">
      <c r="F103" s="14">
        <v>94</v>
      </c>
      <c r="G103" s="84">
        <f t="shared" si="0"/>
        <v>1443.91</v>
      </c>
      <c r="H103" s="84">
        <f t="shared" si="1"/>
        <v>193.91</v>
      </c>
      <c r="I103" s="84">
        <f t="shared" si="2"/>
        <v>1250</v>
      </c>
      <c r="J103" s="84">
        <f t="shared" si="3"/>
        <v>62500</v>
      </c>
    </row>
    <row r="104" spans="6:10" ht="14.25" customHeight="1" x14ac:dyDescent="0.35">
      <c r="F104" s="14">
        <v>95</v>
      </c>
      <c r="G104" s="84">
        <f t="shared" si="0"/>
        <v>1440.1</v>
      </c>
      <c r="H104" s="84">
        <f t="shared" si="1"/>
        <v>190.1</v>
      </c>
      <c r="I104" s="84">
        <f t="shared" si="2"/>
        <v>1250</v>
      </c>
      <c r="J104" s="84">
        <f t="shared" si="3"/>
        <v>61250</v>
      </c>
    </row>
    <row r="105" spans="6:10" ht="14.25" customHeight="1" x14ac:dyDescent="0.35">
      <c r="F105" s="14">
        <v>96</v>
      </c>
      <c r="G105" s="84">
        <f t="shared" si="0"/>
        <v>1436.3</v>
      </c>
      <c r="H105" s="84">
        <f t="shared" si="1"/>
        <v>186.3</v>
      </c>
      <c r="I105" s="84">
        <f t="shared" si="2"/>
        <v>1250</v>
      </c>
      <c r="J105" s="84">
        <f t="shared" si="3"/>
        <v>60000</v>
      </c>
    </row>
    <row r="106" spans="6:10" ht="14.25" customHeight="1" x14ac:dyDescent="0.35">
      <c r="F106" s="14">
        <v>97</v>
      </c>
      <c r="G106" s="84">
        <f t="shared" si="0"/>
        <v>1432.5</v>
      </c>
      <c r="H106" s="84">
        <f t="shared" si="1"/>
        <v>182.5</v>
      </c>
      <c r="I106" s="84">
        <f t="shared" si="2"/>
        <v>1250</v>
      </c>
      <c r="J106" s="84">
        <f t="shared" si="3"/>
        <v>58750</v>
      </c>
    </row>
    <row r="107" spans="6:10" ht="14.25" customHeight="1" x14ac:dyDescent="0.35">
      <c r="F107" s="14">
        <v>98</v>
      </c>
      <c r="G107" s="84">
        <f t="shared" si="0"/>
        <v>1428.7</v>
      </c>
      <c r="H107" s="84">
        <f t="shared" si="1"/>
        <v>178.7</v>
      </c>
      <c r="I107" s="84">
        <f t="shared" si="2"/>
        <v>1250</v>
      </c>
      <c r="J107" s="84">
        <f t="shared" si="3"/>
        <v>57500</v>
      </c>
    </row>
    <row r="108" spans="6:10" ht="14.25" customHeight="1" x14ac:dyDescent="0.35">
      <c r="F108" s="14">
        <v>99</v>
      </c>
      <c r="G108" s="84">
        <f t="shared" si="0"/>
        <v>1424.9</v>
      </c>
      <c r="H108" s="84">
        <f t="shared" si="1"/>
        <v>174.9</v>
      </c>
      <c r="I108" s="84">
        <f t="shared" si="2"/>
        <v>1250</v>
      </c>
      <c r="J108" s="84">
        <f t="shared" si="3"/>
        <v>56250</v>
      </c>
    </row>
    <row r="109" spans="6:10" ht="14.25" customHeight="1" x14ac:dyDescent="0.35">
      <c r="F109" s="14">
        <v>100</v>
      </c>
      <c r="G109" s="84">
        <f t="shared" si="0"/>
        <v>1421.09</v>
      </c>
      <c r="H109" s="84">
        <f t="shared" si="1"/>
        <v>171.09</v>
      </c>
      <c r="I109" s="84">
        <f t="shared" si="2"/>
        <v>1250</v>
      </c>
      <c r="J109" s="84">
        <f t="shared" si="3"/>
        <v>55000</v>
      </c>
    </row>
    <row r="110" spans="6:10" ht="14.25" customHeight="1" x14ac:dyDescent="0.35">
      <c r="F110" s="14">
        <v>101</v>
      </c>
      <c r="G110" s="84">
        <f t="shared" si="0"/>
        <v>1417.29</v>
      </c>
      <c r="H110" s="84">
        <f t="shared" si="1"/>
        <v>167.29</v>
      </c>
      <c r="I110" s="84">
        <f t="shared" si="2"/>
        <v>1250</v>
      </c>
      <c r="J110" s="84">
        <f t="shared" si="3"/>
        <v>53750</v>
      </c>
    </row>
    <row r="111" spans="6:10" ht="14.25" customHeight="1" x14ac:dyDescent="0.35">
      <c r="F111" s="14">
        <v>102</v>
      </c>
      <c r="G111" s="84">
        <f t="shared" si="0"/>
        <v>1413.49</v>
      </c>
      <c r="H111" s="84">
        <f t="shared" si="1"/>
        <v>163.49</v>
      </c>
      <c r="I111" s="84">
        <f t="shared" si="2"/>
        <v>1250</v>
      </c>
      <c r="J111" s="84">
        <f t="shared" si="3"/>
        <v>52500</v>
      </c>
    </row>
    <row r="112" spans="6:10" ht="14.25" customHeight="1" x14ac:dyDescent="0.35">
      <c r="F112" s="14">
        <v>103</v>
      </c>
      <c r="G112" s="84">
        <f t="shared" si="0"/>
        <v>1409.69</v>
      </c>
      <c r="H112" s="84">
        <f t="shared" si="1"/>
        <v>159.69</v>
      </c>
      <c r="I112" s="84">
        <f t="shared" si="2"/>
        <v>1250</v>
      </c>
      <c r="J112" s="84">
        <f t="shared" si="3"/>
        <v>51250</v>
      </c>
    </row>
    <row r="113" spans="6:10" ht="14.25" customHeight="1" x14ac:dyDescent="0.35">
      <c r="F113" s="14">
        <v>104</v>
      </c>
      <c r="G113" s="84">
        <f t="shared" si="0"/>
        <v>1405.8899999999999</v>
      </c>
      <c r="H113" s="84">
        <f t="shared" si="1"/>
        <v>155.88999999999999</v>
      </c>
      <c r="I113" s="84">
        <f t="shared" si="2"/>
        <v>1250</v>
      </c>
      <c r="J113" s="84">
        <f t="shared" si="3"/>
        <v>50000</v>
      </c>
    </row>
    <row r="114" spans="6:10" ht="14.25" customHeight="1" x14ac:dyDescent="0.35">
      <c r="F114" s="14">
        <v>105</v>
      </c>
      <c r="G114" s="84">
        <f t="shared" si="0"/>
        <v>1402.08</v>
      </c>
      <c r="H114" s="84">
        <f t="shared" si="1"/>
        <v>152.08000000000001</v>
      </c>
      <c r="I114" s="84">
        <f t="shared" si="2"/>
        <v>1250</v>
      </c>
      <c r="J114" s="84">
        <f t="shared" si="3"/>
        <v>48750</v>
      </c>
    </row>
    <row r="115" spans="6:10" ht="14.25" customHeight="1" x14ac:dyDescent="0.35">
      <c r="F115" s="14">
        <v>106</v>
      </c>
      <c r="G115" s="84">
        <f t="shared" si="0"/>
        <v>1398.28</v>
      </c>
      <c r="H115" s="84">
        <f t="shared" si="1"/>
        <v>148.28</v>
      </c>
      <c r="I115" s="84">
        <f t="shared" si="2"/>
        <v>1250</v>
      </c>
      <c r="J115" s="84">
        <f t="shared" si="3"/>
        <v>47500</v>
      </c>
    </row>
    <row r="116" spans="6:10" ht="14.25" customHeight="1" x14ac:dyDescent="0.35">
      <c r="F116" s="14">
        <v>107</v>
      </c>
      <c r="G116" s="84">
        <f t="shared" si="0"/>
        <v>1394.48</v>
      </c>
      <c r="H116" s="84">
        <f t="shared" si="1"/>
        <v>144.47999999999999</v>
      </c>
      <c r="I116" s="84">
        <f t="shared" si="2"/>
        <v>1250</v>
      </c>
      <c r="J116" s="84">
        <f t="shared" si="3"/>
        <v>46250</v>
      </c>
    </row>
    <row r="117" spans="6:10" ht="14.25" customHeight="1" x14ac:dyDescent="0.35">
      <c r="F117" s="14">
        <v>108</v>
      </c>
      <c r="G117" s="84">
        <f t="shared" si="0"/>
        <v>1390.68</v>
      </c>
      <c r="H117" s="84">
        <f t="shared" si="1"/>
        <v>140.68</v>
      </c>
      <c r="I117" s="84">
        <f t="shared" si="2"/>
        <v>1250</v>
      </c>
      <c r="J117" s="84">
        <f t="shared" si="3"/>
        <v>45000</v>
      </c>
    </row>
    <row r="118" spans="6:10" ht="14.25" customHeight="1" x14ac:dyDescent="0.35">
      <c r="F118" s="14">
        <v>109</v>
      </c>
      <c r="G118" s="84">
        <f t="shared" si="0"/>
        <v>1386.88</v>
      </c>
      <c r="H118" s="84">
        <f t="shared" si="1"/>
        <v>136.88</v>
      </c>
      <c r="I118" s="84">
        <f t="shared" si="2"/>
        <v>1250</v>
      </c>
      <c r="J118" s="84">
        <f t="shared" si="3"/>
        <v>43750</v>
      </c>
    </row>
    <row r="119" spans="6:10" ht="14.25" customHeight="1" x14ac:dyDescent="0.35">
      <c r="F119" s="14">
        <v>110</v>
      </c>
      <c r="G119" s="84">
        <f t="shared" si="0"/>
        <v>1383.07</v>
      </c>
      <c r="H119" s="84">
        <f t="shared" si="1"/>
        <v>133.07</v>
      </c>
      <c r="I119" s="84">
        <f t="shared" si="2"/>
        <v>1250</v>
      </c>
      <c r="J119" s="84">
        <f t="shared" si="3"/>
        <v>42500</v>
      </c>
    </row>
    <row r="120" spans="6:10" ht="14.25" customHeight="1" x14ac:dyDescent="0.35">
      <c r="F120" s="14">
        <v>111</v>
      </c>
      <c r="G120" s="84">
        <f t="shared" si="0"/>
        <v>1379.27</v>
      </c>
      <c r="H120" s="84">
        <f t="shared" si="1"/>
        <v>129.27000000000001</v>
      </c>
      <c r="I120" s="84">
        <f t="shared" si="2"/>
        <v>1250</v>
      </c>
      <c r="J120" s="84">
        <f t="shared" si="3"/>
        <v>41250</v>
      </c>
    </row>
    <row r="121" spans="6:10" ht="14.25" customHeight="1" x14ac:dyDescent="0.35">
      <c r="F121" s="14">
        <v>112</v>
      </c>
      <c r="G121" s="84">
        <f t="shared" si="0"/>
        <v>1375.47</v>
      </c>
      <c r="H121" s="84">
        <f t="shared" si="1"/>
        <v>125.47</v>
      </c>
      <c r="I121" s="84">
        <f t="shared" si="2"/>
        <v>1250</v>
      </c>
      <c r="J121" s="84">
        <f t="shared" si="3"/>
        <v>40000</v>
      </c>
    </row>
    <row r="122" spans="6:10" ht="14.25" customHeight="1" x14ac:dyDescent="0.35">
      <c r="F122" s="14">
        <v>113</v>
      </c>
      <c r="G122" s="84">
        <f t="shared" si="0"/>
        <v>1371.67</v>
      </c>
      <c r="H122" s="84">
        <f t="shared" si="1"/>
        <v>121.67</v>
      </c>
      <c r="I122" s="84">
        <f t="shared" si="2"/>
        <v>1250</v>
      </c>
      <c r="J122" s="84">
        <f t="shared" si="3"/>
        <v>38750</v>
      </c>
    </row>
    <row r="123" spans="6:10" ht="14.25" customHeight="1" x14ac:dyDescent="0.35">
      <c r="F123" s="14">
        <v>114</v>
      </c>
      <c r="G123" s="84">
        <f t="shared" si="0"/>
        <v>1367.86</v>
      </c>
      <c r="H123" s="84">
        <f t="shared" si="1"/>
        <v>117.86</v>
      </c>
      <c r="I123" s="84">
        <f t="shared" si="2"/>
        <v>1250</v>
      </c>
      <c r="J123" s="84">
        <f t="shared" si="3"/>
        <v>37500</v>
      </c>
    </row>
    <row r="124" spans="6:10" ht="14.25" customHeight="1" x14ac:dyDescent="0.35">
      <c r="F124" s="14">
        <v>115</v>
      </c>
      <c r="G124" s="84">
        <f t="shared" si="0"/>
        <v>1364.06</v>
      </c>
      <c r="H124" s="84">
        <f t="shared" si="1"/>
        <v>114.06</v>
      </c>
      <c r="I124" s="84">
        <f t="shared" si="2"/>
        <v>1250</v>
      </c>
      <c r="J124" s="84">
        <f t="shared" si="3"/>
        <v>36250</v>
      </c>
    </row>
    <row r="125" spans="6:10" ht="14.25" customHeight="1" x14ac:dyDescent="0.35">
      <c r="F125" s="14">
        <v>116</v>
      </c>
      <c r="G125" s="84">
        <f t="shared" si="0"/>
        <v>1360.26</v>
      </c>
      <c r="H125" s="84">
        <f t="shared" si="1"/>
        <v>110.26</v>
      </c>
      <c r="I125" s="84">
        <f t="shared" si="2"/>
        <v>1250</v>
      </c>
      <c r="J125" s="84">
        <f t="shared" si="3"/>
        <v>35000</v>
      </c>
    </row>
    <row r="126" spans="6:10" ht="14.25" customHeight="1" x14ac:dyDescent="0.35">
      <c r="F126" s="14">
        <v>117</v>
      </c>
      <c r="G126" s="84">
        <f t="shared" si="0"/>
        <v>1356.46</v>
      </c>
      <c r="H126" s="84">
        <f t="shared" si="1"/>
        <v>106.46</v>
      </c>
      <c r="I126" s="84">
        <f t="shared" si="2"/>
        <v>1250</v>
      </c>
      <c r="J126" s="84">
        <f t="shared" si="3"/>
        <v>33750</v>
      </c>
    </row>
    <row r="127" spans="6:10" ht="14.25" customHeight="1" x14ac:dyDescent="0.35">
      <c r="F127" s="14">
        <v>118</v>
      </c>
      <c r="G127" s="84">
        <f t="shared" si="0"/>
        <v>1352.66</v>
      </c>
      <c r="H127" s="84">
        <f t="shared" si="1"/>
        <v>102.66</v>
      </c>
      <c r="I127" s="84">
        <f t="shared" si="2"/>
        <v>1250</v>
      </c>
      <c r="J127" s="84">
        <f t="shared" si="3"/>
        <v>32500</v>
      </c>
    </row>
    <row r="128" spans="6:10" ht="14.25" customHeight="1" x14ac:dyDescent="0.35">
      <c r="F128" s="14">
        <v>119</v>
      </c>
      <c r="G128" s="84">
        <f t="shared" si="0"/>
        <v>1348.85</v>
      </c>
      <c r="H128" s="84">
        <f t="shared" si="1"/>
        <v>98.85</v>
      </c>
      <c r="I128" s="84">
        <f t="shared" si="2"/>
        <v>1250</v>
      </c>
      <c r="J128" s="84">
        <f t="shared" si="3"/>
        <v>31250</v>
      </c>
    </row>
    <row r="129" spans="6:10" ht="14.25" customHeight="1" x14ac:dyDescent="0.35">
      <c r="F129" s="14">
        <v>120</v>
      </c>
      <c r="G129" s="84">
        <f t="shared" si="0"/>
        <v>1345.05</v>
      </c>
      <c r="H129" s="84">
        <f t="shared" si="1"/>
        <v>95.05</v>
      </c>
      <c r="I129" s="84">
        <f t="shared" si="2"/>
        <v>1250</v>
      </c>
      <c r="J129" s="84">
        <f t="shared" si="3"/>
        <v>30000</v>
      </c>
    </row>
    <row r="130" spans="6:10" ht="14.25" customHeight="1" x14ac:dyDescent="0.35">
      <c r="F130" s="14">
        <v>121</v>
      </c>
      <c r="G130" s="84">
        <f t="shared" si="0"/>
        <v>1341.25</v>
      </c>
      <c r="H130" s="84">
        <f t="shared" si="1"/>
        <v>91.25</v>
      </c>
      <c r="I130" s="84">
        <f t="shared" si="2"/>
        <v>1250</v>
      </c>
      <c r="J130" s="84">
        <f t="shared" si="3"/>
        <v>28750</v>
      </c>
    </row>
    <row r="131" spans="6:10" ht="14.25" customHeight="1" x14ac:dyDescent="0.35">
      <c r="F131" s="14">
        <v>122</v>
      </c>
      <c r="G131" s="84">
        <f t="shared" si="0"/>
        <v>1337.45</v>
      </c>
      <c r="H131" s="84">
        <f t="shared" si="1"/>
        <v>87.45</v>
      </c>
      <c r="I131" s="84">
        <f t="shared" si="2"/>
        <v>1250</v>
      </c>
      <c r="J131" s="84">
        <f t="shared" si="3"/>
        <v>27500</v>
      </c>
    </row>
    <row r="132" spans="6:10" ht="14.25" customHeight="1" x14ac:dyDescent="0.35">
      <c r="F132" s="14">
        <v>123</v>
      </c>
      <c r="G132" s="84">
        <f t="shared" si="0"/>
        <v>1333.65</v>
      </c>
      <c r="H132" s="84">
        <f t="shared" si="1"/>
        <v>83.65</v>
      </c>
      <c r="I132" s="84">
        <f t="shared" si="2"/>
        <v>1250</v>
      </c>
      <c r="J132" s="84">
        <f t="shared" si="3"/>
        <v>26250</v>
      </c>
    </row>
    <row r="133" spans="6:10" ht="14.25" customHeight="1" x14ac:dyDescent="0.35">
      <c r="F133" s="14">
        <v>124</v>
      </c>
      <c r="G133" s="84">
        <f t="shared" si="0"/>
        <v>1329.84</v>
      </c>
      <c r="H133" s="84">
        <f t="shared" si="1"/>
        <v>79.84</v>
      </c>
      <c r="I133" s="84">
        <f t="shared" si="2"/>
        <v>1250</v>
      </c>
      <c r="J133" s="84">
        <f t="shared" si="3"/>
        <v>25000</v>
      </c>
    </row>
    <row r="134" spans="6:10" ht="14.25" customHeight="1" x14ac:dyDescent="0.35">
      <c r="F134" s="14">
        <v>125</v>
      </c>
      <c r="G134" s="84">
        <f t="shared" si="0"/>
        <v>1326.04</v>
      </c>
      <c r="H134" s="84">
        <f t="shared" si="1"/>
        <v>76.040000000000006</v>
      </c>
      <c r="I134" s="84">
        <f t="shared" si="2"/>
        <v>1250</v>
      </c>
      <c r="J134" s="84">
        <f t="shared" si="3"/>
        <v>23750</v>
      </c>
    </row>
    <row r="135" spans="6:10" ht="14.25" customHeight="1" x14ac:dyDescent="0.35">
      <c r="F135" s="14">
        <v>126</v>
      </c>
      <c r="G135" s="84">
        <f t="shared" si="0"/>
        <v>1322.24</v>
      </c>
      <c r="H135" s="84">
        <f t="shared" si="1"/>
        <v>72.239999999999995</v>
      </c>
      <c r="I135" s="84">
        <f t="shared" si="2"/>
        <v>1250</v>
      </c>
      <c r="J135" s="84">
        <f t="shared" si="3"/>
        <v>22500</v>
      </c>
    </row>
    <row r="136" spans="6:10" ht="14.25" customHeight="1" x14ac:dyDescent="0.35">
      <c r="F136" s="14">
        <v>127</v>
      </c>
      <c r="G136" s="84">
        <f t="shared" si="0"/>
        <v>1318.44</v>
      </c>
      <c r="H136" s="84">
        <f t="shared" si="1"/>
        <v>68.44</v>
      </c>
      <c r="I136" s="84">
        <f t="shared" si="2"/>
        <v>1250</v>
      </c>
      <c r="J136" s="84">
        <f t="shared" si="3"/>
        <v>21250</v>
      </c>
    </row>
    <row r="137" spans="6:10" ht="14.25" customHeight="1" x14ac:dyDescent="0.35">
      <c r="F137" s="14">
        <v>128</v>
      </c>
      <c r="G137" s="84">
        <f t="shared" si="0"/>
        <v>1314.64</v>
      </c>
      <c r="H137" s="84">
        <f t="shared" si="1"/>
        <v>64.64</v>
      </c>
      <c r="I137" s="84">
        <f t="shared" si="2"/>
        <v>1250</v>
      </c>
      <c r="J137" s="84">
        <f t="shared" si="3"/>
        <v>20000</v>
      </c>
    </row>
    <row r="138" spans="6:10" ht="14.25" customHeight="1" x14ac:dyDescent="0.35">
      <c r="F138" s="14">
        <v>129</v>
      </c>
      <c r="G138" s="84">
        <f t="shared" si="0"/>
        <v>1310.83</v>
      </c>
      <c r="H138" s="84">
        <f t="shared" si="1"/>
        <v>60.83</v>
      </c>
      <c r="I138" s="84">
        <f t="shared" si="2"/>
        <v>1250</v>
      </c>
      <c r="J138" s="84">
        <f t="shared" si="3"/>
        <v>18750</v>
      </c>
    </row>
    <row r="139" spans="6:10" ht="14.25" customHeight="1" x14ac:dyDescent="0.35">
      <c r="F139" s="14">
        <v>130</v>
      </c>
      <c r="G139" s="84">
        <f t="shared" si="0"/>
        <v>1307.03</v>
      </c>
      <c r="H139" s="84">
        <f t="shared" si="1"/>
        <v>57.03</v>
      </c>
      <c r="I139" s="84">
        <f t="shared" si="2"/>
        <v>1250</v>
      </c>
      <c r="J139" s="84">
        <f t="shared" si="3"/>
        <v>17500</v>
      </c>
    </row>
    <row r="140" spans="6:10" ht="14.25" customHeight="1" x14ac:dyDescent="0.35">
      <c r="F140" s="14">
        <v>131</v>
      </c>
      <c r="G140" s="84">
        <f t="shared" si="0"/>
        <v>1303.23</v>
      </c>
      <c r="H140" s="84">
        <f t="shared" si="1"/>
        <v>53.23</v>
      </c>
      <c r="I140" s="84">
        <f t="shared" si="2"/>
        <v>1250</v>
      </c>
      <c r="J140" s="84">
        <f t="shared" si="3"/>
        <v>16250</v>
      </c>
    </row>
    <row r="141" spans="6:10" ht="14.25" customHeight="1" x14ac:dyDescent="0.35">
      <c r="F141" s="14">
        <v>132</v>
      </c>
      <c r="G141" s="84">
        <f t="shared" si="0"/>
        <v>1299.43</v>
      </c>
      <c r="H141" s="84">
        <f t="shared" si="1"/>
        <v>49.43</v>
      </c>
      <c r="I141" s="84">
        <f t="shared" si="2"/>
        <v>1250</v>
      </c>
      <c r="J141" s="84">
        <f t="shared" si="3"/>
        <v>15000</v>
      </c>
    </row>
    <row r="142" spans="6:10" ht="14.25" customHeight="1" x14ac:dyDescent="0.35">
      <c r="F142" s="14">
        <v>133</v>
      </c>
      <c r="G142" s="84">
        <f t="shared" si="0"/>
        <v>1295.6300000000001</v>
      </c>
      <c r="H142" s="84">
        <f t="shared" si="1"/>
        <v>45.63</v>
      </c>
      <c r="I142" s="84">
        <f t="shared" si="2"/>
        <v>1250</v>
      </c>
      <c r="J142" s="84">
        <f t="shared" si="3"/>
        <v>13750</v>
      </c>
    </row>
    <row r="143" spans="6:10" ht="14.25" customHeight="1" x14ac:dyDescent="0.35">
      <c r="F143" s="14">
        <v>134</v>
      </c>
      <c r="G143" s="84">
        <f t="shared" si="0"/>
        <v>1291.82</v>
      </c>
      <c r="H143" s="84">
        <f t="shared" si="1"/>
        <v>41.82</v>
      </c>
      <c r="I143" s="84">
        <f t="shared" si="2"/>
        <v>1250</v>
      </c>
      <c r="J143" s="84">
        <f t="shared" si="3"/>
        <v>12500</v>
      </c>
    </row>
    <row r="144" spans="6:10" ht="14.25" customHeight="1" x14ac:dyDescent="0.35">
      <c r="F144" s="14">
        <v>135</v>
      </c>
      <c r="G144" s="84">
        <f t="shared" si="0"/>
        <v>1288.02</v>
      </c>
      <c r="H144" s="84">
        <f t="shared" si="1"/>
        <v>38.020000000000003</v>
      </c>
      <c r="I144" s="84">
        <f t="shared" si="2"/>
        <v>1250</v>
      </c>
      <c r="J144" s="84">
        <f t="shared" si="3"/>
        <v>11250</v>
      </c>
    </row>
    <row r="145" spans="6:11" ht="14.25" customHeight="1" x14ac:dyDescent="0.35">
      <c r="F145" s="14">
        <v>136</v>
      </c>
      <c r="G145" s="84">
        <f t="shared" si="0"/>
        <v>1284.22</v>
      </c>
      <c r="H145" s="84">
        <f t="shared" si="1"/>
        <v>34.22</v>
      </c>
      <c r="I145" s="84">
        <f t="shared" si="2"/>
        <v>1250</v>
      </c>
      <c r="J145" s="84">
        <f t="shared" si="3"/>
        <v>10000</v>
      </c>
    </row>
    <row r="146" spans="6:11" ht="14.25" customHeight="1" x14ac:dyDescent="0.35">
      <c r="F146" s="14">
        <v>137</v>
      </c>
      <c r="G146" s="84">
        <f t="shared" si="0"/>
        <v>1280.42</v>
      </c>
      <c r="H146" s="84">
        <f t="shared" si="1"/>
        <v>30.42</v>
      </c>
      <c r="I146" s="84">
        <f t="shared" si="2"/>
        <v>1250</v>
      </c>
      <c r="J146" s="84">
        <f t="shared" si="3"/>
        <v>8750</v>
      </c>
    </row>
    <row r="147" spans="6:11" ht="14.25" customHeight="1" x14ac:dyDescent="0.35">
      <c r="F147" s="14">
        <v>138</v>
      </c>
      <c r="G147" s="84">
        <f t="shared" si="0"/>
        <v>1276.6099999999999</v>
      </c>
      <c r="H147" s="84">
        <f t="shared" si="1"/>
        <v>26.61</v>
      </c>
      <c r="I147" s="84">
        <f t="shared" si="2"/>
        <v>1250</v>
      </c>
      <c r="J147" s="84">
        <f t="shared" si="3"/>
        <v>7500</v>
      </c>
    </row>
    <row r="148" spans="6:11" ht="14.25" customHeight="1" x14ac:dyDescent="0.35">
      <c r="F148" s="14">
        <v>139</v>
      </c>
      <c r="G148" s="84">
        <f t="shared" si="0"/>
        <v>1272.81</v>
      </c>
      <c r="H148" s="84">
        <f t="shared" si="1"/>
        <v>22.81</v>
      </c>
      <c r="I148" s="84">
        <f t="shared" si="2"/>
        <v>1250</v>
      </c>
      <c r="J148" s="84">
        <f t="shared" si="3"/>
        <v>6250</v>
      </c>
    </row>
    <row r="149" spans="6:11" ht="14.25" customHeight="1" x14ac:dyDescent="0.35">
      <c r="F149" s="14">
        <v>140</v>
      </c>
      <c r="G149" s="84">
        <f t="shared" si="0"/>
        <v>1269.01</v>
      </c>
      <c r="H149" s="84">
        <f t="shared" si="1"/>
        <v>19.010000000000002</v>
      </c>
      <c r="I149" s="84">
        <f t="shared" si="2"/>
        <v>1250</v>
      </c>
      <c r="J149" s="84">
        <f t="shared" si="3"/>
        <v>5000</v>
      </c>
    </row>
    <row r="150" spans="6:11" ht="14.25" customHeight="1" x14ac:dyDescent="0.35">
      <c r="F150" s="14">
        <v>141</v>
      </c>
      <c r="G150" s="84">
        <f t="shared" si="0"/>
        <v>1265.21</v>
      </c>
      <c r="H150" s="84">
        <f t="shared" si="1"/>
        <v>15.21</v>
      </c>
      <c r="I150" s="84">
        <f t="shared" si="2"/>
        <v>1250</v>
      </c>
      <c r="J150" s="84">
        <f t="shared" si="3"/>
        <v>3750</v>
      </c>
    </row>
    <row r="151" spans="6:11" ht="14.25" customHeight="1" x14ac:dyDescent="0.35">
      <c r="F151" s="14">
        <v>142</v>
      </c>
      <c r="G151" s="84">
        <f t="shared" si="0"/>
        <v>1261.4100000000001</v>
      </c>
      <c r="H151" s="84">
        <f t="shared" si="1"/>
        <v>11.41</v>
      </c>
      <c r="I151" s="84">
        <f t="shared" si="2"/>
        <v>1250</v>
      </c>
      <c r="J151" s="84">
        <f t="shared" si="3"/>
        <v>2500</v>
      </c>
    </row>
    <row r="152" spans="6:11" ht="14.25" customHeight="1" x14ac:dyDescent="0.35">
      <c r="F152" s="14">
        <v>143</v>
      </c>
      <c r="G152" s="84">
        <f t="shared" si="0"/>
        <v>1257.5999999999999</v>
      </c>
      <c r="H152" s="84">
        <f t="shared" si="1"/>
        <v>7.6</v>
      </c>
      <c r="I152" s="84">
        <f t="shared" si="2"/>
        <v>1250</v>
      </c>
      <c r="J152" s="84">
        <f t="shared" si="3"/>
        <v>1250</v>
      </c>
      <c r="K152" s="49" t="s">
        <v>85</v>
      </c>
    </row>
    <row r="153" spans="6:11" ht="14.25" customHeight="1" x14ac:dyDescent="0.35">
      <c r="F153" s="14">
        <v>144</v>
      </c>
      <c r="G153" s="84">
        <f t="shared" si="0"/>
        <v>1253.8</v>
      </c>
      <c r="H153" s="84">
        <f t="shared" si="1"/>
        <v>3.8</v>
      </c>
      <c r="I153" s="84">
        <f t="shared" si="2"/>
        <v>1250</v>
      </c>
      <c r="J153" s="84">
        <f t="shared" si="3"/>
        <v>0</v>
      </c>
      <c r="K153" s="49" t="s">
        <v>171</v>
      </c>
    </row>
    <row r="154" spans="6:11" ht="14.25" customHeight="1" x14ac:dyDescent="0.35">
      <c r="F154" s="14" t="s">
        <v>180</v>
      </c>
      <c r="G154" s="84">
        <f t="shared" ref="G154:I154" si="4">SUM(G10:G153)</f>
        <v>219693.78000000003</v>
      </c>
      <c r="H154" s="84">
        <f t="shared" si="4"/>
        <v>39693.779999999992</v>
      </c>
      <c r="I154" s="84">
        <f t="shared" si="4"/>
        <v>180000</v>
      </c>
      <c r="J154" s="84"/>
    </row>
    <row r="155" spans="6:11" ht="14.25" customHeight="1" x14ac:dyDescent="0.35">
      <c r="F155" s="14"/>
      <c r="G155" s="84"/>
      <c r="H155" s="84"/>
      <c r="I155" s="84"/>
      <c r="J155" s="84"/>
      <c r="K155" s="49"/>
    </row>
    <row r="156" spans="6:11" ht="14.25" customHeight="1" x14ac:dyDescent="0.35">
      <c r="F156" s="14"/>
      <c r="G156" s="91"/>
      <c r="H156" s="92"/>
      <c r="I156" s="93"/>
      <c r="J156" s="93"/>
    </row>
    <row r="157" spans="6:11" ht="14.25" customHeight="1" x14ac:dyDescent="0.35">
      <c r="F157" s="14"/>
      <c r="G157" s="91"/>
      <c r="H157" s="92"/>
      <c r="I157" s="93"/>
      <c r="J157" s="93"/>
    </row>
    <row r="158" spans="6:11" ht="14.25" customHeight="1" x14ac:dyDescent="0.35">
      <c r="F158" s="14"/>
      <c r="G158" s="91"/>
      <c r="H158" s="92"/>
      <c r="I158" s="93"/>
      <c r="J158" s="93"/>
    </row>
    <row r="159" spans="6:11" ht="14.25" customHeight="1" x14ac:dyDescent="0.35">
      <c r="F159" s="14"/>
      <c r="G159" s="91"/>
      <c r="H159" s="92"/>
      <c r="I159" s="93"/>
      <c r="J159" s="93"/>
    </row>
    <row r="160" spans="6:11" ht="14.25" customHeight="1" x14ac:dyDescent="0.35">
      <c r="F160" s="14"/>
      <c r="G160" s="91"/>
      <c r="H160" s="92"/>
      <c r="I160" s="93"/>
      <c r="J160" s="93"/>
    </row>
    <row r="161" spans="6:10" ht="14.25" customHeight="1" x14ac:dyDescent="0.35">
      <c r="F161" s="14"/>
      <c r="G161" s="91"/>
      <c r="H161" s="92"/>
      <c r="I161" s="93"/>
      <c r="J161" s="93"/>
    </row>
    <row r="162" spans="6:10" ht="14.25" customHeight="1" x14ac:dyDescent="0.35">
      <c r="F162" s="14"/>
      <c r="G162" s="91"/>
      <c r="H162" s="92"/>
      <c r="I162" s="93"/>
      <c r="J162" s="93"/>
    </row>
    <row r="163" spans="6:10" ht="14.25" customHeight="1" x14ac:dyDescent="0.35">
      <c r="F163" s="14"/>
      <c r="G163" s="91"/>
      <c r="H163" s="92"/>
      <c r="I163" s="93"/>
      <c r="J163" s="93"/>
    </row>
    <row r="164" spans="6:10" ht="14.25" customHeight="1" x14ac:dyDescent="0.35">
      <c r="F164" s="14"/>
      <c r="G164" s="91"/>
      <c r="H164" s="92"/>
      <c r="I164" s="93"/>
      <c r="J164" s="93"/>
    </row>
    <row r="165" spans="6:10" ht="14.25" customHeight="1" x14ac:dyDescent="0.35">
      <c r="F165" s="14"/>
      <c r="G165" s="91"/>
      <c r="H165" s="92"/>
      <c r="I165" s="93"/>
      <c r="J165" s="93"/>
    </row>
    <row r="166" spans="6:10" ht="14.25" customHeight="1" x14ac:dyDescent="0.35">
      <c r="F166" s="14"/>
      <c r="G166" s="91"/>
      <c r="H166" s="92"/>
      <c r="I166" s="93"/>
      <c r="J166" s="93"/>
    </row>
    <row r="167" spans="6:10" ht="14.25" customHeight="1" x14ac:dyDescent="0.35">
      <c r="F167" s="14"/>
      <c r="G167" s="91"/>
      <c r="H167" s="92"/>
      <c r="I167" s="93"/>
      <c r="J167" s="93"/>
    </row>
    <row r="168" spans="6:10" ht="14.25" customHeight="1" x14ac:dyDescent="0.35">
      <c r="F168" s="14"/>
      <c r="G168" s="91"/>
      <c r="H168" s="92"/>
      <c r="I168" s="93"/>
      <c r="J168" s="93"/>
    </row>
    <row r="169" spans="6:10" ht="14.25" customHeight="1" x14ac:dyDescent="0.35">
      <c r="F169" s="14"/>
      <c r="G169" s="91"/>
      <c r="H169" s="92"/>
      <c r="I169" s="93"/>
      <c r="J169" s="93"/>
    </row>
    <row r="170" spans="6:10" ht="14.25" customHeight="1" x14ac:dyDescent="0.35">
      <c r="F170" s="14"/>
      <c r="G170" s="91"/>
      <c r="H170" s="92"/>
      <c r="I170" s="93"/>
      <c r="J170" s="93"/>
    </row>
    <row r="171" spans="6:10" ht="14.25" customHeight="1" x14ac:dyDescent="0.35">
      <c r="F171" s="14"/>
      <c r="G171" s="91"/>
      <c r="H171" s="92"/>
      <c r="I171" s="93"/>
      <c r="J171" s="93"/>
    </row>
    <row r="172" spans="6:10" ht="14.25" customHeight="1" x14ac:dyDescent="0.35"/>
    <row r="173" spans="6:10" ht="14.25" customHeight="1" x14ac:dyDescent="0.35"/>
    <row r="174" spans="6:10" ht="14.25" customHeight="1" x14ac:dyDescent="0.35"/>
    <row r="175" spans="6:10" ht="14.25" customHeight="1" x14ac:dyDescent="0.35"/>
    <row r="176" spans="6:10"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L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1000"/>
  <sheetViews>
    <sheetView topLeftCell="A16" workbookViewId="0">
      <selection activeCell="M443" sqref="M443"/>
    </sheetView>
  </sheetViews>
  <sheetFormatPr defaultColWidth="14.453125" defaultRowHeight="15" customHeight="1" x14ac:dyDescent="0.35"/>
  <cols>
    <col min="1" max="1" width="8.6328125" customWidth="1"/>
    <col min="2" max="5" width="16.6328125" customWidth="1"/>
    <col min="6" max="6" width="8.6328125" customWidth="1"/>
    <col min="7" max="7" width="10" customWidth="1"/>
    <col min="8" max="8" width="12.36328125" customWidth="1"/>
    <col min="9" max="9" width="8.6328125" customWidth="1"/>
    <col min="10" max="10" width="5.6328125" customWidth="1"/>
    <col min="11" max="12" width="13.453125" customWidth="1"/>
    <col min="13" max="13" width="14.6328125" customWidth="1"/>
    <col min="14" max="14" width="14.36328125" customWidth="1"/>
    <col min="15" max="16" width="8.6328125" customWidth="1"/>
    <col min="17" max="17" width="13.453125" customWidth="1"/>
    <col min="18" max="18" width="8.6328125" customWidth="1"/>
    <col min="19" max="19" width="14" customWidth="1"/>
    <col min="20" max="26" width="8.6328125" customWidth="1"/>
  </cols>
  <sheetData>
    <row r="1" spans="1:9" ht="14.25" customHeight="1" x14ac:dyDescent="0.35">
      <c r="A1" s="213" t="s">
        <v>184</v>
      </c>
      <c r="B1" s="199"/>
      <c r="C1" s="199"/>
      <c r="D1" s="199"/>
      <c r="E1" s="199"/>
      <c r="F1" s="199"/>
      <c r="G1" s="199"/>
      <c r="H1" s="199"/>
      <c r="I1" s="199"/>
    </row>
    <row r="2" spans="1:9" ht="14.25" customHeight="1" x14ac:dyDescent="0.35">
      <c r="A2" s="199"/>
      <c r="B2" s="199"/>
      <c r="C2" s="199"/>
      <c r="D2" s="199"/>
      <c r="E2" s="199"/>
      <c r="F2" s="199"/>
      <c r="G2" s="199"/>
      <c r="H2" s="199"/>
      <c r="I2" s="199"/>
    </row>
    <row r="3" spans="1:9" ht="14.25" customHeight="1" x14ac:dyDescent="0.35">
      <c r="A3" s="199"/>
      <c r="B3" s="199"/>
      <c r="C3" s="199"/>
      <c r="D3" s="199"/>
      <c r="E3" s="199"/>
      <c r="F3" s="199"/>
      <c r="G3" s="199"/>
      <c r="H3" s="199"/>
      <c r="I3" s="199"/>
    </row>
    <row r="4" spans="1:9" ht="14.25" customHeight="1" x14ac:dyDescent="0.35">
      <c r="A4" s="199"/>
      <c r="B4" s="199"/>
      <c r="C4" s="199"/>
      <c r="D4" s="199"/>
      <c r="E4" s="199"/>
      <c r="F4" s="199"/>
      <c r="G4" s="199"/>
      <c r="H4" s="199"/>
      <c r="I4" s="199"/>
    </row>
    <row r="5" spans="1:9" ht="14.25" customHeight="1" x14ac:dyDescent="0.35">
      <c r="A5" s="199"/>
      <c r="B5" s="199"/>
      <c r="C5" s="199"/>
      <c r="D5" s="199"/>
      <c r="E5" s="199"/>
      <c r="F5" s="199"/>
      <c r="G5" s="199"/>
      <c r="H5" s="199"/>
      <c r="I5" s="199"/>
    </row>
    <row r="6" spans="1:9" ht="14.25" customHeight="1" x14ac:dyDescent="0.35">
      <c r="A6" s="199"/>
      <c r="B6" s="199"/>
      <c r="C6" s="199"/>
      <c r="D6" s="199"/>
      <c r="E6" s="199"/>
      <c r="F6" s="199"/>
      <c r="G6" s="199"/>
      <c r="H6" s="199"/>
      <c r="I6" s="199"/>
    </row>
    <row r="7" spans="1:9" ht="14.25" customHeight="1" x14ac:dyDescent="0.35">
      <c r="A7" s="199"/>
      <c r="B7" s="199"/>
      <c r="C7" s="199"/>
      <c r="D7" s="199"/>
      <c r="E7" s="199"/>
      <c r="F7" s="199"/>
      <c r="G7" s="199"/>
      <c r="H7" s="199"/>
      <c r="I7" s="199"/>
    </row>
    <row r="8" spans="1:9" ht="14.25" customHeight="1" x14ac:dyDescent="0.35">
      <c r="A8" s="49" t="s">
        <v>169</v>
      </c>
      <c r="B8" s="52"/>
    </row>
    <row r="9" spans="1:9" ht="14.25" customHeight="1" x14ac:dyDescent="0.35">
      <c r="A9" s="52"/>
      <c r="B9" s="52"/>
    </row>
    <row r="10" spans="1:9" ht="14.25" customHeight="1" x14ac:dyDescent="0.35"/>
    <row r="11" spans="1:9" ht="14.25" customHeight="1" x14ac:dyDescent="0.35">
      <c r="A11" s="46" t="s">
        <v>143</v>
      </c>
      <c r="B11" s="89">
        <v>55000</v>
      </c>
    </row>
    <row r="12" spans="1:9" ht="14.25" customHeight="1" x14ac:dyDescent="0.35">
      <c r="A12" s="46" t="s">
        <v>185</v>
      </c>
      <c r="B12" s="3">
        <v>30</v>
      </c>
    </row>
    <row r="13" spans="1:9" ht="14.25" customHeight="1" x14ac:dyDescent="0.35">
      <c r="A13" s="68" t="s">
        <v>144</v>
      </c>
      <c r="B13" s="47">
        <v>4.7500000000000001E-2</v>
      </c>
    </row>
    <row r="14" spans="1:9" ht="14.25" customHeight="1" x14ac:dyDescent="0.35">
      <c r="A14" s="46" t="s">
        <v>145</v>
      </c>
      <c r="B14" s="94">
        <f>1+B13</f>
        <v>1.0475000000000001</v>
      </c>
    </row>
    <row r="15" spans="1:9" ht="14.25" customHeight="1" x14ac:dyDescent="0.35">
      <c r="A15" s="46" t="s">
        <v>186</v>
      </c>
      <c r="B15" s="55">
        <v>12</v>
      </c>
    </row>
    <row r="16" spans="1:9" ht="14.25" customHeight="1" x14ac:dyDescent="0.35">
      <c r="A16" s="215" t="s">
        <v>187</v>
      </c>
      <c r="B16" s="199"/>
    </row>
    <row r="17" spans="1:14" ht="14.25" customHeight="1" x14ac:dyDescent="0.35">
      <c r="A17" s="46" t="s">
        <v>188</v>
      </c>
      <c r="B17" s="95">
        <f>B13/B15</f>
        <v>3.9583333333333337E-3</v>
      </c>
    </row>
    <row r="18" spans="1:14" ht="14.25" customHeight="1" x14ac:dyDescent="0.35">
      <c r="A18" s="46" t="s">
        <v>189</v>
      </c>
      <c r="B18" s="96">
        <f>1+B17</f>
        <v>1.0039583333333333</v>
      </c>
    </row>
    <row r="19" spans="1:14" ht="14.25" customHeight="1" x14ac:dyDescent="0.35">
      <c r="A19" s="46" t="s">
        <v>190</v>
      </c>
      <c r="B19" s="3">
        <f>B12*B15</f>
        <v>360</v>
      </c>
    </row>
    <row r="20" spans="1:14" ht="14.25" customHeight="1" x14ac:dyDescent="0.35">
      <c r="A20" s="46"/>
    </row>
    <row r="21" spans="1:14" ht="14.25" customHeight="1" x14ac:dyDescent="0.35">
      <c r="A21" s="46" t="s">
        <v>191</v>
      </c>
      <c r="B21" s="77">
        <f>ROUND(PMT(B17,B19,B11,0,0),2)</f>
        <v>-286.91000000000003</v>
      </c>
    </row>
    <row r="22" spans="1:14" ht="14.25" customHeight="1" x14ac:dyDescent="0.35">
      <c r="A22" s="46"/>
      <c r="B22" s="83"/>
    </row>
    <row r="23" spans="1:14" ht="14.25" customHeight="1" x14ac:dyDescent="0.35">
      <c r="K23" s="83"/>
      <c r="L23" s="97"/>
      <c r="M23" s="83"/>
    </row>
    <row r="24" spans="1:14" ht="14.25" customHeight="1" x14ac:dyDescent="0.35">
      <c r="K24" s="55"/>
    </row>
    <row r="25" spans="1:14" ht="14.25" customHeight="1" x14ac:dyDescent="0.35">
      <c r="A25" s="7" t="s">
        <v>176</v>
      </c>
      <c r="B25" s="7" t="s">
        <v>174</v>
      </c>
      <c r="C25" s="7" t="s">
        <v>177</v>
      </c>
      <c r="D25" s="7" t="s">
        <v>178</v>
      </c>
      <c r="E25" s="7" t="s">
        <v>179</v>
      </c>
      <c r="J25" s="7" t="s">
        <v>176</v>
      </c>
      <c r="K25" s="7" t="s">
        <v>174</v>
      </c>
      <c r="L25" s="7" t="s">
        <v>177</v>
      </c>
      <c r="M25" s="7" t="s">
        <v>178</v>
      </c>
      <c r="N25" s="7" t="s">
        <v>179</v>
      </c>
    </row>
    <row r="26" spans="1:14" ht="14.25" customHeight="1" x14ac:dyDescent="0.35">
      <c r="A26" s="7">
        <v>0</v>
      </c>
      <c r="B26" s="98" t="s">
        <v>192</v>
      </c>
      <c r="C26" s="98" t="s">
        <v>192</v>
      </c>
      <c r="D26" s="98" t="s">
        <v>192</v>
      </c>
      <c r="E26" s="99">
        <f>B11</f>
        <v>55000</v>
      </c>
      <c r="J26" s="7">
        <v>0</v>
      </c>
      <c r="K26" s="98" t="s">
        <v>192</v>
      </c>
      <c r="L26" s="98" t="s">
        <v>192</v>
      </c>
      <c r="M26" s="98" t="s">
        <v>192</v>
      </c>
      <c r="N26" s="99">
        <f>B11</f>
        <v>55000</v>
      </c>
    </row>
    <row r="27" spans="1:14" ht="14.25" customHeight="1" x14ac:dyDescent="0.35">
      <c r="A27" s="7">
        <v>1</v>
      </c>
      <c r="B27" s="98">
        <f t="shared" ref="B27:B281" si="0">-$B$21</f>
        <v>286.91000000000003</v>
      </c>
      <c r="C27" s="98">
        <f t="shared" ref="C27:C281" si="1">ROUND(E26*$B$17,2)</f>
        <v>217.71</v>
      </c>
      <c r="D27" s="98">
        <f t="shared" ref="D27:D281" si="2">B27-C27</f>
        <v>69.200000000000017</v>
      </c>
      <c r="E27" s="98">
        <f t="shared" ref="E27:E281" si="3">E26-D27</f>
        <v>54930.8</v>
      </c>
      <c r="J27" s="7">
        <v>1</v>
      </c>
      <c r="K27" s="98">
        <f t="shared" ref="K27:K62" si="4">-$B$21</f>
        <v>286.91000000000003</v>
      </c>
      <c r="L27" s="98">
        <f t="shared" ref="L27:L62" si="5">ROUND(N26*$B$17,2)</f>
        <v>217.71</v>
      </c>
      <c r="M27" s="98">
        <f t="shared" ref="M27:M281" si="6">K27-L27</f>
        <v>69.200000000000017</v>
      </c>
      <c r="N27" s="98">
        <f t="shared" ref="N27:N281" si="7">N26-M27</f>
        <v>54930.8</v>
      </c>
    </row>
    <row r="28" spans="1:14" ht="14.25" customHeight="1" x14ac:dyDescent="0.35">
      <c r="A28" s="7">
        <v>2</v>
      </c>
      <c r="B28" s="98">
        <f t="shared" si="0"/>
        <v>286.91000000000003</v>
      </c>
      <c r="C28" s="98">
        <f t="shared" si="1"/>
        <v>217.43</v>
      </c>
      <c r="D28" s="98">
        <f t="shared" si="2"/>
        <v>69.480000000000018</v>
      </c>
      <c r="E28" s="98">
        <f t="shared" si="3"/>
        <v>54861.32</v>
      </c>
      <c r="J28" s="7">
        <v>2</v>
      </c>
      <c r="K28" s="98">
        <f t="shared" si="4"/>
        <v>286.91000000000003</v>
      </c>
      <c r="L28" s="98">
        <f t="shared" si="5"/>
        <v>217.43</v>
      </c>
      <c r="M28" s="98">
        <f t="shared" si="6"/>
        <v>69.480000000000018</v>
      </c>
      <c r="N28" s="98">
        <f t="shared" si="7"/>
        <v>54861.32</v>
      </c>
    </row>
    <row r="29" spans="1:14" ht="14.25" customHeight="1" x14ac:dyDescent="0.35">
      <c r="A29" s="7">
        <v>3</v>
      </c>
      <c r="B29" s="98">
        <f t="shared" si="0"/>
        <v>286.91000000000003</v>
      </c>
      <c r="C29" s="98">
        <f t="shared" si="1"/>
        <v>217.16</v>
      </c>
      <c r="D29" s="98">
        <f t="shared" si="2"/>
        <v>69.750000000000028</v>
      </c>
      <c r="E29" s="98">
        <f t="shared" si="3"/>
        <v>54791.57</v>
      </c>
      <c r="J29" s="7">
        <v>3</v>
      </c>
      <c r="K29" s="98">
        <f t="shared" si="4"/>
        <v>286.91000000000003</v>
      </c>
      <c r="L29" s="98">
        <f t="shared" si="5"/>
        <v>217.16</v>
      </c>
      <c r="M29" s="98">
        <f t="shared" si="6"/>
        <v>69.750000000000028</v>
      </c>
      <c r="N29" s="98">
        <f t="shared" si="7"/>
        <v>54791.57</v>
      </c>
    </row>
    <row r="30" spans="1:14" ht="14.25" customHeight="1" x14ac:dyDescent="0.35">
      <c r="A30" s="7">
        <v>4</v>
      </c>
      <c r="B30" s="98">
        <f t="shared" si="0"/>
        <v>286.91000000000003</v>
      </c>
      <c r="C30" s="98">
        <f t="shared" si="1"/>
        <v>216.88</v>
      </c>
      <c r="D30" s="98">
        <f t="shared" si="2"/>
        <v>70.03000000000003</v>
      </c>
      <c r="E30" s="98">
        <f t="shared" si="3"/>
        <v>54721.54</v>
      </c>
      <c r="J30" s="7">
        <v>4</v>
      </c>
      <c r="K30" s="98">
        <f t="shared" si="4"/>
        <v>286.91000000000003</v>
      </c>
      <c r="L30" s="98">
        <f t="shared" si="5"/>
        <v>216.88</v>
      </c>
      <c r="M30" s="98">
        <f t="shared" si="6"/>
        <v>70.03000000000003</v>
      </c>
      <c r="N30" s="98">
        <f t="shared" si="7"/>
        <v>54721.54</v>
      </c>
    </row>
    <row r="31" spans="1:14" ht="14.25" customHeight="1" x14ac:dyDescent="0.35">
      <c r="A31" s="7">
        <v>5</v>
      </c>
      <c r="B31" s="98">
        <f t="shared" si="0"/>
        <v>286.91000000000003</v>
      </c>
      <c r="C31" s="98">
        <f t="shared" si="1"/>
        <v>216.61</v>
      </c>
      <c r="D31" s="98">
        <f t="shared" si="2"/>
        <v>70.300000000000011</v>
      </c>
      <c r="E31" s="98">
        <f t="shared" si="3"/>
        <v>54651.24</v>
      </c>
      <c r="J31" s="7">
        <v>5</v>
      </c>
      <c r="K31" s="98">
        <f t="shared" si="4"/>
        <v>286.91000000000003</v>
      </c>
      <c r="L31" s="98">
        <f t="shared" si="5"/>
        <v>216.61</v>
      </c>
      <c r="M31" s="98">
        <f t="shared" si="6"/>
        <v>70.300000000000011</v>
      </c>
      <c r="N31" s="98">
        <f t="shared" si="7"/>
        <v>54651.24</v>
      </c>
    </row>
    <row r="32" spans="1:14" ht="14.25" customHeight="1" x14ac:dyDescent="0.35">
      <c r="A32" s="7">
        <v>6</v>
      </c>
      <c r="B32" s="98">
        <f t="shared" si="0"/>
        <v>286.91000000000003</v>
      </c>
      <c r="C32" s="98">
        <f t="shared" si="1"/>
        <v>216.33</v>
      </c>
      <c r="D32" s="98">
        <f t="shared" si="2"/>
        <v>70.580000000000013</v>
      </c>
      <c r="E32" s="98">
        <f t="shared" si="3"/>
        <v>54580.659999999996</v>
      </c>
      <c r="J32" s="7">
        <v>6</v>
      </c>
      <c r="K32" s="98">
        <f t="shared" si="4"/>
        <v>286.91000000000003</v>
      </c>
      <c r="L32" s="98">
        <f t="shared" si="5"/>
        <v>216.33</v>
      </c>
      <c r="M32" s="98">
        <f t="shared" si="6"/>
        <v>70.580000000000013</v>
      </c>
      <c r="N32" s="98">
        <f t="shared" si="7"/>
        <v>54580.659999999996</v>
      </c>
    </row>
    <row r="33" spans="1:14" ht="14.25" customHeight="1" x14ac:dyDescent="0.35">
      <c r="A33" s="7">
        <v>7</v>
      </c>
      <c r="B33" s="98">
        <f t="shared" si="0"/>
        <v>286.91000000000003</v>
      </c>
      <c r="C33" s="98">
        <f t="shared" si="1"/>
        <v>216.05</v>
      </c>
      <c r="D33" s="98">
        <f t="shared" si="2"/>
        <v>70.860000000000014</v>
      </c>
      <c r="E33" s="98">
        <f t="shared" si="3"/>
        <v>54509.799999999996</v>
      </c>
      <c r="J33" s="7">
        <v>7</v>
      </c>
      <c r="K33" s="98">
        <f t="shared" si="4"/>
        <v>286.91000000000003</v>
      </c>
      <c r="L33" s="98">
        <f t="shared" si="5"/>
        <v>216.05</v>
      </c>
      <c r="M33" s="98">
        <f t="shared" si="6"/>
        <v>70.860000000000014</v>
      </c>
      <c r="N33" s="98">
        <f t="shared" si="7"/>
        <v>54509.799999999996</v>
      </c>
    </row>
    <row r="34" spans="1:14" ht="14.25" customHeight="1" x14ac:dyDescent="0.35">
      <c r="A34" s="7">
        <v>8</v>
      </c>
      <c r="B34" s="98">
        <f t="shared" si="0"/>
        <v>286.91000000000003</v>
      </c>
      <c r="C34" s="98">
        <f t="shared" si="1"/>
        <v>215.77</v>
      </c>
      <c r="D34" s="98">
        <f t="shared" si="2"/>
        <v>71.140000000000015</v>
      </c>
      <c r="E34" s="98">
        <f t="shared" si="3"/>
        <v>54438.659999999996</v>
      </c>
      <c r="J34" s="7">
        <v>8</v>
      </c>
      <c r="K34" s="98">
        <f t="shared" si="4"/>
        <v>286.91000000000003</v>
      </c>
      <c r="L34" s="98">
        <f t="shared" si="5"/>
        <v>215.77</v>
      </c>
      <c r="M34" s="98">
        <f t="shared" si="6"/>
        <v>71.140000000000015</v>
      </c>
      <c r="N34" s="98">
        <f t="shared" si="7"/>
        <v>54438.659999999996</v>
      </c>
    </row>
    <row r="35" spans="1:14" ht="14.25" customHeight="1" x14ac:dyDescent="0.35">
      <c r="A35" s="7">
        <v>9</v>
      </c>
      <c r="B35" s="98">
        <f t="shared" si="0"/>
        <v>286.91000000000003</v>
      </c>
      <c r="C35" s="98">
        <f t="shared" si="1"/>
        <v>215.49</v>
      </c>
      <c r="D35" s="98">
        <f t="shared" si="2"/>
        <v>71.420000000000016</v>
      </c>
      <c r="E35" s="98">
        <f t="shared" si="3"/>
        <v>54367.24</v>
      </c>
      <c r="J35" s="7">
        <v>9</v>
      </c>
      <c r="K35" s="98">
        <f t="shared" si="4"/>
        <v>286.91000000000003</v>
      </c>
      <c r="L35" s="98">
        <f t="shared" si="5"/>
        <v>215.49</v>
      </c>
      <c r="M35" s="98">
        <f t="shared" si="6"/>
        <v>71.420000000000016</v>
      </c>
      <c r="N35" s="98">
        <f t="shared" si="7"/>
        <v>54367.24</v>
      </c>
    </row>
    <row r="36" spans="1:14" ht="14.25" customHeight="1" x14ac:dyDescent="0.35">
      <c r="A36" s="7">
        <v>10</v>
      </c>
      <c r="B36" s="98">
        <f t="shared" si="0"/>
        <v>286.91000000000003</v>
      </c>
      <c r="C36" s="98">
        <f t="shared" si="1"/>
        <v>215.2</v>
      </c>
      <c r="D36" s="98">
        <f t="shared" si="2"/>
        <v>71.710000000000036</v>
      </c>
      <c r="E36" s="98">
        <f t="shared" si="3"/>
        <v>54295.53</v>
      </c>
      <c r="J36" s="7">
        <v>10</v>
      </c>
      <c r="K36" s="98">
        <f t="shared" si="4"/>
        <v>286.91000000000003</v>
      </c>
      <c r="L36" s="98">
        <f t="shared" si="5"/>
        <v>215.2</v>
      </c>
      <c r="M36" s="98">
        <f t="shared" si="6"/>
        <v>71.710000000000036</v>
      </c>
      <c r="N36" s="98">
        <f t="shared" si="7"/>
        <v>54295.53</v>
      </c>
    </row>
    <row r="37" spans="1:14" ht="14.25" customHeight="1" x14ac:dyDescent="0.35">
      <c r="A37" s="7">
        <v>11</v>
      </c>
      <c r="B37" s="98">
        <f t="shared" si="0"/>
        <v>286.91000000000003</v>
      </c>
      <c r="C37" s="98">
        <f t="shared" si="1"/>
        <v>214.92</v>
      </c>
      <c r="D37" s="98">
        <f t="shared" si="2"/>
        <v>71.990000000000038</v>
      </c>
      <c r="E37" s="98">
        <f t="shared" si="3"/>
        <v>54223.54</v>
      </c>
      <c r="J37" s="7">
        <v>11</v>
      </c>
      <c r="K37" s="98">
        <f t="shared" si="4"/>
        <v>286.91000000000003</v>
      </c>
      <c r="L37" s="98">
        <f t="shared" si="5"/>
        <v>214.92</v>
      </c>
      <c r="M37" s="98">
        <f t="shared" si="6"/>
        <v>71.990000000000038</v>
      </c>
      <c r="N37" s="98">
        <f t="shared" si="7"/>
        <v>54223.54</v>
      </c>
    </row>
    <row r="38" spans="1:14" ht="14.25" customHeight="1" x14ac:dyDescent="0.35">
      <c r="A38" s="7">
        <v>12</v>
      </c>
      <c r="B38" s="98">
        <f t="shared" si="0"/>
        <v>286.91000000000003</v>
      </c>
      <c r="C38" s="98">
        <f t="shared" si="1"/>
        <v>214.63</v>
      </c>
      <c r="D38" s="98">
        <f t="shared" si="2"/>
        <v>72.28000000000003</v>
      </c>
      <c r="E38" s="98">
        <f t="shared" si="3"/>
        <v>54151.26</v>
      </c>
      <c r="J38" s="7">
        <v>12</v>
      </c>
      <c r="K38" s="98">
        <f t="shared" si="4"/>
        <v>286.91000000000003</v>
      </c>
      <c r="L38" s="98">
        <f t="shared" si="5"/>
        <v>214.63</v>
      </c>
      <c r="M38" s="98">
        <f t="shared" si="6"/>
        <v>72.28000000000003</v>
      </c>
      <c r="N38" s="98">
        <f t="shared" si="7"/>
        <v>54151.26</v>
      </c>
    </row>
    <row r="39" spans="1:14" ht="14.25" customHeight="1" x14ac:dyDescent="0.35">
      <c r="A39" s="7">
        <v>13</v>
      </c>
      <c r="B39" s="98">
        <f t="shared" si="0"/>
        <v>286.91000000000003</v>
      </c>
      <c r="C39" s="98">
        <f t="shared" si="1"/>
        <v>214.35</v>
      </c>
      <c r="D39" s="98">
        <f t="shared" si="2"/>
        <v>72.560000000000031</v>
      </c>
      <c r="E39" s="98">
        <f t="shared" si="3"/>
        <v>54078.700000000004</v>
      </c>
      <c r="J39" s="7">
        <v>13</v>
      </c>
      <c r="K39" s="98">
        <f t="shared" si="4"/>
        <v>286.91000000000003</v>
      </c>
      <c r="L39" s="98">
        <f t="shared" si="5"/>
        <v>214.35</v>
      </c>
      <c r="M39" s="98">
        <f t="shared" si="6"/>
        <v>72.560000000000031</v>
      </c>
      <c r="N39" s="98">
        <f t="shared" si="7"/>
        <v>54078.700000000004</v>
      </c>
    </row>
    <row r="40" spans="1:14" ht="14.25" customHeight="1" x14ac:dyDescent="0.35">
      <c r="A40" s="7">
        <v>14</v>
      </c>
      <c r="B40" s="98">
        <f t="shared" si="0"/>
        <v>286.91000000000003</v>
      </c>
      <c r="C40" s="98">
        <f t="shared" si="1"/>
        <v>214.06</v>
      </c>
      <c r="D40" s="98">
        <f t="shared" si="2"/>
        <v>72.850000000000023</v>
      </c>
      <c r="E40" s="98">
        <f t="shared" si="3"/>
        <v>54005.850000000006</v>
      </c>
      <c r="J40" s="7">
        <v>14</v>
      </c>
      <c r="K40" s="98">
        <f t="shared" si="4"/>
        <v>286.91000000000003</v>
      </c>
      <c r="L40" s="98">
        <f t="shared" si="5"/>
        <v>214.06</v>
      </c>
      <c r="M40" s="98">
        <f t="shared" si="6"/>
        <v>72.850000000000023</v>
      </c>
      <c r="N40" s="98">
        <f t="shared" si="7"/>
        <v>54005.850000000006</v>
      </c>
    </row>
    <row r="41" spans="1:14" ht="14.25" customHeight="1" x14ac:dyDescent="0.35">
      <c r="A41" s="7">
        <v>15</v>
      </c>
      <c r="B41" s="98">
        <f t="shared" si="0"/>
        <v>286.91000000000003</v>
      </c>
      <c r="C41" s="98">
        <f t="shared" si="1"/>
        <v>213.77</v>
      </c>
      <c r="D41" s="98">
        <f t="shared" si="2"/>
        <v>73.140000000000015</v>
      </c>
      <c r="E41" s="98">
        <f t="shared" si="3"/>
        <v>53932.710000000006</v>
      </c>
      <c r="J41" s="7">
        <v>15</v>
      </c>
      <c r="K41" s="98">
        <f t="shared" si="4"/>
        <v>286.91000000000003</v>
      </c>
      <c r="L41" s="98">
        <f t="shared" si="5"/>
        <v>213.77</v>
      </c>
      <c r="M41" s="98">
        <f t="shared" si="6"/>
        <v>73.140000000000015</v>
      </c>
      <c r="N41" s="98">
        <f t="shared" si="7"/>
        <v>53932.710000000006</v>
      </c>
    </row>
    <row r="42" spans="1:14" ht="14.25" customHeight="1" x14ac:dyDescent="0.35">
      <c r="A42" s="7">
        <v>16</v>
      </c>
      <c r="B42" s="98">
        <f t="shared" si="0"/>
        <v>286.91000000000003</v>
      </c>
      <c r="C42" s="98">
        <f t="shared" si="1"/>
        <v>213.48</v>
      </c>
      <c r="D42" s="98">
        <f t="shared" si="2"/>
        <v>73.430000000000035</v>
      </c>
      <c r="E42" s="98">
        <f t="shared" si="3"/>
        <v>53859.280000000006</v>
      </c>
      <c r="J42" s="7">
        <v>16</v>
      </c>
      <c r="K42" s="98">
        <f t="shared" si="4"/>
        <v>286.91000000000003</v>
      </c>
      <c r="L42" s="98">
        <f t="shared" si="5"/>
        <v>213.48</v>
      </c>
      <c r="M42" s="98">
        <f t="shared" si="6"/>
        <v>73.430000000000035</v>
      </c>
      <c r="N42" s="98">
        <f t="shared" si="7"/>
        <v>53859.280000000006</v>
      </c>
    </row>
    <row r="43" spans="1:14" ht="14.25" customHeight="1" x14ac:dyDescent="0.35">
      <c r="A43" s="7">
        <v>17</v>
      </c>
      <c r="B43" s="98">
        <f t="shared" si="0"/>
        <v>286.91000000000003</v>
      </c>
      <c r="C43" s="98">
        <f t="shared" si="1"/>
        <v>213.19</v>
      </c>
      <c r="D43" s="98">
        <f t="shared" si="2"/>
        <v>73.720000000000027</v>
      </c>
      <c r="E43" s="98">
        <f t="shared" si="3"/>
        <v>53785.560000000005</v>
      </c>
      <c r="J43" s="7">
        <v>17</v>
      </c>
      <c r="K43" s="98">
        <f t="shared" si="4"/>
        <v>286.91000000000003</v>
      </c>
      <c r="L43" s="98">
        <f t="shared" si="5"/>
        <v>213.19</v>
      </c>
      <c r="M43" s="98">
        <f t="shared" si="6"/>
        <v>73.720000000000027</v>
      </c>
      <c r="N43" s="98">
        <f t="shared" si="7"/>
        <v>53785.560000000005</v>
      </c>
    </row>
    <row r="44" spans="1:14" ht="14.25" customHeight="1" x14ac:dyDescent="0.35">
      <c r="A44" s="7">
        <v>18</v>
      </c>
      <c r="B44" s="98">
        <f t="shared" si="0"/>
        <v>286.91000000000003</v>
      </c>
      <c r="C44" s="98">
        <f t="shared" si="1"/>
        <v>212.9</v>
      </c>
      <c r="D44" s="98">
        <f t="shared" si="2"/>
        <v>74.010000000000019</v>
      </c>
      <c r="E44" s="98">
        <f t="shared" si="3"/>
        <v>53711.55</v>
      </c>
      <c r="J44" s="7">
        <v>18</v>
      </c>
      <c r="K44" s="98">
        <f t="shared" si="4"/>
        <v>286.91000000000003</v>
      </c>
      <c r="L44" s="98">
        <f t="shared" si="5"/>
        <v>212.9</v>
      </c>
      <c r="M44" s="98">
        <f t="shared" si="6"/>
        <v>74.010000000000019</v>
      </c>
      <c r="N44" s="98">
        <f t="shared" si="7"/>
        <v>53711.55</v>
      </c>
    </row>
    <row r="45" spans="1:14" ht="14.25" customHeight="1" x14ac:dyDescent="0.35">
      <c r="A45" s="7">
        <v>19</v>
      </c>
      <c r="B45" s="98">
        <f t="shared" si="0"/>
        <v>286.91000000000003</v>
      </c>
      <c r="C45" s="98">
        <f t="shared" si="1"/>
        <v>212.61</v>
      </c>
      <c r="D45" s="98">
        <f t="shared" si="2"/>
        <v>74.300000000000011</v>
      </c>
      <c r="E45" s="98">
        <f t="shared" si="3"/>
        <v>53637.25</v>
      </c>
      <c r="J45" s="7">
        <v>19</v>
      </c>
      <c r="K45" s="98">
        <f t="shared" si="4"/>
        <v>286.91000000000003</v>
      </c>
      <c r="L45" s="98">
        <f t="shared" si="5"/>
        <v>212.61</v>
      </c>
      <c r="M45" s="98">
        <f t="shared" si="6"/>
        <v>74.300000000000011</v>
      </c>
      <c r="N45" s="98">
        <f t="shared" si="7"/>
        <v>53637.25</v>
      </c>
    </row>
    <row r="46" spans="1:14" ht="14.25" customHeight="1" x14ac:dyDescent="0.35">
      <c r="A46" s="7">
        <v>20</v>
      </c>
      <c r="B46" s="98">
        <f t="shared" si="0"/>
        <v>286.91000000000003</v>
      </c>
      <c r="C46" s="98">
        <f t="shared" si="1"/>
        <v>212.31</v>
      </c>
      <c r="D46" s="98">
        <f t="shared" si="2"/>
        <v>74.600000000000023</v>
      </c>
      <c r="E46" s="98">
        <f t="shared" si="3"/>
        <v>53562.65</v>
      </c>
      <c r="J46" s="7">
        <v>20</v>
      </c>
      <c r="K46" s="98">
        <f t="shared" si="4"/>
        <v>286.91000000000003</v>
      </c>
      <c r="L46" s="98">
        <f t="shared" si="5"/>
        <v>212.31</v>
      </c>
      <c r="M46" s="98">
        <f t="shared" si="6"/>
        <v>74.600000000000023</v>
      </c>
      <c r="N46" s="98">
        <f t="shared" si="7"/>
        <v>53562.65</v>
      </c>
    </row>
    <row r="47" spans="1:14" ht="14.25" customHeight="1" x14ac:dyDescent="0.35">
      <c r="A47" s="7">
        <v>21</v>
      </c>
      <c r="B47" s="98">
        <f t="shared" si="0"/>
        <v>286.91000000000003</v>
      </c>
      <c r="C47" s="98">
        <f t="shared" si="1"/>
        <v>212.02</v>
      </c>
      <c r="D47" s="98">
        <f t="shared" si="2"/>
        <v>74.890000000000015</v>
      </c>
      <c r="E47" s="98">
        <f t="shared" si="3"/>
        <v>53487.76</v>
      </c>
      <c r="J47" s="7">
        <v>21</v>
      </c>
      <c r="K47" s="98">
        <f t="shared" si="4"/>
        <v>286.91000000000003</v>
      </c>
      <c r="L47" s="98">
        <f t="shared" si="5"/>
        <v>212.02</v>
      </c>
      <c r="M47" s="98">
        <f t="shared" si="6"/>
        <v>74.890000000000015</v>
      </c>
      <c r="N47" s="98">
        <f t="shared" si="7"/>
        <v>53487.76</v>
      </c>
    </row>
    <row r="48" spans="1:14" ht="14.25" customHeight="1" x14ac:dyDescent="0.35">
      <c r="A48" s="7">
        <v>22</v>
      </c>
      <c r="B48" s="98">
        <f t="shared" si="0"/>
        <v>286.91000000000003</v>
      </c>
      <c r="C48" s="98">
        <f t="shared" si="1"/>
        <v>211.72</v>
      </c>
      <c r="D48" s="98">
        <f t="shared" si="2"/>
        <v>75.190000000000026</v>
      </c>
      <c r="E48" s="98">
        <f t="shared" si="3"/>
        <v>53412.57</v>
      </c>
      <c r="J48" s="7">
        <v>22</v>
      </c>
      <c r="K48" s="98">
        <f t="shared" si="4"/>
        <v>286.91000000000003</v>
      </c>
      <c r="L48" s="98">
        <f t="shared" si="5"/>
        <v>211.72</v>
      </c>
      <c r="M48" s="98">
        <f t="shared" si="6"/>
        <v>75.190000000000026</v>
      </c>
      <c r="N48" s="98">
        <f t="shared" si="7"/>
        <v>53412.57</v>
      </c>
    </row>
    <row r="49" spans="1:19" ht="14.25" customHeight="1" x14ac:dyDescent="0.35">
      <c r="A49" s="7">
        <v>23</v>
      </c>
      <c r="B49" s="98">
        <f t="shared" si="0"/>
        <v>286.91000000000003</v>
      </c>
      <c r="C49" s="98">
        <f t="shared" si="1"/>
        <v>211.42</v>
      </c>
      <c r="D49" s="98">
        <f t="shared" si="2"/>
        <v>75.490000000000038</v>
      </c>
      <c r="E49" s="98">
        <f t="shared" si="3"/>
        <v>53337.08</v>
      </c>
      <c r="J49" s="7">
        <v>23</v>
      </c>
      <c r="K49" s="98">
        <f t="shared" si="4"/>
        <v>286.91000000000003</v>
      </c>
      <c r="L49" s="98">
        <f t="shared" si="5"/>
        <v>211.42</v>
      </c>
      <c r="M49" s="98">
        <f t="shared" si="6"/>
        <v>75.490000000000038</v>
      </c>
      <c r="N49" s="98">
        <f t="shared" si="7"/>
        <v>53337.08</v>
      </c>
    </row>
    <row r="50" spans="1:19" ht="14.25" customHeight="1" x14ac:dyDescent="0.35">
      <c r="A50" s="7">
        <v>24</v>
      </c>
      <c r="B50" s="98">
        <f t="shared" si="0"/>
        <v>286.91000000000003</v>
      </c>
      <c r="C50" s="98">
        <f t="shared" si="1"/>
        <v>211.13</v>
      </c>
      <c r="D50" s="98">
        <f t="shared" si="2"/>
        <v>75.78000000000003</v>
      </c>
      <c r="E50" s="98">
        <f t="shared" si="3"/>
        <v>53261.3</v>
      </c>
      <c r="J50" s="7">
        <v>24</v>
      </c>
      <c r="K50" s="98">
        <f t="shared" si="4"/>
        <v>286.91000000000003</v>
      </c>
      <c r="L50" s="98">
        <f t="shared" si="5"/>
        <v>211.13</v>
      </c>
      <c r="M50" s="98">
        <f t="shared" si="6"/>
        <v>75.78000000000003</v>
      </c>
      <c r="N50" s="98">
        <f t="shared" si="7"/>
        <v>53261.3</v>
      </c>
      <c r="P50" s="100"/>
      <c r="Q50" s="101"/>
      <c r="R50" s="102"/>
      <c r="S50" s="101"/>
    </row>
    <row r="51" spans="1:19" ht="14.25" customHeight="1" x14ac:dyDescent="0.35">
      <c r="A51" s="7">
        <v>25</v>
      </c>
      <c r="B51" s="98">
        <f t="shared" si="0"/>
        <v>286.91000000000003</v>
      </c>
      <c r="C51" s="98">
        <f t="shared" si="1"/>
        <v>210.83</v>
      </c>
      <c r="D51" s="98">
        <f t="shared" si="2"/>
        <v>76.080000000000013</v>
      </c>
      <c r="E51" s="98">
        <f t="shared" si="3"/>
        <v>53185.22</v>
      </c>
      <c r="J51" s="7">
        <v>25</v>
      </c>
      <c r="K51" s="98">
        <f t="shared" si="4"/>
        <v>286.91000000000003</v>
      </c>
      <c r="L51" s="98">
        <f t="shared" si="5"/>
        <v>210.83</v>
      </c>
      <c r="M51" s="98">
        <f t="shared" si="6"/>
        <v>76.080000000000013</v>
      </c>
      <c r="N51" s="98">
        <f t="shared" si="7"/>
        <v>53185.22</v>
      </c>
      <c r="Q51" s="47"/>
      <c r="R51" s="14"/>
      <c r="S51" s="103"/>
    </row>
    <row r="52" spans="1:19" ht="14.25" customHeight="1" x14ac:dyDescent="0.35">
      <c r="A52" s="7">
        <v>26</v>
      </c>
      <c r="B52" s="98">
        <f t="shared" si="0"/>
        <v>286.91000000000003</v>
      </c>
      <c r="C52" s="98">
        <f t="shared" si="1"/>
        <v>210.52</v>
      </c>
      <c r="D52" s="98">
        <f t="shared" si="2"/>
        <v>76.390000000000015</v>
      </c>
      <c r="E52" s="98">
        <f t="shared" si="3"/>
        <v>53108.83</v>
      </c>
      <c r="J52" s="7">
        <v>26</v>
      </c>
      <c r="K52" s="98">
        <f t="shared" si="4"/>
        <v>286.91000000000003</v>
      </c>
      <c r="L52" s="98">
        <f t="shared" si="5"/>
        <v>210.52</v>
      </c>
      <c r="M52" s="98">
        <f t="shared" si="6"/>
        <v>76.390000000000015</v>
      </c>
      <c r="N52" s="98">
        <f t="shared" si="7"/>
        <v>53108.83</v>
      </c>
      <c r="Q52" s="104"/>
      <c r="R52" s="14"/>
      <c r="S52" s="103"/>
    </row>
    <row r="53" spans="1:19" ht="14.25" customHeight="1" x14ac:dyDescent="0.35">
      <c r="A53" s="7">
        <v>27</v>
      </c>
      <c r="B53" s="98">
        <f t="shared" si="0"/>
        <v>286.91000000000003</v>
      </c>
      <c r="C53" s="98">
        <f t="shared" si="1"/>
        <v>210.22</v>
      </c>
      <c r="D53" s="98">
        <f t="shared" si="2"/>
        <v>76.690000000000026</v>
      </c>
      <c r="E53" s="98">
        <f t="shared" si="3"/>
        <v>53032.14</v>
      </c>
      <c r="J53" s="7">
        <v>27</v>
      </c>
      <c r="K53" s="98">
        <f t="shared" si="4"/>
        <v>286.91000000000003</v>
      </c>
      <c r="L53" s="98">
        <f t="shared" si="5"/>
        <v>210.22</v>
      </c>
      <c r="M53" s="98">
        <f t="shared" si="6"/>
        <v>76.690000000000026</v>
      </c>
      <c r="N53" s="98">
        <f t="shared" si="7"/>
        <v>53032.14</v>
      </c>
    </row>
    <row r="54" spans="1:19" ht="14.25" customHeight="1" x14ac:dyDescent="0.35">
      <c r="A54" s="7">
        <v>28</v>
      </c>
      <c r="B54" s="98">
        <f t="shared" si="0"/>
        <v>286.91000000000003</v>
      </c>
      <c r="C54" s="98">
        <f t="shared" si="1"/>
        <v>209.92</v>
      </c>
      <c r="D54" s="98">
        <f t="shared" si="2"/>
        <v>76.990000000000038</v>
      </c>
      <c r="E54" s="98">
        <f t="shared" si="3"/>
        <v>52955.15</v>
      </c>
      <c r="J54" s="7">
        <v>28</v>
      </c>
      <c r="K54" s="98">
        <f t="shared" si="4"/>
        <v>286.91000000000003</v>
      </c>
      <c r="L54" s="98">
        <f t="shared" si="5"/>
        <v>209.92</v>
      </c>
      <c r="M54" s="98">
        <f t="shared" si="6"/>
        <v>76.990000000000038</v>
      </c>
      <c r="N54" s="98">
        <f t="shared" si="7"/>
        <v>52955.15</v>
      </c>
    </row>
    <row r="55" spans="1:19" ht="14.25" customHeight="1" x14ac:dyDescent="0.35">
      <c r="A55" s="7">
        <v>29</v>
      </c>
      <c r="B55" s="98">
        <f t="shared" si="0"/>
        <v>286.91000000000003</v>
      </c>
      <c r="C55" s="98">
        <f t="shared" si="1"/>
        <v>209.61</v>
      </c>
      <c r="D55" s="98">
        <f t="shared" si="2"/>
        <v>77.300000000000011</v>
      </c>
      <c r="E55" s="98">
        <f t="shared" si="3"/>
        <v>52877.85</v>
      </c>
      <c r="J55" s="7">
        <v>29</v>
      </c>
      <c r="K55" s="98">
        <f t="shared" si="4"/>
        <v>286.91000000000003</v>
      </c>
      <c r="L55" s="98">
        <f t="shared" si="5"/>
        <v>209.61</v>
      </c>
      <c r="M55" s="98">
        <f t="shared" si="6"/>
        <v>77.300000000000011</v>
      </c>
      <c r="N55" s="98">
        <f t="shared" si="7"/>
        <v>52877.85</v>
      </c>
    </row>
    <row r="56" spans="1:19" ht="14.25" customHeight="1" x14ac:dyDescent="0.35">
      <c r="A56" s="7">
        <v>30</v>
      </c>
      <c r="B56" s="98">
        <f t="shared" si="0"/>
        <v>286.91000000000003</v>
      </c>
      <c r="C56" s="98">
        <f t="shared" si="1"/>
        <v>209.31</v>
      </c>
      <c r="D56" s="98">
        <f t="shared" si="2"/>
        <v>77.600000000000023</v>
      </c>
      <c r="E56" s="98">
        <f t="shared" si="3"/>
        <v>52800.25</v>
      </c>
      <c r="J56" s="7">
        <v>30</v>
      </c>
      <c r="K56" s="98">
        <f t="shared" si="4"/>
        <v>286.91000000000003</v>
      </c>
      <c r="L56" s="98">
        <f t="shared" si="5"/>
        <v>209.31</v>
      </c>
      <c r="M56" s="98">
        <f t="shared" si="6"/>
        <v>77.600000000000023</v>
      </c>
      <c r="N56" s="98">
        <f t="shared" si="7"/>
        <v>52800.25</v>
      </c>
      <c r="Q56" s="105"/>
      <c r="R56" s="49"/>
    </row>
    <row r="57" spans="1:19" ht="14.25" customHeight="1" x14ac:dyDescent="0.35">
      <c r="A57" s="7">
        <v>31</v>
      </c>
      <c r="B57" s="98">
        <f t="shared" si="0"/>
        <v>286.91000000000003</v>
      </c>
      <c r="C57" s="98">
        <f t="shared" si="1"/>
        <v>209</v>
      </c>
      <c r="D57" s="98">
        <f t="shared" si="2"/>
        <v>77.910000000000025</v>
      </c>
      <c r="E57" s="98">
        <f t="shared" si="3"/>
        <v>52722.34</v>
      </c>
      <c r="J57" s="7">
        <v>31</v>
      </c>
      <c r="K57" s="98">
        <f t="shared" si="4"/>
        <v>286.91000000000003</v>
      </c>
      <c r="L57" s="98">
        <f t="shared" si="5"/>
        <v>209</v>
      </c>
      <c r="M57" s="98">
        <f t="shared" si="6"/>
        <v>77.910000000000025</v>
      </c>
      <c r="N57" s="98">
        <f t="shared" si="7"/>
        <v>52722.34</v>
      </c>
    </row>
    <row r="58" spans="1:19" ht="14.25" customHeight="1" x14ac:dyDescent="0.35">
      <c r="A58" s="7">
        <v>32</v>
      </c>
      <c r="B58" s="98">
        <f t="shared" si="0"/>
        <v>286.91000000000003</v>
      </c>
      <c r="C58" s="98">
        <f t="shared" si="1"/>
        <v>208.69</v>
      </c>
      <c r="D58" s="98">
        <f t="shared" si="2"/>
        <v>78.220000000000027</v>
      </c>
      <c r="E58" s="98">
        <f t="shared" si="3"/>
        <v>52644.119999999995</v>
      </c>
      <c r="J58" s="7">
        <v>32</v>
      </c>
      <c r="K58" s="98">
        <f t="shared" si="4"/>
        <v>286.91000000000003</v>
      </c>
      <c r="L58" s="98">
        <f t="shared" si="5"/>
        <v>208.69</v>
      </c>
      <c r="M58" s="98">
        <f t="shared" si="6"/>
        <v>78.220000000000027</v>
      </c>
      <c r="N58" s="98">
        <f t="shared" si="7"/>
        <v>52644.119999999995</v>
      </c>
    </row>
    <row r="59" spans="1:19" ht="14.25" customHeight="1" x14ac:dyDescent="0.35">
      <c r="A59" s="7">
        <v>33</v>
      </c>
      <c r="B59" s="98">
        <f t="shared" si="0"/>
        <v>286.91000000000003</v>
      </c>
      <c r="C59" s="98">
        <f t="shared" si="1"/>
        <v>208.38</v>
      </c>
      <c r="D59" s="98">
        <f t="shared" si="2"/>
        <v>78.53000000000003</v>
      </c>
      <c r="E59" s="98">
        <f t="shared" si="3"/>
        <v>52565.59</v>
      </c>
      <c r="J59" s="7">
        <v>33</v>
      </c>
      <c r="K59" s="98">
        <f t="shared" si="4"/>
        <v>286.91000000000003</v>
      </c>
      <c r="L59" s="98">
        <f t="shared" si="5"/>
        <v>208.38</v>
      </c>
      <c r="M59" s="98">
        <f t="shared" si="6"/>
        <v>78.53000000000003</v>
      </c>
      <c r="N59" s="98">
        <f t="shared" si="7"/>
        <v>52565.59</v>
      </c>
    </row>
    <row r="60" spans="1:19" ht="14.25" customHeight="1" x14ac:dyDescent="0.35">
      <c r="A60" s="7">
        <v>34</v>
      </c>
      <c r="B60" s="98">
        <f t="shared" si="0"/>
        <v>286.91000000000003</v>
      </c>
      <c r="C60" s="98">
        <f t="shared" si="1"/>
        <v>208.07</v>
      </c>
      <c r="D60" s="98">
        <f t="shared" si="2"/>
        <v>78.840000000000032</v>
      </c>
      <c r="E60" s="98">
        <f t="shared" si="3"/>
        <v>52486.75</v>
      </c>
      <c r="J60" s="7">
        <v>34</v>
      </c>
      <c r="K60" s="98">
        <f t="shared" si="4"/>
        <v>286.91000000000003</v>
      </c>
      <c r="L60" s="98">
        <f t="shared" si="5"/>
        <v>208.07</v>
      </c>
      <c r="M60" s="98">
        <f t="shared" si="6"/>
        <v>78.840000000000032</v>
      </c>
      <c r="N60" s="98">
        <f t="shared" si="7"/>
        <v>52486.75</v>
      </c>
    </row>
    <row r="61" spans="1:19" ht="14.25" customHeight="1" x14ac:dyDescent="0.35">
      <c r="A61" s="7">
        <v>35</v>
      </c>
      <c r="B61" s="98">
        <f t="shared" si="0"/>
        <v>286.91000000000003</v>
      </c>
      <c r="C61" s="98">
        <f t="shared" si="1"/>
        <v>207.76</v>
      </c>
      <c r="D61" s="98">
        <f t="shared" si="2"/>
        <v>79.150000000000034</v>
      </c>
      <c r="E61" s="98">
        <f t="shared" si="3"/>
        <v>52407.6</v>
      </c>
      <c r="J61" s="7">
        <v>35</v>
      </c>
      <c r="K61" s="98">
        <f t="shared" si="4"/>
        <v>286.91000000000003</v>
      </c>
      <c r="L61" s="98">
        <f t="shared" si="5"/>
        <v>207.76</v>
      </c>
      <c r="M61" s="98">
        <f t="shared" si="6"/>
        <v>79.150000000000034</v>
      </c>
      <c r="N61" s="98">
        <f t="shared" si="7"/>
        <v>52407.6</v>
      </c>
    </row>
    <row r="62" spans="1:19" ht="14.25" customHeight="1" x14ac:dyDescent="0.35">
      <c r="A62" s="7">
        <v>36</v>
      </c>
      <c r="B62" s="98">
        <f t="shared" si="0"/>
        <v>286.91000000000003</v>
      </c>
      <c r="C62" s="98">
        <f t="shared" si="1"/>
        <v>207.45</v>
      </c>
      <c r="D62" s="98">
        <f t="shared" si="2"/>
        <v>79.460000000000036</v>
      </c>
      <c r="E62" s="98">
        <f t="shared" si="3"/>
        <v>52328.14</v>
      </c>
      <c r="J62" s="7">
        <v>36</v>
      </c>
      <c r="K62" s="98">
        <f t="shared" si="4"/>
        <v>286.91000000000003</v>
      </c>
      <c r="L62" s="98">
        <f t="shared" si="5"/>
        <v>207.45</v>
      </c>
      <c r="M62" s="98">
        <f t="shared" si="6"/>
        <v>79.460000000000036</v>
      </c>
      <c r="N62" s="106">
        <f t="shared" si="7"/>
        <v>52328.14</v>
      </c>
      <c r="P62" s="46" t="s">
        <v>143</v>
      </c>
      <c r="Q62" s="89">
        <f>N62</f>
        <v>52328.14</v>
      </c>
      <c r="R62" s="102"/>
      <c r="S62" s="101"/>
    </row>
    <row r="63" spans="1:19" ht="14.25" customHeight="1" x14ac:dyDescent="0.35">
      <c r="A63" s="7">
        <v>37</v>
      </c>
      <c r="B63" s="98">
        <f t="shared" si="0"/>
        <v>286.91000000000003</v>
      </c>
      <c r="C63" s="98">
        <f t="shared" si="1"/>
        <v>207.13</v>
      </c>
      <c r="D63" s="98">
        <f t="shared" si="2"/>
        <v>79.78000000000003</v>
      </c>
      <c r="E63" s="98">
        <f t="shared" si="3"/>
        <v>52248.36</v>
      </c>
      <c r="J63" s="107">
        <v>37</v>
      </c>
      <c r="K63" s="106">
        <f t="shared" ref="K63:K110" si="8">-$Q$72</f>
        <v>302.45</v>
      </c>
      <c r="L63" s="106">
        <f>ROUND(N62*$Q$68,2)</f>
        <v>228.94</v>
      </c>
      <c r="M63" s="106">
        <f t="shared" si="6"/>
        <v>73.509999999999991</v>
      </c>
      <c r="N63" s="106">
        <f t="shared" si="7"/>
        <v>52254.63</v>
      </c>
      <c r="P63" s="46" t="s">
        <v>185</v>
      </c>
      <c r="Q63" s="108">
        <f>30-3</f>
        <v>27</v>
      </c>
      <c r="R63" s="14"/>
      <c r="S63" s="103"/>
    </row>
    <row r="64" spans="1:19" ht="14.25" customHeight="1" x14ac:dyDescent="0.35">
      <c r="A64" s="7">
        <v>38</v>
      </c>
      <c r="B64" s="98">
        <f t="shared" si="0"/>
        <v>286.91000000000003</v>
      </c>
      <c r="C64" s="98">
        <f t="shared" si="1"/>
        <v>206.82</v>
      </c>
      <c r="D64" s="98">
        <f t="shared" si="2"/>
        <v>80.090000000000032</v>
      </c>
      <c r="E64" s="98">
        <f t="shared" si="3"/>
        <v>52168.270000000004</v>
      </c>
      <c r="J64" s="7">
        <v>38</v>
      </c>
      <c r="K64" s="98">
        <f>-$Q$72</f>
        <v>302.45</v>
      </c>
      <c r="L64" s="98">
        <f>ROUND(N63*$Q$68,2)</f>
        <v>228.61</v>
      </c>
      <c r="M64" s="98">
        <f t="shared" si="6"/>
        <v>73.839999999999975</v>
      </c>
      <c r="N64" s="98">
        <f t="shared" si="7"/>
        <v>52180.79</v>
      </c>
      <c r="P64" s="68" t="s">
        <v>144</v>
      </c>
      <c r="Q64" s="47">
        <f>4.75%+0.5%</f>
        <v>5.2499999999999998E-2</v>
      </c>
      <c r="R64" s="14"/>
      <c r="S64" s="103"/>
    </row>
    <row r="65" spans="1:18" ht="14.25" customHeight="1" x14ac:dyDescent="0.35">
      <c r="A65" s="7">
        <v>39</v>
      </c>
      <c r="B65" s="98">
        <f t="shared" si="0"/>
        <v>286.91000000000003</v>
      </c>
      <c r="C65" s="98">
        <f t="shared" si="1"/>
        <v>206.5</v>
      </c>
      <c r="D65" s="98">
        <f t="shared" si="2"/>
        <v>80.410000000000025</v>
      </c>
      <c r="E65" s="98">
        <f t="shared" si="3"/>
        <v>52087.86</v>
      </c>
      <c r="J65" s="7">
        <v>39</v>
      </c>
      <c r="K65" s="98">
        <f t="shared" si="8"/>
        <v>302.45</v>
      </c>
      <c r="L65" s="98">
        <f t="shared" ref="L65:L110" si="9">ROUND(N64*$Q$68,2)</f>
        <v>228.29</v>
      </c>
      <c r="M65" s="98">
        <f t="shared" si="6"/>
        <v>74.16</v>
      </c>
      <c r="N65" s="98">
        <f t="shared" si="7"/>
        <v>52106.63</v>
      </c>
      <c r="P65" s="46" t="s">
        <v>145</v>
      </c>
      <c r="Q65" s="94">
        <f>1+Q64</f>
        <v>1.0525</v>
      </c>
    </row>
    <row r="66" spans="1:18" ht="14.25" customHeight="1" x14ac:dyDescent="0.35">
      <c r="A66" s="7">
        <v>40</v>
      </c>
      <c r="B66" s="98">
        <f t="shared" si="0"/>
        <v>286.91000000000003</v>
      </c>
      <c r="C66" s="98">
        <f t="shared" si="1"/>
        <v>206.18</v>
      </c>
      <c r="D66" s="98">
        <f t="shared" si="2"/>
        <v>80.730000000000018</v>
      </c>
      <c r="E66" s="98">
        <f t="shared" si="3"/>
        <v>52007.13</v>
      </c>
      <c r="J66" s="7">
        <v>40</v>
      </c>
      <c r="K66" s="98">
        <f t="shared" si="8"/>
        <v>302.45</v>
      </c>
      <c r="L66" s="98">
        <f t="shared" si="9"/>
        <v>227.97</v>
      </c>
      <c r="M66" s="98">
        <f t="shared" si="6"/>
        <v>74.47999999999999</v>
      </c>
      <c r="N66" s="98">
        <f t="shared" si="7"/>
        <v>52032.149999999994</v>
      </c>
      <c r="P66" s="46" t="s">
        <v>186</v>
      </c>
      <c r="Q66" s="55">
        <v>12</v>
      </c>
    </row>
    <row r="67" spans="1:18" ht="14.25" customHeight="1" x14ac:dyDescent="0.35">
      <c r="A67" s="7">
        <v>41</v>
      </c>
      <c r="B67" s="98">
        <f t="shared" si="0"/>
        <v>286.91000000000003</v>
      </c>
      <c r="C67" s="98">
        <f t="shared" si="1"/>
        <v>205.86</v>
      </c>
      <c r="D67" s="98">
        <f t="shared" si="2"/>
        <v>81.050000000000011</v>
      </c>
      <c r="E67" s="98">
        <f t="shared" si="3"/>
        <v>51926.079999999994</v>
      </c>
      <c r="J67" s="7">
        <v>41</v>
      </c>
      <c r="K67" s="98">
        <f t="shared" si="8"/>
        <v>302.45</v>
      </c>
      <c r="L67" s="98">
        <f t="shared" si="9"/>
        <v>227.64</v>
      </c>
      <c r="M67" s="98">
        <f t="shared" si="6"/>
        <v>74.81</v>
      </c>
      <c r="N67" s="98">
        <f t="shared" si="7"/>
        <v>51957.34</v>
      </c>
      <c r="P67" s="215" t="s">
        <v>187</v>
      </c>
      <c r="Q67" s="199"/>
    </row>
    <row r="68" spans="1:18" ht="14.25" customHeight="1" x14ac:dyDescent="0.35">
      <c r="A68" s="7">
        <v>42</v>
      </c>
      <c r="B68" s="98">
        <f t="shared" si="0"/>
        <v>286.91000000000003</v>
      </c>
      <c r="C68" s="98">
        <f t="shared" si="1"/>
        <v>205.54</v>
      </c>
      <c r="D68" s="98">
        <f t="shared" si="2"/>
        <v>81.370000000000033</v>
      </c>
      <c r="E68" s="98">
        <f t="shared" si="3"/>
        <v>51844.709999999992</v>
      </c>
      <c r="J68" s="7">
        <v>42</v>
      </c>
      <c r="K68" s="98">
        <f t="shared" si="8"/>
        <v>302.45</v>
      </c>
      <c r="L68" s="98">
        <f t="shared" si="9"/>
        <v>227.31</v>
      </c>
      <c r="M68" s="98">
        <f t="shared" si="6"/>
        <v>75.139999999999986</v>
      </c>
      <c r="N68" s="98">
        <f t="shared" si="7"/>
        <v>51882.2</v>
      </c>
      <c r="P68" s="46" t="s">
        <v>188</v>
      </c>
      <c r="Q68" s="95">
        <f>Q64/Q66</f>
        <v>4.3749999999999995E-3</v>
      </c>
      <c r="R68" s="49"/>
    </row>
    <row r="69" spans="1:18" ht="14.25" customHeight="1" x14ac:dyDescent="0.35">
      <c r="A69" s="7">
        <v>43</v>
      </c>
      <c r="B69" s="98">
        <f t="shared" si="0"/>
        <v>286.91000000000003</v>
      </c>
      <c r="C69" s="98">
        <f t="shared" si="1"/>
        <v>205.22</v>
      </c>
      <c r="D69" s="98">
        <f t="shared" si="2"/>
        <v>81.690000000000026</v>
      </c>
      <c r="E69" s="98">
        <f t="shared" si="3"/>
        <v>51763.01999999999</v>
      </c>
      <c r="J69" s="7">
        <v>43</v>
      </c>
      <c r="K69" s="98">
        <f t="shared" si="8"/>
        <v>302.45</v>
      </c>
      <c r="L69" s="98">
        <f t="shared" si="9"/>
        <v>226.98</v>
      </c>
      <c r="M69" s="98">
        <f t="shared" si="6"/>
        <v>75.47</v>
      </c>
      <c r="N69" s="98">
        <f t="shared" si="7"/>
        <v>51806.729999999996</v>
      </c>
      <c r="P69" s="46" t="s">
        <v>189</v>
      </c>
      <c r="Q69" s="96">
        <f>1+Q68</f>
        <v>1.004375</v>
      </c>
    </row>
    <row r="70" spans="1:18" ht="14.25" customHeight="1" x14ac:dyDescent="0.35">
      <c r="A70" s="7">
        <v>44</v>
      </c>
      <c r="B70" s="98">
        <f t="shared" si="0"/>
        <v>286.91000000000003</v>
      </c>
      <c r="C70" s="98">
        <f t="shared" si="1"/>
        <v>204.9</v>
      </c>
      <c r="D70" s="98">
        <f t="shared" si="2"/>
        <v>82.010000000000019</v>
      </c>
      <c r="E70" s="98">
        <f t="shared" si="3"/>
        <v>51681.009999999987</v>
      </c>
      <c r="J70" s="7">
        <v>44</v>
      </c>
      <c r="K70" s="98">
        <f t="shared" si="8"/>
        <v>302.45</v>
      </c>
      <c r="L70" s="98">
        <f t="shared" si="9"/>
        <v>226.65</v>
      </c>
      <c r="M70" s="98">
        <f t="shared" si="6"/>
        <v>75.799999999999983</v>
      </c>
      <c r="N70" s="98">
        <f t="shared" si="7"/>
        <v>51730.929999999993</v>
      </c>
      <c r="P70" s="46" t="s">
        <v>190</v>
      </c>
      <c r="Q70" s="3">
        <f>Q63*Q66</f>
        <v>324</v>
      </c>
    </row>
    <row r="71" spans="1:18" ht="14.25" customHeight="1" x14ac:dyDescent="0.35">
      <c r="A71" s="7">
        <v>45</v>
      </c>
      <c r="B71" s="98">
        <f t="shared" si="0"/>
        <v>286.91000000000003</v>
      </c>
      <c r="C71" s="98">
        <f t="shared" si="1"/>
        <v>204.57</v>
      </c>
      <c r="D71" s="98">
        <f t="shared" si="2"/>
        <v>82.340000000000032</v>
      </c>
      <c r="E71" s="98">
        <f t="shared" si="3"/>
        <v>51598.669999999991</v>
      </c>
      <c r="J71" s="7">
        <v>45</v>
      </c>
      <c r="K71" s="98">
        <f t="shared" si="8"/>
        <v>302.45</v>
      </c>
      <c r="L71" s="98">
        <f t="shared" si="9"/>
        <v>226.32</v>
      </c>
      <c r="M71" s="98">
        <f t="shared" si="6"/>
        <v>76.13</v>
      </c>
      <c r="N71" s="98">
        <f t="shared" si="7"/>
        <v>51654.799999999996</v>
      </c>
      <c r="P71" s="46"/>
    </row>
    <row r="72" spans="1:18" ht="14.25" customHeight="1" x14ac:dyDescent="0.35">
      <c r="A72" s="7">
        <v>46</v>
      </c>
      <c r="B72" s="98">
        <f t="shared" si="0"/>
        <v>286.91000000000003</v>
      </c>
      <c r="C72" s="98">
        <f t="shared" si="1"/>
        <v>204.24</v>
      </c>
      <c r="D72" s="98">
        <f t="shared" si="2"/>
        <v>82.670000000000016</v>
      </c>
      <c r="E72" s="98">
        <f t="shared" si="3"/>
        <v>51515.999999999993</v>
      </c>
      <c r="J72" s="7">
        <v>46</v>
      </c>
      <c r="K72" s="98">
        <f t="shared" si="8"/>
        <v>302.45</v>
      </c>
      <c r="L72" s="98">
        <f t="shared" si="9"/>
        <v>225.99</v>
      </c>
      <c r="M72" s="98">
        <f t="shared" si="6"/>
        <v>76.45999999999998</v>
      </c>
      <c r="N72" s="98">
        <f t="shared" si="7"/>
        <v>51578.34</v>
      </c>
      <c r="P72" s="46" t="s">
        <v>191</v>
      </c>
      <c r="Q72" s="77">
        <f>ROUND(PMT(Q68,Q70,Q62,0,0),2)</f>
        <v>-302.45</v>
      </c>
      <c r="R72" s="49" t="s">
        <v>85</v>
      </c>
    </row>
    <row r="73" spans="1:18" ht="14.25" customHeight="1" x14ac:dyDescent="0.35">
      <c r="A73" s="7">
        <v>47</v>
      </c>
      <c r="B73" s="98">
        <f t="shared" si="0"/>
        <v>286.91000000000003</v>
      </c>
      <c r="C73" s="98">
        <f t="shared" si="1"/>
        <v>203.92</v>
      </c>
      <c r="D73" s="98">
        <f t="shared" si="2"/>
        <v>82.990000000000038</v>
      </c>
      <c r="E73" s="98">
        <f t="shared" si="3"/>
        <v>51433.009999999995</v>
      </c>
      <c r="J73" s="7">
        <v>47</v>
      </c>
      <c r="K73" s="98">
        <f t="shared" si="8"/>
        <v>302.45</v>
      </c>
      <c r="L73" s="98">
        <f t="shared" si="9"/>
        <v>225.66</v>
      </c>
      <c r="M73" s="98">
        <f t="shared" si="6"/>
        <v>76.789999999999992</v>
      </c>
      <c r="N73" s="98">
        <f t="shared" si="7"/>
        <v>51501.549999999996</v>
      </c>
    </row>
    <row r="74" spans="1:18" ht="14.25" customHeight="1" x14ac:dyDescent="0.35">
      <c r="A74" s="7">
        <v>48</v>
      </c>
      <c r="B74" s="98">
        <f t="shared" si="0"/>
        <v>286.91000000000003</v>
      </c>
      <c r="C74" s="98">
        <f t="shared" si="1"/>
        <v>203.59</v>
      </c>
      <c r="D74" s="98">
        <f t="shared" si="2"/>
        <v>83.320000000000022</v>
      </c>
      <c r="E74" s="98">
        <f t="shared" si="3"/>
        <v>51349.689999999995</v>
      </c>
      <c r="J74" s="7">
        <v>48</v>
      </c>
      <c r="K74" s="98">
        <f t="shared" si="8"/>
        <v>302.45</v>
      </c>
      <c r="L74" s="98">
        <f t="shared" si="9"/>
        <v>225.32</v>
      </c>
      <c r="M74" s="98">
        <f t="shared" si="6"/>
        <v>77.13</v>
      </c>
      <c r="N74" s="98">
        <f t="shared" si="7"/>
        <v>51424.42</v>
      </c>
    </row>
    <row r="75" spans="1:18" ht="14.25" customHeight="1" x14ac:dyDescent="0.35">
      <c r="A75" s="7">
        <v>49</v>
      </c>
      <c r="B75" s="98">
        <f t="shared" si="0"/>
        <v>286.91000000000003</v>
      </c>
      <c r="C75" s="98">
        <f t="shared" si="1"/>
        <v>203.26</v>
      </c>
      <c r="D75" s="98">
        <f t="shared" si="2"/>
        <v>83.650000000000034</v>
      </c>
      <c r="E75" s="98">
        <f t="shared" si="3"/>
        <v>51266.039999999994</v>
      </c>
      <c r="J75" s="7">
        <v>49</v>
      </c>
      <c r="K75" s="98">
        <f t="shared" si="8"/>
        <v>302.45</v>
      </c>
      <c r="L75" s="98">
        <f t="shared" si="9"/>
        <v>224.98</v>
      </c>
      <c r="M75" s="98">
        <f t="shared" si="6"/>
        <v>77.47</v>
      </c>
      <c r="N75" s="98">
        <f t="shared" si="7"/>
        <v>51346.95</v>
      </c>
    </row>
    <row r="76" spans="1:18" ht="14.25" customHeight="1" x14ac:dyDescent="0.35">
      <c r="A76" s="7">
        <v>50</v>
      </c>
      <c r="B76" s="98">
        <f t="shared" si="0"/>
        <v>286.91000000000003</v>
      </c>
      <c r="C76" s="98">
        <f t="shared" si="1"/>
        <v>202.93</v>
      </c>
      <c r="D76" s="98">
        <f t="shared" si="2"/>
        <v>83.980000000000018</v>
      </c>
      <c r="E76" s="98">
        <f t="shared" si="3"/>
        <v>51182.05999999999</v>
      </c>
      <c r="J76" s="7">
        <v>50</v>
      </c>
      <c r="K76" s="98">
        <f t="shared" si="8"/>
        <v>302.45</v>
      </c>
      <c r="L76" s="98">
        <f t="shared" si="9"/>
        <v>224.64</v>
      </c>
      <c r="M76" s="98">
        <f t="shared" si="6"/>
        <v>77.81</v>
      </c>
      <c r="N76" s="98">
        <f t="shared" si="7"/>
        <v>51269.14</v>
      </c>
    </row>
    <row r="77" spans="1:18" ht="14.25" customHeight="1" x14ac:dyDescent="0.35">
      <c r="A77" s="7">
        <v>51</v>
      </c>
      <c r="B77" s="98">
        <f t="shared" si="0"/>
        <v>286.91000000000003</v>
      </c>
      <c r="C77" s="98">
        <f t="shared" si="1"/>
        <v>202.6</v>
      </c>
      <c r="D77" s="98">
        <f t="shared" si="2"/>
        <v>84.310000000000031</v>
      </c>
      <c r="E77" s="98">
        <f t="shared" si="3"/>
        <v>51097.749999999993</v>
      </c>
      <c r="J77" s="7">
        <v>51</v>
      </c>
      <c r="K77" s="98">
        <f t="shared" si="8"/>
        <v>302.45</v>
      </c>
      <c r="L77" s="98">
        <f t="shared" si="9"/>
        <v>224.3</v>
      </c>
      <c r="M77" s="98">
        <f t="shared" si="6"/>
        <v>78.149999999999977</v>
      </c>
      <c r="N77" s="98">
        <f t="shared" si="7"/>
        <v>51190.99</v>
      </c>
    </row>
    <row r="78" spans="1:18" ht="14.25" customHeight="1" x14ac:dyDescent="0.35">
      <c r="A78" s="7">
        <v>52</v>
      </c>
      <c r="B78" s="98">
        <f t="shared" si="0"/>
        <v>286.91000000000003</v>
      </c>
      <c r="C78" s="98">
        <f t="shared" si="1"/>
        <v>202.26</v>
      </c>
      <c r="D78" s="98">
        <f t="shared" si="2"/>
        <v>84.650000000000034</v>
      </c>
      <c r="E78" s="98">
        <f t="shared" si="3"/>
        <v>51013.099999999991</v>
      </c>
      <c r="J78" s="7">
        <v>52</v>
      </c>
      <c r="K78" s="98">
        <f t="shared" si="8"/>
        <v>302.45</v>
      </c>
      <c r="L78" s="98">
        <f t="shared" si="9"/>
        <v>223.96</v>
      </c>
      <c r="M78" s="98">
        <f t="shared" si="6"/>
        <v>78.489999999999981</v>
      </c>
      <c r="N78" s="98">
        <f t="shared" si="7"/>
        <v>51112.5</v>
      </c>
    </row>
    <row r="79" spans="1:18" ht="14.25" customHeight="1" x14ac:dyDescent="0.35">
      <c r="A79" s="7">
        <v>53</v>
      </c>
      <c r="B79" s="98">
        <f t="shared" si="0"/>
        <v>286.91000000000003</v>
      </c>
      <c r="C79" s="98">
        <f t="shared" si="1"/>
        <v>201.93</v>
      </c>
      <c r="D79" s="98">
        <f t="shared" si="2"/>
        <v>84.980000000000018</v>
      </c>
      <c r="E79" s="98">
        <f t="shared" si="3"/>
        <v>50928.119999999988</v>
      </c>
      <c r="J79" s="7">
        <v>53</v>
      </c>
      <c r="K79" s="98">
        <f t="shared" si="8"/>
        <v>302.45</v>
      </c>
      <c r="L79" s="98">
        <f t="shared" si="9"/>
        <v>223.62</v>
      </c>
      <c r="M79" s="98">
        <f t="shared" si="6"/>
        <v>78.829999999999984</v>
      </c>
      <c r="N79" s="98">
        <f t="shared" si="7"/>
        <v>51033.67</v>
      </c>
    </row>
    <row r="80" spans="1:18" ht="14.25" customHeight="1" x14ac:dyDescent="0.35">
      <c r="A80" s="7">
        <v>54</v>
      </c>
      <c r="B80" s="98">
        <f t="shared" si="0"/>
        <v>286.91000000000003</v>
      </c>
      <c r="C80" s="98">
        <f t="shared" si="1"/>
        <v>201.59</v>
      </c>
      <c r="D80" s="98">
        <f t="shared" si="2"/>
        <v>85.320000000000022</v>
      </c>
      <c r="E80" s="98">
        <f t="shared" si="3"/>
        <v>50842.799999999988</v>
      </c>
      <c r="J80" s="7">
        <v>54</v>
      </c>
      <c r="K80" s="98">
        <f t="shared" si="8"/>
        <v>302.45</v>
      </c>
      <c r="L80" s="98">
        <f t="shared" si="9"/>
        <v>223.27</v>
      </c>
      <c r="M80" s="98">
        <f t="shared" si="6"/>
        <v>79.179999999999978</v>
      </c>
      <c r="N80" s="98">
        <f t="shared" si="7"/>
        <v>50954.49</v>
      </c>
    </row>
    <row r="81" spans="1:14" ht="14.25" customHeight="1" x14ac:dyDescent="0.35">
      <c r="A81" s="7">
        <v>55</v>
      </c>
      <c r="B81" s="98">
        <f t="shared" si="0"/>
        <v>286.91000000000003</v>
      </c>
      <c r="C81" s="98">
        <f t="shared" si="1"/>
        <v>201.25</v>
      </c>
      <c r="D81" s="98">
        <f t="shared" si="2"/>
        <v>85.660000000000025</v>
      </c>
      <c r="E81" s="98">
        <f t="shared" si="3"/>
        <v>50757.139999999985</v>
      </c>
      <c r="J81" s="7">
        <v>55</v>
      </c>
      <c r="K81" s="98">
        <f t="shared" si="8"/>
        <v>302.45</v>
      </c>
      <c r="L81" s="98">
        <f t="shared" si="9"/>
        <v>222.93</v>
      </c>
      <c r="M81" s="98">
        <f t="shared" si="6"/>
        <v>79.519999999999982</v>
      </c>
      <c r="N81" s="98">
        <f t="shared" si="7"/>
        <v>50874.97</v>
      </c>
    </row>
    <row r="82" spans="1:14" ht="14.25" customHeight="1" x14ac:dyDescent="0.35">
      <c r="A82" s="7">
        <v>56</v>
      </c>
      <c r="B82" s="98">
        <f t="shared" si="0"/>
        <v>286.91000000000003</v>
      </c>
      <c r="C82" s="98">
        <f t="shared" si="1"/>
        <v>200.91</v>
      </c>
      <c r="D82" s="98">
        <f t="shared" si="2"/>
        <v>86.000000000000028</v>
      </c>
      <c r="E82" s="98">
        <f t="shared" si="3"/>
        <v>50671.139999999985</v>
      </c>
      <c r="J82" s="7">
        <v>56</v>
      </c>
      <c r="K82" s="98">
        <f t="shared" si="8"/>
        <v>302.45</v>
      </c>
      <c r="L82" s="98">
        <f t="shared" si="9"/>
        <v>222.58</v>
      </c>
      <c r="M82" s="98">
        <f t="shared" si="6"/>
        <v>79.869999999999976</v>
      </c>
      <c r="N82" s="98">
        <f t="shared" si="7"/>
        <v>50795.1</v>
      </c>
    </row>
    <row r="83" spans="1:14" ht="14.25" customHeight="1" x14ac:dyDescent="0.35">
      <c r="A83" s="7">
        <v>57</v>
      </c>
      <c r="B83" s="98">
        <f t="shared" si="0"/>
        <v>286.91000000000003</v>
      </c>
      <c r="C83" s="98">
        <f t="shared" si="1"/>
        <v>200.57</v>
      </c>
      <c r="D83" s="98">
        <f t="shared" si="2"/>
        <v>86.340000000000032</v>
      </c>
      <c r="E83" s="98">
        <f t="shared" si="3"/>
        <v>50584.799999999988</v>
      </c>
      <c r="J83" s="7">
        <v>57</v>
      </c>
      <c r="K83" s="98">
        <f t="shared" si="8"/>
        <v>302.45</v>
      </c>
      <c r="L83" s="98">
        <f t="shared" si="9"/>
        <v>222.23</v>
      </c>
      <c r="M83" s="98">
        <f t="shared" si="6"/>
        <v>80.22</v>
      </c>
      <c r="N83" s="98">
        <f t="shared" si="7"/>
        <v>50714.879999999997</v>
      </c>
    </row>
    <row r="84" spans="1:14" ht="14.25" customHeight="1" x14ac:dyDescent="0.35">
      <c r="A84" s="7">
        <v>58</v>
      </c>
      <c r="B84" s="98">
        <f t="shared" si="0"/>
        <v>286.91000000000003</v>
      </c>
      <c r="C84" s="98">
        <f t="shared" si="1"/>
        <v>200.23</v>
      </c>
      <c r="D84" s="98">
        <f t="shared" si="2"/>
        <v>86.680000000000035</v>
      </c>
      <c r="E84" s="98">
        <f t="shared" si="3"/>
        <v>50498.119999999988</v>
      </c>
      <c r="J84" s="7">
        <v>58</v>
      </c>
      <c r="K84" s="98">
        <f t="shared" si="8"/>
        <v>302.45</v>
      </c>
      <c r="L84" s="98">
        <f t="shared" si="9"/>
        <v>221.88</v>
      </c>
      <c r="M84" s="98">
        <f t="shared" si="6"/>
        <v>80.569999999999993</v>
      </c>
      <c r="N84" s="98">
        <f t="shared" si="7"/>
        <v>50634.31</v>
      </c>
    </row>
    <row r="85" spans="1:14" ht="14.25" customHeight="1" x14ac:dyDescent="0.35">
      <c r="A85" s="7">
        <v>59</v>
      </c>
      <c r="B85" s="98">
        <f t="shared" si="0"/>
        <v>286.91000000000003</v>
      </c>
      <c r="C85" s="98">
        <f t="shared" si="1"/>
        <v>199.89</v>
      </c>
      <c r="D85" s="98">
        <f t="shared" si="2"/>
        <v>87.020000000000039</v>
      </c>
      <c r="E85" s="98">
        <f t="shared" si="3"/>
        <v>50411.099999999991</v>
      </c>
      <c r="J85" s="7">
        <v>59</v>
      </c>
      <c r="K85" s="98">
        <f t="shared" si="8"/>
        <v>302.45</v>
      </c>
      <c r="L85" s="98">
        <f t="shared" si="9"/>
        <v>221.53</v>
      </c>
      <c r="M85" s="98">
        <f t="shared" si="6"/>
        <v>80.919999999999987</v>
      </c>
      <c r="N85" s="98">
        <f t="shared" si="7"/>
        <v>50553.39</v>
      </c>
    </row>
    <row r="86" spans="1:14" ht="14.25" customHeight="1" x14ac:dyDescent="0.35">
      <c r="A86" s="7">
        <v>60</v>
      </c>
      <c r="B86" s="98">
        <f t="shared" si="0"/>
        <v>286.91000000000003</v>
      </c>
      <c r="C86" s="98">
        <f t="shared" si="1"/>
        <v>199.54</v>
      </c>
      <c r="D86" s="98">
        <f t="shared" si="2"/>
        <v>87.370000000000033</v>
      </c>
      <c r="E86" s="98">
        <f t="shared" si="3"/>
        <v>50323.729999999989</v>
      </c>
      <c r="J86" s="7">
        <v>60</v>
      </c>
      <c r="K86" s="98">
        <f t="shared" si="8"/>
        <v>302.45</v>
      </c>
      <c r="L86" s="98">
        <f t="shared" si="9"/>
        <v>221.17</v>
      </c>
      <c r="M86" s="98">
        <f t="shared" si="6"/>
        <v>81.28</v>
      </c>
      <c r="N86" s="98">
        <f t="shared" si="7"/>
        <v>50472.11</v>
      </c>
    </row>
    <row r="87" spans="1:14" ht="14.25" customHeight="1" x14ac:dyDescent="0.35">
      <c r="A87" s="7">
        <v>61</v>
      </c>
      <c r="B87" s="98">
        <f t="shared" si="0"/>
        <v>286.91000000000003</v>
      </c>
      <c r="C87" s="98">
        <f t="shared" si="1"/>
        <v>199.2</v>
      </c>
      <c r="D87" s="98">
        <f t="shared" si="2"/>
        <v>87.710000000000036</v>
      </c>
      <c r="E87" s="98">
        <f t="shared" si="3"/>
        <v>50236.01999999999</v>
      </c>
      <c r="J87" s="7">
        <v>61</v>
      </c>
      <c r="K87" s="98">
        <f t="shared" si="8"/>
        <v>302.45</v>
      </c>
      <c r="L87" s="98">
        <f t="shared" si="9"/>
        <v>220.82</v>
      </c>
      <c r="M87" s="98">
        <f t="shared" si="6"/>
        <v>81.63</v>
      </c>
      <c r="N87" s="98">
        <f t="shared" si="7"/>
        <v>50390.48</v>
      </c>
    </row>
    <row r="88" spans="1:14" ht="14.25" customHeight="1" x14ac:dyDescent="0.35">
      <c r="A88" s="7">
        <v>62</v>
      </c>
      <c r="B88" s="98">
        <f t="shared" si="0"/>
        <v>286.91000000000003</v>
      </c>
      <c r="C88" s="98">
        <f t="shared" si="1"/>
        <v>198.85</v>
      </c>
      <c r="D88" s="98">
        <f t="shared" si="2"/>
        <v>88.060000000000031</v>
      </c>
      <c r="E88" s="98">
        <f t="shared" si="3"/>
        <v>50147.959999999992</v>
      </c>
      <c r="J88" s="7">
        <v>62</v>
      </c>
      <c r="K88" s="98">
        <f t="shared" si="8"/>
        <v>302.45</v>
      </c>
      <c r="L88" s="98">
        <f t="shared" si="9"/>
        <v>220.46</v>
      </c>
      <c r="M88" s="98">
        <f t="shared" si="6"/>
        <v>81.989999999999981</v>
      </c>
      <c r="N88" s="98">
        <f t="shared" si="7"/>
        <v>50308.490000000005</v>
      </c>
    </row>
    <row r="89" spans="1:14" ht="14.25" customHeight="1" x14ac:dyDescent="0.35">
      <c r="A89" s="7">
        <v>63</v>
      </c>
      <c r="B89" s="98">
        <f t="shared" si="0"/>
        <v>286.91000000000003</v>
      </c>
      <c r="C89" s="98">
        <f t="shared" si="1"/>
        <v>198.5</v>
      </c>
      <c r="D89" s="98">
        <f t="shared" si="2"/>
        <v>88.410000000000025</v>
      </c>
      <c r="E89" s="98">
        <f t="shared" si="3"/>
        <v>50059.549999999988</v>
      </c>
      <c r="J89" s="7">
        <v>63</v>
      </c>
      <c r="K89" s="98">
        <f t="shared" si="8"/>
        <v>302.45</v>
      </c>
      <c r="L89" s="98">
        <f t="shared" si="9"/>
        <v>220.1</v>
      </c>
      <c r="M89" s="98">
        <f t="shared" si="6"/>
        <v>82.35</v>
      </c>
      <c r="N89" s="98">
        <f t="shared" si="7"/>
        <v>50226.140000000007</v>
      </c>
    </row>
    <row r="90" spans="1:14" ht="14.25" customHeight="1" x14ac:dyDescent="0.35">
      <c r="A90" s="7">
        <v>64</v>
      </c>
      <c r="B90" s="98">
        <f t="shared" si="0"/>
        <v>286.91000000000003</v>
      </c>
      <c r="C90" s="98">
        <f t="shared" si="1"/>
        <v>198.15</v>
      </c>
      <c r="D90" s="98">
        <f t="shared" si="2"/>
        <v>88.760000000000019</v>
      </c>
      <c r="E90" s="98">
        <f t="shared" si="3"/>
        <v>49970.789999999986</v>
      </c>
      <c r="J90" s="7">
        <v>64</v>
      </c>
      <c r="K90" s="98">
        <f t="shared" si="8"/>
        <v>302.45</v>
      </c>
      <c r="L90" s="98">
        <f t="shared" si="9"/>
        <v>219.74</v>
      </c>
      <c r="M90" s="98">
        <f t="shared" si="6"/>
        <v>82.70999999999998</v>
      </c>
      <c r="N90" s="98">
        <f t="shared" si="7"/>
        <v>50143.430000000008</v>
      </c>
    </row>
    <row r="91" spans="1:14" ht="14.25" customHeight="1" x14ac:dyDescent="0.35">
      <c r="A91" s="7">
        <v>65</v>
      </c>
      <c r="B91" s="98">
        <f t="shared" si="0"/>
        <v>286.91000000000003</v>
      </c>
      <c r="C91" s="98">
        <f t="shared" si="1"/>
        <v>197.8</v>
      </c>
      <c r="D91" s="98">
        <f t="shared" si="2"/>
        <v>89.110000000000014</v>
      </c>
      <c r="E91" s="98">
        <f t="shared" si="3"/>
        <v>49881.679999999986</v>
      </c>
      <c r="J91" s="7">
        <v>65</v>
      </c>
      <c r="K91" s="98">
        <f t="shared" si="8"/>
        <v>302.45</v>
      </c>
      <c r="L91" s="98">
        <f t="shared" si="9"/>
        <v>219.38</v>
      </c>
      <c r="M91" s="98">
        <f t="shared" si="6"/>
        <v>83.07</v>
      </c>
      <c r="N91" s="98">
        <f t="shared" si="7"/>
        <v>50060.360000000008</v>
      </c>
    </row>
    <row r="92" spans="1:14" ht="14.25" customHeight="1" x14ac:dyDescent="0.35">
      <c r="A92" s="7">
        <v>66</v>
      </c>
      <c r="B92" s="98">
        <f t="shared" si="0"/>
        <v>286.91000000000003</v>
      </c>
      <c r="C92" s="98">
        <f t="shared" si="1"/>
        <v>197.45</v>
      </c>
      <c r="D92" s="98">
        <f t="shared" si="2"/>
        <v>89.460000000000036</v>
      </c>
      <c r="E92" s="98">
        <f t="shared" si="3"/>
        <v>49792.219999999987</v>
      </c>
      <c r="J92" s="7">
        <v>66</v>
      </c>
      <c r="K92" s="98">
        <f t="shared" si="8"/>
        <v>302.45</v>
      </c>
      <c r="L92" s="98">
        <f t="shared" si="9"/>
        <v>219.01</v>
      </c>
      <c r="M92" s="98">
        <f t="shared" si="6"/>
        <v>83.44</v>
      </c>
      <c r="N92" s="98">
        <f t="shared" si="7"/>
        <v>49976.920000000006</v>
      </c>
    </row>
    <row r="93" spans="1:14" ht="14.25" customHeight="1" x14ac:dyDescent="0.35">
      <c r="A93" s="7">
        <v>67</v>
      </c>
      <c r="B93" s="98">
        <f t="shared" si="0"/>
        <v>286.91000000000003</v>
      </c>
      <c r="C93" s="98">
        <f t="shared" si="1"/>
        <v>197.09</v>
      </c>
      <c r="D93" s="98">
        <f t="shared" si="2"/>
        <v>89.820000000000022</v>
      </c>
      <c r="E93" s="98">
        <f t="shared" si="3"/>
        <v>49702.399999999987</v>
      </c>
      <c r="J93" s="7">
        <v>67</v>
      </c>
      <c r="K93" s="98">
        <f t="shared" si="8"/>
        <v>302.45</v>
      </c>
      <c r="L93" s="98">
        <f t="shared" si="9"/>
        <v>218.65</v>
      </c>
      <c r="M93" s="98">
        <f t="shared" si="6"/>
        <v>83.799999999999983</v>
      </c>
      <c r="N93" s="98">
        <f t="shared" si="7"/>
        <v>49893.120000000003</v>
      </c>
    </row>
    <row r="94" spans="1:14" ht="14.25" customHeight="1" x14ac:dyDescent="0.35">
      <c r="A94" s="7">
        <v>68</v>
      </c>
      <c r="B94" s="98">
        <f t="shared" si="0"/>
        <v>286.91000000000003</v>
      </c>
      <c r="C94" s="98">
        <f t="shared" si="1"/>
        <v>196.74</v>
      </c>
      <c r="D94" s="98">
        <f t="shared" si="2"/>
        <v>90.170000000000016</v>
      </c>
      <c r="E94" s="98">
        <f t="shared" si="3"/>
        <v>49612.229999999989</v>
      </c>
      <c r="J94" s="7">
        <v>68</v>
      </c>
      <c r="K94" s="98">
        <f t="shared" si="8"/>
        <v>302.45</v>
      </c>
      <c r="L94" s="98">
        <f t="shared" si="9"/>
        <v>218.28</v>
      </c>
      <c r="M94" s="98">
        <f t="shared" si="6"/>
        <v>84.169999999999987</v>
      </c>
      <c r="N94" s="98">
        <f t="shared" si="7"/>
        <v>49808.950000000004</v>
      </c>
    </row>
    <row r="95" spans="1:14" ht="14.25" customHeight="1" x14ac:dyDescent="0.35">
      <c r="A95" s="7">
        <v>69</v>
      </c>
      <c r="B95" s="98">
        <f t="shared" si="0"/>
        <v>286.91000000000003</v>
      </c>
      <c r="C95" s="98">
        <f t="shared" si="1"/>
        <v>196.38</v>
      </c>
      <c r="D95" s="98">
        <f t="shared" si="2"/>
        <v>90.53000000000003</v>
      </c>
      <c r="E95" s="98">
        <f t="shared" si="3"/>
        <v>49521.69999999999</v>
      </c>
      <c r="J95" s="7">
        <v>69</v>
      </c>
      <c r="K95" s="98">
        <f t="shared" si="8"/>
        <v>302.45</v>
      </c>
      <c r="L95" s="98">
        <f t="shared" si="9"/>
        <v>217.91</v>
      </c>
      <c r="M95" s="98">
        <f t="shared" si="6"/>
        <v>84.539999999999992</v>
      </c>
      <c r="N95" s="98">
        <f t="shared" si="7"/>
        <v>49724.41</v>
      </c>
    </row>
    <row r="96" spans="1:14" ht="14.25" customHeight="1" x14ac:dyDescent="0.35">
      <c r="A96" s="7">
        <v>70</v>
      </c>
      <c r="B96" s="98">
        <f t="shared" si="0"/>
        <v>286.91000000000003</v>
      </c>
      <c r="C96" s="98">
        <f t="shared" si="1"/>
        <v>196.02</v>
      </c>
      <c r="D96" s="98">
        <f t="shared" si="2"/>
        <v>90.890000000000015</v>
      </c>
      <c r="E96" s="98">
        <f t="shared" si="3"/>
        <v>49430.80999999999</v>
      </c>
      <c r="J96" s="7">
        <v>70</v>
      </c>
      <c r="K96" s="98">
        <f t="shared" si="8"/>
        <v>302.45</v>
      </c>
      <c r="L96" s="98">
        <f t="shared" si="9"/>
        <v>217.54</v>
      </c>
      <c r="M96" s="98">
        <f t="shared" si="6"/>
        <v>84.91</v>
      </c>
      <c r="N96" s="98">
        <f t="shared" si="7"/>
        <v>49639.5</v>
      </c>
    </row>
    <row r="97" spans="1:19" ht="14.25" customHeight="1" x14ac:dyDescent="0.35">
      <c r="A97" s="7">
        <v>71</v>
      </c>
      <c r="B97" s="98">
        <f t="shared" si="0"/>
        <v>286.91000000000003</v>
      </c>
      <c r="C97" s="98">
        <f t="shared" si="1"/>
        <v>195.66</v>
      </c>
      <c r="D97" s="98">
        <f t="shared" si="2"/>
        <v>91.250000000000028</v>
      </c>
      <c r="E97" s="98">
        <f t="shared" si="3"/>
        <v>49339.55999999999</v>
      </c>
      <c r="J97" s="7">
        <v>71</v>
      </c>
      <c r="K97" s="98">
        <f t="shared" si="8"/>
        <v>302.45</v>
      </c>
      <c r="L97" s="98">
        <f t="shared" si="9"/>
        <v>217.17</v>
      </c>
      <c r="M97" s="98">
        <f t="shared" si="6"/>
        <v>85.28</v>
      </c>
      <c r="N97" s="98">
        <f t="shared" si="7"/>
        <v>49554.22</v>
      </c>
    </row>
    <row r="98" spans="1:19" ht="14.25" customHeight="1" x14ac:dyDescent="0.35">
      <c r="A98" s="7">
        <v>72</v>
      </c>
      <c r="B98" s="98">
        <f t="shared" si="0"/>
        <v>286.91000000000003</v>
      </c>
      <c r="C98" s="98">
        <f t="shared" si="1"/>
        <v>195.3</v>
      </c>
      <c r="D98" s="98">
        <f t="shared" si="2"/>
        <v>91.610000000000014</v>
      </c>
      <c r="E98" s="98">
        <f t="shared" si="3"/>
        <v>49247.94999999999</v>
      </c>
      <c r="J98" s="7">
        <v>72</v>
      </c>
      <c r="K98" s="98">
        <f t="shared" si="8"/>
        <v>302.45</v>
      </c>
      <c r="L98" s="98">
        <f t="shared" si="9"/>
        <v>216.8</v>
      </c>
      <c r="M98" s="98">
        <f t="shared" si="6"/>
        <v>85.649999999999977</v>
      </c>
      <c r="N98" s="98">
        <f t="shared" si="7"/>
        <v>49468.57</v>
      </c>
    </row>
    <row r="99" spans="1:19" ht="14.25" customHeight="1" x14ac:dyDescent="0.35">
      <c r="A99" s="7">
        <v>73</v>
      </c>
      <c r="B99" s="98">
        <f t="shared" si="0"/>
        <v>286.91000000000003</v>
      </c>
      <c r="C99" s="98">
        <f t="shared" si="1"/>
        <v>194.94</v>
      </c>
      <c r="D99" s="98">
        <f t="shared" si="2"/>
        <v>91.970000000000027</v>
      </c>
      <c r="E99" s="98">
        <f t="shared" si="3"/>
        <v>49155.979999999989</v>
      </c>
      <c r="J99" s="7">
        <v>73</v>
      </c>
      <c r="K99" s="98">
        <f t="shared" si="8"/>
        <v>302.45</v>
      </c>
      <c r="L99" s="98">
        <f t="shared" si="9"/>
        <v>216.42</v>
      </c>
      <c r="M99" s="98">
        <f t="shared" si="6"/>
        <v>86.03</v>
      </c>
      <c r="N99" s="98">
        <f t="shared" si="7"/>
        <v>49382.54</v>
      </c>
    </row>
    <row r="100" spans="1:19" ht="14.25" customHeight="1" x14ac:dyDescent="0.35">
      <c r="A100" s="7">
        <v>74</v>
      </c>
      <c r="B100" s="98">
        <f t="shared" si="0"/>
        <v>286.91000000000003</v>
      </c>
      <c r="C100" s="98">
        <f t="shared" si="1"/>
        <v>194.58</v>
      </c>
      <c r="D100" s="98">
        <f t="shared" si="2"/>
        <v>92.330000000000013</v>
      </c>
      <c r="E100" s="98">
        <f t="shared" si="3"/>
        <v>49063.649999999987</v>
      </c>
      <c r="J100" s="7">
        <v>74</v>
      </c>
      <c r="K100" s="98">
        <f t="shared" si="8"/>
        <v>302.45</v>
      </c>
      <c r="L100" s="98">
        <f t="shared" si="9"/>
        <v>216.05</v>
      </c>
      <c r="M100" s="98">
        <f t="shared" si="6"/>
        <v>86.399999999999977</v>
      </c>
      <c r="N100" s="98">
        <f t="shared" si="7"/>
        <v>49296.14</v>
      </c>
    </row>
    <row r="101" spans="1:19" ht="14.25" customHeight="1" x14ac:dyDescent="0.35">
      <c r="A101" s="7">
        <v>75</v>
      </c>
      <c r="B101" s="98">
        <f t="shared" si="0"/>
        <v>286.91000000000003</v>
      </c>
      <c r="C101" s="98">
        <f t="shared" si="1"/>
        <v>194.21</v>
      </c>
      <c r="D101" s="98">
        <f t="shared" si="2"/>
        <v>92.700000000000017</v>
      </c>
      <c r="E101" s="98">
        <f t="shared" si="3"/>
        <v>48970.94999999999</v>
      </c>
      <c r="J101" s="7">
        <v>75</v>
      </c>
      <c r="K101" s="98">
        <f t="shared" si="8"/>
        <v>302.45</v>
      </c>
      <c r="L101" s="98">
        <f t="shared" si="9"/>
        <v>215.67</v>
      </c>
      <c r="M101" s="98">
        <f t="shared" si="6"/>
        <v>86.78</v>
      </c>
      <c r="N101" s="98">
        <f t="shared" si="7"/>
        <v>49209.36</v>
      </c>
    </row>
    <row r="102" spans="1:19" ht="14.25" customHeight="1" x14ac:dyDescent="0.35">
      <c r="A102" s="7">
        <v>76</v>
      </c>
      <c r="B102" s="98">
        <f t="shared" si="0"/>
        <v>286.91000000000003</v>
      </c>
      <c r="C102" s="98">
        <f t="shared" si="1"/>
        <v>193.84</v>
      </c>
      <c r="D102" s="98">
        <f t="shared" si="2"/>
        <v>93.070000000000022</v>
      </c>
      <c r="E102" s="98">
        <f t="shared" si="3"/>
        <v>48877.87999999999</v>
      </c>
      <c r="J102" s="7">
        <v>76</v>
      </c>
      <c r="K102" s="98">
        <f t="shared" si="8"/>
        <v>302.45</v>
      </c>
      <c r="L102" s="98">
        <f t="shared" si="9"/>
        <v>215.29</v>
      </c>
      <c r="M102" s="98">
        <f t="shared" si="6"/>
        <v>87.16</v>
      </c>
      <c r="N102" s="98">
        <f t="shared" si="7"/>
        <v>49122.2</v>
      </c>
    </row>
    <row r="103" spans="1:19" ht="14.25" customHeight="1" x14ac:dyDescent="0.35">
      <c r="A103" s="7">
        <v>77</v>
      </c>
      <c r="B103" s="98">
        <f t="shared" si="0"/>
        <v>286.91000000000003</v>
      </c>
      <c r="C103" s="98">
        <f t="shared" si="1"/>
        <v>193.47</v>
      </c>
      <c r="D103" s="98">
        <f t="shared" si="2"/>
        <v>93.440000000000026</v>
      </c>
      <c r="E103" s="98">
        <f t="shared" si="3"/>
        <v>48784.439999999988</v>
      </c>
      <c r="J103" s="7">
        <v>77</v>
      </c>
      <c r="K103" s="98">
        <f t="shared" si="8"/>
        <v>302.45</v>
      </c>
      <c r="L103" s="98">
        <f t="shared" si="9"/>
        <v>214.91</v>
      </c>
      <c r="M103" s="98">
        <f t="shared" si="6"/>
        <v>87.539999999999992</v>
      </c>
      <c r="N103" s="98">
        <f t="shared" si="7"/>
        <v>49034.659999999996</v>
      </c>
    </row>
    <row r="104" spans="1:19" ht="14.25" customHeight="1" x14ac:dyDescent="0.35">
      <c r="A104" s="7">
        <v>78</v>
      </c>
      <c r="B104" s="98">
        <f t="shared" si="0"/>
        <v>286.91000000000003</v>
      </c>
      <c r="C104" s="98">
        <f t="shared" si="1"/>
        <v>193.11</v>
      </c>
      <c r="D104" s="98">
        <f t="shared" si="2"/>
        <v>93.800000000000011</v>
      </c>
      <c r="E104" s="98">
        <f t="shared" si="3"/>
        <v>48690.639999999985</v>
      </c>
      <c r="J104" s="7">
        <v>78</v>
      </c>
      <c r="K104" s="98">
        <f t="shared" si="8"/>
        <v>302.45</v>
      </c>
      <c r="L104" s="98">
        <f t="shared" si="9"/>
        <v>214.53</v>
      </c>
      <c r="M104" s="98">
        <f t="shared" si="6"/>
        <v>87.919999999999987</v>
      </c>
      <c r="N104" s="98">
        <f t="shared" si="7"/>
        <v>48946.74</v>
      </c>
    </row>
    <row r="105" spans="1:19" ht="14.25" customHeight="1" x14ac:dyDescent="0.35">
      <c r="A105" s="7">
        <v>79</v>
      </c>
      <c r="B105" s="98">
        <f t="shared" si="0"/>
        <v>286.91000000000003</v>
      </c>
      <c r="C105" s="98">
        <f t="shared" si="1"/>
        <v>192.73</v>
      </c>
      <c r="D105" s="98">
        <f t="shared" si="2"/>
        <v>94.180000000000035</v>
      </c>
      <c r="E105" s="98">
        <f t="shared" si="3"/>
        <v>48596.459999999985</v>
      </c>
      <c r="J105" s="7">
        <v>79</v>
      </c>
      <c r="K105" s="98">
        <f t="shared" si="8"/>
        <v>302.45</v>
      </c>
      <c r="L105" s="98">
        <f t="shared" si="9"/>
        <v>214.14</v>
      </c>
      <c r="M105" s="98">
        <f t="shared" si="6"/>
        <v>88.31</v>
      </c>
      <c r="N105" s="98">
        <f t="shared" si="7"/>
        <v>48858.43</v>
      </c>
    </row>
    <row r="106" spans="1:19" ht="14.25" customHeight="1" x14ac:dyDescent="0.35">
      <c r="A106" s="7">
        <v>80</v>
      </c>
      <c r="B106" s="98">
        <f t="shared" si="0"/>
        <v>286.91000000000003</v>
      </c>
      <c r="C106" s="98">
        <f t="shared" si="1"/>
        <v>192.36</v>
      </c>
      <c r="D106" s="98">
        <f t="shared" si="2"/>
        <v>94.550000000000011</v>
      </c>
      <c r="E106" s="98">
        <f t="shared" si="3"/>
        <v>48501.909999999982</v>
      </c>
      <c r="J106" s="7">
        <v>80</v>
      </c>
      <c r="K106" s="98">
        <f t="shared" si="8"/>
        <v>302.45</v>
      </c>
      <c r="L106" s="98">
        <f t="shared" si="9"/>
        <v>213.76</v>
      </c>
      <c r="M106" s="98">
        <f t="shared" si="6"/>
        <v>88.69</v>
      </c>
      <c r="N106" s="98">
        <f t="shared" si="7"/>
        <v>48769.74</v>
      </c>
    </row>
    <row r="107" spans="1:19" ht="14.25" customHeight="1" x14ac:dyDescent="0.35">
      <c r="A107" s="7">
        <v>81</v>
      </c>
      <c r="B107" s="98">
        <f t="shared" si="0"/>
        <v>286.91000000000003</v>
      </c>
      <c r="C107" s="98">
        <f t="shared" si="1"/>
        <v>191.99</v>
      </c>
      <c r="D107" s="98">
        <f t="shared" si="2"/>
        <v>94.920000000000016</v>
      </c>
      <c r="E107" s="98">
        <f t="shared" si="3"/>
        <v>48406.989999999983</v>
      </c>
      <c r="J107" s="7">
        <v>81</v>
      </c>
      <c r="K107" s="98">
        <f t="shared" si="8"/>
        <v>302.45</v>
      </c>
      <c r="L107" s="98">
        <f t="shared" si="9"/>
        <v>213.37</v>
      </c>
      <c r="M107" s="98">
        <f t="shared" si="6"/>
        <v>89.079999999999984</v>
      </c>
      <c r="N107" s="98">
        <f t="shared" si="7"/>
        <v>48680.659999999996</v>
      </c>
    </row>
    <row r="108" spans="1:19" ht="14.25" customHeight="1" x14ac:dyDescent="0.35">
      <c r="A108" s="7">
        <v>82</v>
      </c>
      <c r="B108" s="98">
        <f t="shared" si="0"/>
        <v>286.91000000000003</v>
      </c>
      <c r="C108" s="98">
        <f t="shared" si="1"/>
        <v>191.61</v>
      </c>
      <c r="D108" s="98">
        <f t="shared" si="2"/>
        <v>95.300000000000011</v>
      </c>
      <c r="E108" s="98">
        <f t="shared" si="3"/>
        <v>48311.689999999981</v>
      </c>
      <c r="J108" s="7">
        <v>82</v>
      </c>
      <c r="K108" s="98">
        <f t="shared" si="8"/>
        <v>302.45</v>
      </c>
      <c r="L108" s="98">
        <f t="shared" si="9"/>
        <v>212.98</v>
      </c>
      <c r="M108" s="98">
        <f t="shared" si="6"/>
        <v>89.47</v>
      </c>
      <c r="N108" s="98">
        <f t="shared" si="7"/>
        <v>48591.189999999995</v>
      </c>
    </row>
    <row r="109" spans="1:19" ht="14.25" customHeight="1" x14ac:dyDescent="0.35">
      <c r="A109" s="7">
        <v>83</v>
      </c>
      <c r="B109" s="98">
        <f t="shared" si="0"/>
        <v>286.91000000000003</v>
      </c>
      <c r="C109" s="98">
        <f t="shared" si="1"/>
        <v>191.23</v>
      </c>
      <c r="D109" s="98">
        <f t="shared" si="2"/>
        <v>95.680000000000035</v>
      </c>
      <c r="E109" s="98">
        <f t="shared" si="3"/>
        <v>48216.00999999998</v>
      </c>
      <c r="J109" s="7">
        <v>83</v>
      </c>
      <c r="K109" s="98">
        <f t="shared" si="8"/>
        <v>302.45</v>
      </c>
      <c r="L109" s="98">
        <f t="shared" si="9"/>
        <v>212.59</v>
      </c>
      <c r="M109" s="98">
        <f t="shared" si="6"/>
        <v>89.859999999999985</v>
      </c>
      <c r="N109" s="98">
        <f t="shared" si="7"/>
        <v>48501.329999999994</v>
      </c>
    </row>
    <row r="110" spans="1:19" ht="14.25" customHeight="1" x14ac:dyDescent="0.35">
      <c r="A110" s="7">
        <v>84</v>
      </c>
      <c r="B110" s="98">
        <f t="shared" si="0"/>
        <v>286.91000000000003</v>
      </c>
      <c r="C110" s="98">
        <f t="shared" si="1"/>
        <v>190.86</v>
      </c>
      <c r="D110" s="98">
        <f t="shared" si="2"/>
        <v>96.050000000000011</v>
      </c>
      <c r="E110" s="98">
        <f t="shared" si="3"/>
        <v>48119.959999999977</v>
      </c>
      <c r="J110" s="7">
        <v>84</v>
      </c>
      <c r="K110" s="98">
        <f t="shared" si="8"/>
        <v>302.45</v>
      </c>
      <c r="L110" s="98">
        <f t="shared" si="9"/>
        <v>212.19</v>
      </c>
      <c r="M110" s="98">
        <f t="shared" si="6"/>
        <v>90.259999999999991</v>
      </c>
      <c r="N110" s="106">
        <f t="shared" si="7"/>
        <v>48411.069999999992</v>
      </c>
      <c r="P110" s="46" t="s">
        <v>143</v>
      </c>
      <c r="Q110" s="89">
        <f>N110</f>
        <v>48411.069999999992</v>
      </c>
      <c r="R110" s="102"/>
      <c r="S110" s="101"/>
    </row>
    <row r="111" spans="1:19" ht="14.25" customHeight="1" x14ac:dyDescent="0.35">
      <c r="A111" s="7">
        <v>85</v>
      </c>
      <c r="B111" s="98">
        <f t="shared" si="0"/>
        <v>286.91000000000003</v>
      </c>
      <c r="C111" s="98">
        <f t="shared" si="1"/>
        <v>190.47</v>
      </c>
      <c r="D111" s="98">
        <f t="shared" si="2"/>
        <v>96.440000000000026</v>
      </c>
      <c r="E111" s="98">
        <f t="shared" si="3"/>
        <v>48023.519999999975</v>
      </c>
      <c r="J111" s="107">
        <v>85</v>
      </c>
      <c r="K111" s="106">
        <f t="shared" ref="K111:K365" si="10">-$Q$120</f>
        <v>284.2</v>
      </c>
      <c r="L111" s="106">
        <f t="shared" ref="L111:L365" si="11">ROUND(N110*$Q$116,2)</f>
        <v>223.9</v>
      </c>
      <c r="M111" s="106">
        <f t="shared" si="6"/>
        <v>60.299999999999983</v>
      </c>
      <c r="N111" s="106">
        <f t="shared" si="7"/>
        <v>48350.76999999999</v>
      </c>
      <c r="P111" s="46" t="s">
        <v>185</v>
      </c>
      <c r="Q111" s="108">
        <f>30-7+5</f>
        <v>28</v>
      </c>
      <c r="R111" s="14"/>
      <c r="S111" s="103"/>
    </row>
    <row r="112" spans="1:19" ht="14.25" customHeight="1" x14ac:dyDescent="0.35">
      <c r="A112" s="7">
        <v>86</v>
      </c>
      <c r="B112" s="98">
        <f t="shared" si="0"/>
        <v>286.91000000000003</v>
      </c>
      <c r="C112" s="98">
        <f t="shared" si="1"/>
        <v>190.09</v>
      </c>
      <c r="D112" s="98">
        <f t="shared" si="2"/>
        <v>96.820000000000022</v>
      </c>
      <c r="E112" s="98">
        <f t="shared" si="3"/>
        <v>47926.699999999975</v>
      </c>
      <c r="J112" s="7">
        <v>86</v>
      </c>
      <c r="K112" s="98">
        <f t="shared" si="10"/>
        <v>284.2</v>
      </c>
      <c r="L112" s="98">
        <f t="shared" si="11"/>
        <v>223.62</v>
      </c>
      <c r="M112" s="98">
        <f t="shared" si="6"/>
        <v>60.579999999999984</v>
      </c>
      <c r="N112" s="98">
        <f t="shared" si="7"/>
        <v>48290.189999999988</v>
      </c>
      <c r="P112" s="68" t="s">
        <v>144</v>
      </c>
      <c r="Q112" s="47">
        <f>4.75%+0.5%+0.3%</f>
        <v>5.5500000000000001E-2</v>
      </c>
      <c r="R112" s="14"/>
      <c r="S112" s="103"/>
    </row>
    <row r="113" spans="1:19" ht="14.25" customHeight="1" x14ac:dyDescent="0.35">
      <c r="A113" s="7">
        <v>87</v>
      </c>
      <c r="B113" s="98">
        <f t="shared" si="0"/>
        <v>286.91000000000003</v>
      </c>
      <c r="C113" s="98">
        <f t="shared" si="1"/>
        <v>189.71</v>
      </c>
      <c r="D113" s="98">
        <f t="shared" si="2"/>
        <v>97.200000000000017</v>
      </c>
      <c r="E113" s="98">
        <f t="shared" si="3"/>
        <v>47829.499999999978</v>
      </c>
      <c r="J113" s="7">
        <v>87</v>
      </c>
      <c r="K113" s="98">
        <f t="shared" si="10"/>
        <v>284.2</v>
      </c>
      <c r="L113" s="98">
        <f t="shared" si="11"/>
        <v>223.34</v>
      </c>
      <c r="M113" s="98">
        <f t="shared" si="6"/>
        <v>60.859999999999985</v>
      </c>
      <c r="N113" s="98">
        <f t="shared" si="7"/>
        <v>48229.329999999987</v>
      </c>
      <c r="P113" s="46" t="s">
        <v>145</v>
      </c>
      <c r="Q113" s="94">
        <f>1+Q112</f>
        <v>1.0555000000000001</v>
      </c>
    </row>
    <row r="114" spans="1:19" ht="14.25" customHeight="1" x14ac:dyDescent="0.35">
      <c r="A114" s="7">
        <v>88</v>
      </c>
      <c r="B114" s="98">
        <f t="shared" si="0"/>
        <v>286.91000000000003</v>
      </c>
      <c r="C114" s="98">
        <f t="shared" si="1"/>
        <v>189.33</v>
      </c>
      <c r="D114" s="98">
        <f t="shared" si="2"/>
        <v>97.580000000000013</v>
      </c>
      <c r="E114" s="98">
        <f t="shared" si="3"/>
        <v>47731.919999999976</v>
      </c>
      <c r="J114" s="7">
        <v>88</v>
      </c>
      <c r="K114" s="98">
        <f t="shared" si="10"/>
        <v>284.2</v>
      </c>
      <c r="L114" s="98">
        <f t="shared" si="11"/>
        <v>223.06</v>
      </c>
      <c r="M114" s="98">
        <f t="shared" si="6"/>
        <v>61.139999999999986</v>
      </c>
      <c r="N114" s="98">
        <f t="shared" si="7"/>
        <v>48168.189999999988</v>
      </c>
      <c r="P114" s="46" t="s">
        <v>186</v>
      </c>
      <c r="Q114" s="55">
        <v>12</v>
      </c>
    </row>
    <row r="115" spans="1:19" ht="14.25" customHeight="1" x14ac:dyDescent="0.35">
      <c r="A115" s="7">
        <v>89</v>
      </c>
      <c r="B115" s="98">
        <f t="shared" si="0"/>
        <v>286.91000000000003</v>
      </c>
      <c r="C115" s="98">
        <f t="shared" si="1"/>
        <v>188.94</v>
      </c>
      <c r="D115" s="98">
        <f t="shared" si="2"/>
        <v>97.970000000000027</v>
      </c>
      <c r="E115" s="98">
        <f t="shared" si="3"/>
        <v>47633.949999999975</v>
      </c>
      <c r="J115" s="7">
        <v>89</v>
      </c>
      <c r="K115" s="98">
        <f t="shared" si="10"/>
        <v>284.2</v>
      </c>
      <c r="L115" s="98">
        <f t="shared" si="11"/>
        <v>222.78</v>
      </c>
      <c r="M115" s="98">
        <f t="shared" si="6"/>
        <v>61.419999999999987</v>
      </c>
      <c r="N115" s="98">
        <f t="shared" si="7"/>
        <v>48106.76999999999</v>
      </c>
      <c r="P115" s="215" t="s">
        <v>187</v>
      </c>
      <c r="Q115" s="199"/>
    </row>
    <row r="116" spans="1:19" ht="14.25" customHeight="1" x14ac:dyDescent="0.35">
      <c r="A116" s="7">
        <v>90</v>
      </c>
      <c r="B116" s="98">
        <f t="shared" si="0"/>
        <v>286.91000000000003</v>
      </c>
      <c r="C116" s="98">
        <f t="shared" si="1"/>
        <v>188.55</v>
      </c>
      <c r="D116" s="98">
        <f t="shared" si="2"/>
        <v>98.360000000000014</v>
      </c>
      <c r="E116" s="98">
        <f t="shared" si="3"/>
        <v>47535.589999999975</v>
      </c>
      <c r="J116" s="7">
        <v>90</v>
      </c>
      <c r="K116" s="98">
        <f t="shared" si="10"/>
        <v>284.2</v>
      </c>
      <c r="L116" s="98">
        <f t="shared" si="11"/>
        <v>222.49</v>
      </c>
      <c r="M116" s="98">
        <f t="shared" si="6"/>
        <v>61.70999999999998</v>
      </c>
      <c r="N116" s="98">
        <f t="shared" si="7"/>
        <v>48045.05999999999</v>
      </c>
      <c r="P116" s="46" t="s">
        <v>188</v>
      </c>
      <c r="Q116" s="95">
        <f>Q112/Q114</f>
        <v>4.6249999999999998E-3</v>
      </c>
      <c r="R116" s="49"/>
    </row>
    <row r="117" spans="1:19" ht="14.25" customHeight="1" x14ac:dyDescent="0.35">
      <c r="A117" s="7">
        <v>91</v>
      </c>
      <c r="B117" s="98">
        <f t="shared" si="0"/>
        <v>286.91000000000003</v>
      </c>
      <c r="C117" s="98">
        <f t="shared" si="1"/>
        <v>188.16</v>
      </c>
      <c r="D117" s="98">
        <f t="shared" si="2"/>
        <v>98.750000000000028</v>
      </c>
      <c r="E117" s="98">
        <f t="shared" si="3"/>
        <v>47436.839999999975</v>
      </c>
      <c r="J117" s="7">
        <v>91</v>
      </c>
      <c r="K117" s="98">
        <f t="shared" si="10"/>
        <v>284.2</v>
      </c>
      <c r="L117" s="98">
        <f t="shared" si="11"/>
        <v>222.21</v>
      </c>
      <c r="M117" s="98">
        <f t="shared" si="6"/>
        <v>61.989999999999981</v>
      </c>
      <c r="N117" s="98">
        <f t="shared" si="7"/>
        <v>47983.069999999992</v>
      </c>
      <c r="P117" s="46" t="s">
        <v>189</v>
      </c>
      <c r="Q117" s="96">
        <f>1+Q116</f>
        <v>1.0046250000000001</v>
      </c>
    </row>
    <row r="118" spans="1:19" ht="14.25" customHeight="1" x14ac:dyDescent="0.35">
      <c r="A118" s="7">
        <v>92</v>
      </c>
      <c r="B118" s="98">
        <f t="shared" si="0"/>
        <v>286.91000000000003</v>
      </c>
      <c r="C118" s="98">
        <f t="shared" si="1"/>
        <v>187.77</v>
      </c>
      <c r="D118" s="98">
        <f t="shared" si="2"/>
        <v>99.140000000000015</v>
      </c>
      <c r="E118" s="98">
        <f t="shared" si="3"/>
        <v>47337.699999999975</v>
      </c>
      <c r="J118" s="7">
        <v>92</v>
      </c>
      <c r="K118" s="98">
        <f t="shared" si="10"/>
        <v>284.2</v>
      </c>
      <c r="L118" s="98">
        <f t="shared" si="11"/>
        <v>221.92</v>
      </c>
      <c r="M118" s="98">
        <f t="shared" si="6"/>
        <v>62.28</v>
      </c>
      <c r="N118" s="98">
        <f t="shared" si="7"/>
        <v>47920.789999999994</v>
      </c>
      <c r="P118" s="46" t="s">
        <v>190</v>
      </c>
      <c r="Q118" s="3">
        <f>Q111*Q114</f>
        <v>336</v>
      </c>
    </row>
    <row r="119" spans="1:19" ht="14.25" customHeight="1" x14ac:dyDescent="0.35">
      <c r="A119" s="7">
        <v>93</v>
      </c>
      <c r="B119" s="98">
        <f t="shared" si="0"/>
        <v>286.91000000000003</v>
      </c>
      <c r="C119" s="98">
        <f t="shared" si="1"/>
        <v>187.38</v>
      </c>
      <c r="D119" s="98">
        <f t="shared" si="2"/>
        <v>99.53000000000003</v>
      </c>
      <c r="E119" s="98">
        <f t="shared" si="3"/>
        <v>47238.169999999976</v>
      </c>
      <c r="J119" s="7">
        <v>93</v>
      </c>
      <c r="K119" s="98">
        <f t="shared" si="10"/>
        <v>284.2</v>
      </c>
      <c r="L119" s="98">
        <f t="shared" si="11"/>
        <v>221.63</v>
      </c>
      <c r="M119" s="98">
        <f t="shared" si="6"/>
        <v>62.569999999999993</v>
      </c>
      <c r="N119" s="98">
        <f t="shared" si="7"/>
        <v>47858.219999999994</v>
      </c>
      <c r="P119" s="46"/>
    </row>
    <row r="120" spans="1:19" ht="14.25" customHeight="1" x14ac:dyDescent="0.35">
      <c r="A120" s="7">
        <v>94</v>
      </c>
      <c r="B120" s="98">
        <f t="shared" si="0"/>
        <v>286.91000000000003</v>
      </c>
      <c r="C120" s="98">
        <f t="shared" si="1"/>
        <v>186.98</v>
      </c>
      <c r="D120" s="98">
        <f t="shared" si="2"/>
        <v>99.930000000000035</v>
      </c>
      <c r="E120" s="98">
        <f t="shared" si="3"/>
        <v>47138.239999999976</v>
      </c>
      <c r="J120" s="7">
        <v>94</v>
      </c>
      <c r="K120" s="98">
        <f t="shared" si="10"/>
        <v>284.2</v>
      </c>
      <c r="L120" s="98">
        <f t="shared" si="11"/>
        <v>221.34</v>
      </c>
      <c r="M120" s="98">
        <f t="shared" si="6"/>
        <v>62.859999999999985</v>
      </c>
      <c r="N120" s="98">
        <f t="shared" si="7"/>
        <v>47795.359999999993</v>
      </c>
      <c r="P120" s="46" t="s">
        <v>191</v>
      </c>
      <c r="Q120" s="77">
        <f>ROUND(PMT(Q116,Q118,Q110,0,0),2)</f>
        <v>-284.2</v>
      </c>
      <c r="R120" s="49" t="s">
        <v>85</v>
      </c>
    </row>
    <row r="121" spans="1:19" ht="14.25" customHeight="1" x14ac:dyDescent="0.35">
      <c r="A121" s="7">
        <v>95</v>
      </c>
      <c r="B121" s="98">
        <f t="shared" si="0"/>
        <v>286.91000000000003</v>
      </c>
      <c r="C121" s="98">
        <f t="shared" si="1"/>
        <v>186.59</v>
      </c>
      <c r="D121" s="98">
        <f t="shared" si="2"/>
        <v>100.32000000000002</v>
      </c>
      <c r="E121" s="98">
        <f t="shared" si="3"/>
        <v>47037.919999999976</v>
      </c>
      <c r="J121" s="7">
        <v>95</v>
      </c>
      <c r="K121" s="98">
        <f t="shared" si="10"/>
        <v>284.2</v>
      </c>
      <c r="L121" s="98">
        <f t="shared" si="11"/>
        <v>221.05</v>
      </c>
      <c r="M121" s="98">
        <f t="shared" si="6"/>
        <v>63.149999999999977</v>
      </c>
      <c r="N121" s="98">
        <f t="shared" si="7"/>
        <v>47732.209999999992</v>
      </c>
    </row>
    <row r="122" spans="1:19" ht="14.25" customHeight="1" x14ac:dyDescent="0.35">
      <c r="A122" s="7">
        <v>96</v>
      </c>
      <c r="B122" s="98">
        <f t="shared" si="0"/>
        <v>286.91000000000003</v>
      </c>
      <c r="C122" s="98">
        <f t="shared" si="1"/>
        <v>186.19</v>
      </c>
      <c r="D122" s="98">
        <f t="shared" si="2"/>
        <v>100.72000000000003</v>
      </c>
      <c r="E122" s="98">
        <f t="shared" si="3"/>
        <v>46937.199999999975</v>
      </c>
      <c r="J122" s="7">
        <v>96</v>
      </c>
      <c r="K122" s="98">
        <f t="shared" si="10"/>
        <v>284.2</v>
      </c>
      <c r="L122" s="98">
        <f t="shared" si="11"/>
        <v>220.76</v>
      </c>
      <c r="M122" s="98">
        <f t="shared" si="6"/>
        <v>63.44</v>
      </c>
      <c r="N122" s="98">
        <f t="shared" si="7"/>
        <v>47668.76999999999</v>
      </c>
      <c r="P122" s="60"/>
      <c r="Q122" s="60"/>
      <c r="R122" s="23"/>
      <c r="S122" s="60"/>
    </row>
    <row r="123" spans="1:19" ht="14.25" customHeight="1" x14ac:dyDescent="0.35">
      <c r="A123" s="7">
        <v>97</v>
      </c>
      <c r="B123" s="98">
        <f t="shared" si="0"/>
        <v>286.91000000000003</v>
      </c>
      <c r="C123" s="98">
        <f t="shared" si="1"/>
        <v>185.79</v>
      </c>
      <c r="D123" s="98">
        <f t="shared" si="2"/>
        <v>101.12000000000003</v>
      </c>
      <c r="E123" s="98">
        <f t="shared" si="3"/>
        <v>46836.079999999973</v>
      </c>
      <c r="J123" s="7">
        <v>97</v>
      </c>
      <c r="K123" s="98">
        <f t="shared" si="10"/>
        <v>284.2</v>
      </c>
      <c r="L123" s="98">
        <f t="shared" si="11"/>
        <v>220.47</v>
      </c>
      <c r="M123" s="98">
        <f t="shared" si="6"/>
        <v>63.72999999999999</v>
      </c>
      <c r="N123" s="98">
        <f t="shared" si="7"/>
        <v>47605.039999999986</v>
      </c>
      <c r="R123" s="14"/>
      <c r="S123" s="58"/>
    </row>
    <row r="124" spans="1:19" ht="14.25" customHeight="1" x14ac:dyDescent="0.35">
      <c r="A124" s="7">
        <v>98</v>
      </c>
      <c r="B124" s="98">
        <f t="shared" si="0"/>
        <v>286.91000000000003</v>
      </c>
      <c r="C124" s="98">
        <f t="shared" si="1"/>
        <v>185.39</v>
      </c>
      <c r="D124" s="98">
        <f t="shared" si="2"/>
        <v>101.52000000000004</v>
      </c>
      <c r="E124" s="98">
        <f t="shared" si="3"/>
        <v>46734.559999999976</v>
      </c>
      <c r="J124" s="7">
        <v>98</v>
      </c>
      <c r="K124" s="98">
        <f t="shared" si="10"/>
        <v>284.2</v>
      </c>
      <c r="L124" s="98">
        <f t="shared" si="11"/>
        <v>220.17</v>
      </c>
      <c r="M124" s="98">
        <f t="shared" si="6"/>
        <v>64.03</v>
      </c>
      <c r="N124" s="98">
        <f t="shared" si="7"/>
        <v>47541.009999999987</v>
      </c>
      <c r="R124" s="14"/>
    </row>
    <row r="125" spans="1:19" ht="14.25" customHeight="1" x14ac:dyDescent="0.35">
      <c r="A125" s="7">
        <v>99</v>
      </c>
      <c r="B125" s="98">
        <f t="shared" si="0"/>
        <v>286.91000000000003</v>
      </c>
      <c r="C125" s="98">
        <f t="shared" si="1"/>
        <v>184.99</v>
      </c>
      <c r="D125" s="98">
        <f t="shared" si="2"/>
        <v>101.92000000000002</v>
      </c>
      <c r="E125" s="98">
        <f t="shared" si="3"/>
        <v>46632.639999999978</v>
      </c>
      <c r="J125" s="7">
        <v>99</v>
      </c>
      <c r="K125" s="98">
        <f t="shared" si="10"/>
        <v>284.2</v>
      </c>
      <c r="L125" s="98">
        <f t="shared" si="11"/>
        <v>219.88</v>
      </c>
      <c r="M125" s="98">
        <f t="shared" si="6"/>
        <v>64.319999999999993</v>
      </c>
      <c r="N125" s="98">
        <f t="shared" si="7"/>
        <v>47476.689999999988</v>
      </c>
      <c r="Q125" s="47"/>
      <c r="R125" s="14"/>
      <c r="S125" s="103"/>
    </row>
    <row r="126" spans="1:19" ht="14.25" customHeight="1" x14ac:dyDescent="0.35">
      <c r="A126" s="7">
        <v>100</v>
      </c>
      <c r="B126" s="98">
        <f t="shared" si="0"/>
        <v>286.91000000000003</v>
      </c>
      <c r="C126" s="98">
        <f t="shared" si="1"/>
        <v>184.59</v>
      </c>
      <c r="D126" s="98">
        <f t="shared" si="2"/>
        <v>102.32000000000002</v>
      </c>
      <c r="E126" s="98">
        <f t="shared" si="3"/>
        <v>46530.319999999978</v>
      </c>
      <c r="J126" s="7">
        <v>100</v>
      </c>
      <c r="K126" s="98">
        <f t="shared" si="10"/>
        <v>284.2</v>
      </c>
      <c r="L126" s="98">
        <f t="shared" si="11"/>
        <v>219.58</v>
      </c>
      <c r="M126" s="98">
        <f t="shared" si="6"/>
        <v>64.619999999999976</v>
      </c>
      <c r="N126" s="98">
        <f t="shared" si="7"/>
        <v>47412.069999999985</v>
      </c>
      <c r="Q126" s="104"/>
      <c r="R126" s="14"/>
      <c r="S126" s="103"/>
    </row>
    <row r="127" spans="1:19" ht="14.25" customHeight="1" x14ac:dyDescent="0.35">
      <c r="A127" s="7">
        <v>101</v>
      </c>
      <c r="B127" s="98">
        <f t="shared" si="0"/>
        <v>286.91000000000003</v>
      </c>
      <c r="C127" s="98">
        <f t="shared" si="1"/>
        <v>184.18</v>
      </c>
      <c r="D127" s="98">
        <f t="shared" si="2"/>
        <v>102.73000000000002</v>
      </c>
      <c r="E127" s="98">
        <f t="shared" si="3"/>
        <v>46427.589999999975</v>
      </c>
      <c r="J127" s="7">
        <v>101</v>
      </c>
      <c r="K127" s="98">
        <f t="shared" si="10"/>
        <v>284.2</v>
      </c>
      <c r="L127" s="98">
        <f t="shared" si="11"/>
        <v>219.28</v>
      </c>
      <c r="M127" s="98">
        <f t="shared" si="6"/>
        <v>64.919999999999987</v>
      </c>
      <c r="N127" s="98">
        <f t="shared" si="7"/>
        <v>47347.149999999987</v>
      </c>
    </row>
    <row r="128" spans="1:19" ht="14.25" customHeight="1" x14ac:dyDescent="0.35">
      <c r="A128" s="7">
        <v>102</v>
      </c>
      <c r="B128" s="98">
        <f t="shared" si="0"/>
        <v>286.91000000000003</v>
      </c>
      <c r="C128" s="98">
        <f t="shared" si="1"/>
        <v>183.78</v>
      </c>
      <c r="D128" s="98">
        <f t="shared" si="2"/>
        <v>103.13000000000002</v>
      </c>
      <c r="E128" s="98">
        <f t="shared" si="3"/>
        <v>46324.459999999977</v>
      </c>
      <c r="J128" s="7">
        <v>102</v>
      </c>
      <c r="K128" s="98">
        <f t="shared" si="10"/>
        <v>284.2</v>
      </c>
      <c r="L128" s="98">
        <f t="shared" si="11"/>
        <v>218.98</v>
      </c>
      <c r="M128" s="98">
        <f t="shared" si="6"/>
        <v>65.22</v>
      </c>
      <c r="N128" s="98">
        <f t="shared" si="7"/>
        <v>47281.929999999986</v>
      </c>
    </row>
    <row r="129" spans="1:18" ht="14.25" customHeight="1" x14ac:dyDescent="0.35">
      <c r="A129" s="7">
        <v>103</v>
      </c>
      <c r="B129" s="98">
        <f t="shared" si="0"/>
        <v>286.91000000000003</v>
      </c>
      <c r="C129" s="98">
        <f t="shared" si="1"/>
        <v>183.37</v>
      </c>
      <c r="D129" s="98">
        <f t="shared" si="2"/>
        <v>103.54000000000002</v>
      </c>
      <c r="E129" s="98">
        <f t="shared" si="3"/>
        <v>46220.919999999976</v>
      </c>
      <c r="J129" s="7">
        <v>103</v>
      </c>
      <c r="K129" s="98">
        <f t="shared" si="10"/>
        <v>284.2</v>
      </c>
      <c r="L129" s="98">
        <f t="shared" si="11"/>
        <v>218.68</v>
      </c>
      <c r="M129" s="98">
        <f t="shared" si="6"/>
        <v>65.519999999999982</v>
      </c>
      <c r="N129" s="98">
        <f t="shared" si="7"/>
        <v>47216.409999999989</v>
      </c>
    </row>
    <row r="130" spans="1:18" ht="14.25" customHeight="1" x14ac:dyDescent="0.35">
      <c r="A130" s="7">
        <v>104</v>
      </c>
      <c r="B130" s="98">
        <f t="shared" si="0"/>
        <v>286.91000000000003</v>
      </c>
      <c r="C130" s="98">
        <f t="shared" si="1"/>
        <v>182.96</v>
      </c>
      <c r="D130" s="98">
        <f t="shared" si="2"/>
        <v>103.95000000000002</v>
      </c>
      <c r="E130" s="98">
        <f t="shared" si="3"/>
        <v>46116.969999999979</v>
      </c>
      <c r="J130" s="7">
        <v>104</v>
      </c>
      <c r="K130" s="98">
        <f t="shared" si="10"/>
        <v>284.2</v>
      </c>
      <c r="L130" s="98">
        <f t="shared" si="11"/>
        <v>218.38</v>
      </c>
      <c r="M130" s="98">
        <f t="shared" si="6"/>
        <v>65.819999999999993</v>
      </c>
      <c r="N130" s="98">
        <f t="shared" si="7"/>
        <v>47150.589999999989</v>
      </c>
    </row>
    <row r="131" spans="1:18" ht="14.25" customHeight="1" x14ac:dyDescent="0.35">
      <c r="A131" s="7">
        <v>105</v>
      </c>
      <c r="B131" s="98">
        <f t="shared" si="0"/>
        <v>286.91000000000003</v>
      </c>
      <c r="C131" s="98">
        <f t="shared" si="1"/>
        <v>182.55</v>
      </c>
      <c r="D131" s="98">
        <f t="shared" si="2"/>
        <v>104.36000000000001</v>
      </c>
      <c r="E131" s="98">
        <f t="shared" si="3"/>
        <v>46012.609999999979</v>
      </c>
      <c r="J131" s="7">
        <v>105</v>
      </c>
      <c r="K131" s="98">
        <f t="shared" si="10"/>
        <v>284.2</v>
      </c>
      <c r="L131" s="98">
        <f t="shared" si="11"/>
        <v>218.07</v>
      </c>
      <c r="M131" s="98">
        <f t="shared" si="6"/>
        <v>66.13</v>
      </c>
      <c r="N131" s="98">
        <f t="shared" si="7"/>
        <v>47084.459999999992</v>
      </c>
      <c r="Q131" s="105"/>
      <c r="R131" s="49"/>
    </row>
    <row r="132" spans="1:18" ht="14.25" customHeight="1" x14ac:dyDescent="0.35">
      <c r="A132" s="7">
        <v>106</v>
      </c>
      <c r="B132" s="98">
        <f t="shared" si="0"/>
        <v>286.91000000000003</v>
      </c>
      <c r="C132" s="98">
        <f t="shared" si="1"/>
        <v>182.13</v>
      </c>
      <c r="D132" s="98">
        <f t="shared" si="2"/>
        <v>104.78000000000003</v>
      </c>
      <c r="E132" s="98">
        <f t="shared" si="3"/>
        <v>45907.82999999998</v>
      </c>
      <c r="J132" s="7">
        <v>106</v>
      </c>
      <c r="K132" s="98">
        <f t="shared" si="10"/>
        <v>284.2</v>
      </c>
      <c r="L132" s="98">
        <f t="shared" si="11"/>
        <v>217.77</v>
      </c>
      <c r="M132" s="98">
        <f t="shared" si="6"/>
        <v>66.429999999999978</v>
      </c>
      <c r="N132" s="98">
        <f t="shared" si="7"/>
        <v>47018.029999999992</v>
      </c>
    </row>
    <row r="133" spans="1:18" ht="14.25" customHeight="1" x14ac:dyDescent="0.35">
      <c r="A133" s="7">
        <v>107</v>
      </c>
      <c r="B133" s="98">
        <f t="shared" si="0"/>
        <v>286.91000000000003</v>
      </c>
      <c r="C133" s="98">
        <f t="shared" si="1"/>
        <v>181.72</v>
      </c>
      <c r="D133" s="98">
        <f t="shared" si="2"/>
        <v>105.19000000000003</v>
      </c>
      <c r="E133" s="98">
        <f t="shared" si="3"/>
        <v>45802.639999999978</v>
      </c>
      <c r="J133" s="7">
        <v>107</v>
      </c>
      <c r="K133" s="98">
        <f t="shared" si="10"/>
        <v>284.2</v>
      </c>
      <c r="L133" s="98">
        <f t="shared" si="11"/>
        <v>217.46</v>
      </c>
      <c r="M133" s="98">
        <f t="shared" si="6"/>
        <v>66.739999999999981</v>
      </c>
      <c r="N133" s="98">
        <f t="shared" si="7"/>
        <v>46951.289999999994</v>
      </c>
    </row>
    <row r="134" spans="1:18" ht="14.25" customHeight="1" x14ac:dyDescent="0.35">
      <c r="A134" s="7">
        <v>108</v>
      </c>
      <c r="B134" s="98">
        <f t="shared" si="0"/>
        <v>286.91000000000003</v>
      </c>
      <c r="C134" s="98">
        <f t="shared" si="1"/>
        <v>181.3</v>
      </c>
      <c r="D134" s="98">
        <f t="shared" si="2"/>
        <v>105.61000000000001</v>
      </c>
      <c r="E134" s="98">
        <f t="shared" si="3"/>
        <v>45697.029999999977</v>
      </c>
      <c r="J134" s="7">
        <v>108</v>
      </c>
      <c r="K134" s="98">
        <f t="shared" si="10"/>
        <v>284.2</v>
      </c>
      <c r="L134" s="98">
        <f t="shared" si="11"/>
        <v>217.15</v>
      </c>
      <c r="M134" s="98">
        <f t="shared" si="6"/>
        <v>67.049999999999983</v>
      </c>
      <c r="N134" s="98">
        <f t="shared" si="7"/>
        <v>46884.239999999991</v>
      </c>
    </row>
    <row r="135" spans="1:18" ht="14.25" customHeight="1" x14ac:dyDescent="0.35">
      <c r="A135" s="7">
        <v>109</v>
      </c>
      <c r="B135" s="98">
        <f t="shared" si="0"/>
        <v>286.91000000000003</v>
      </c>
      <c r="C135" s="98">
        <f t="shared" si="1"/>
        <v>180.88</v>
      </c>
      <c r="D135" s="98">
        <f t="shared" si="2"/>
        <v>106.03000000000003</v>
      </c>
      <c r="E135" s="98">
        <f t="shared" si="3"/>
        <v>45590.999999999978</v>
      </c>
      <c r="J135" s="7">
        <v>109</v>
      </c>
      <c r="K135" s="98">
        <f t="shared" si="10"/>
        <v>284.2</v>
      </c>
      <c r="L135" s="98">
        <f t="shared" si="11"/>
        <v>216.84</v>
      </c>
      <c r="M135" s="98">
        <f t="shared" si="6"/>
        <v>67.359999999999985</v>
      </c>
      <c r="N135" s="98">
        <f t="shared" si="7"/>
        <v>46816.87999999999</v>
      </c>
    </row>
    <row r="136" spans="1:18" ht="14.25" customHeight="1" x14ac:dyDescent="0.35">
      <c r="A136" s="7">
        <v>110</v>
      </c>
      <c r="B136" s="98">
        <f t="shared" si="0"/>
        <v>286.91000000000003</v>
      </c>
      <c r="C136" s="98">
        <f t="shared" si="1"/>
        <v>180.46</v>
      </c>
      <c r="D136" s="98">
        <f t="shared" si="2"/>
        <v>106.45000000000002</v>
      </c>
      <c r="E136" s="98">
        <f t="shared" si="3"/>
        <v>45484.549999999981</v>
      </c>
      <c r="J136" s="7">
        <v>110</v>
      </c>
      <c r="K136" s="98">
        <f t="shared" si="10"/>
        <v>284.2</v>
      </c>
      <c r="L136" s="98">
        <f t="shared" si="11"/>
        <v>216.53</v>
      </c>
      <c r="M136" s="98">
        <f t="shared" si="6"/>
        <v>67.669999999999987</v>
      </c>
      <c r="N136" s="98">
        <f t="shared" si="7"/>
        <v>46749.209999999992</v>
      </c>
    </row>
    <row r="137" spans="1:18" ht="14.25" customHeight="1" x14ac:dyDescent="0.35">
      <c r="A137" s="7">
        <v>111</v>
      </c>
      <c r="B137" s="98">
        <f t="shared" si="0"/>
        <v>286.91000000000003</v>
      </c>
      <c r="C137" s="98">
        <f t="shared" si="1"/>
        <v>180.04</v>
      </c>
      <c r="D137" s="98">
        <f t="shared" si="2"/>
        <v>106.87000000000003</v>
      </c>
      <c r="E137" s="98">
        <f t="shared" si="3"/>
        <v>45377.679999999978</v>
      </c>
      <c r="J137" s="7">
        <v>111</v>
      </c>
      <c r="K137" s="98">
        <f t="shared" si="10"/>
        <v>284.2</v>
      </c>
      <c r="L137" s="98">
        <f t="shared" si="11"/>
        <v>216.22</v>
      </c>
      <c r="M137" s="98">
        <f t="shared" si="6"/>
        <v>67.97999999999999</v>
      </c>
      <c r="N137" s="98">
        <f t="shared" si="7"/>
        <v>46681.229999999989</v>
      </c>
    </row>
    <row r="138" spans="1:18" ht="14.25" customHeight="1" x14ac:dyDescent="0.35">
      <c r="A138" s="7">
        <v>112</v>
      </c>
      <c r="B138" s="98">
        <f t="shared" si="0"/>
        <v>286.91000000000003</v>
      </c>
      <c r="C138" s="98">
        <f t="shared" si="1"/>
        <v>179.62</v>
      </c>
      <c r="D138" s="98">
        <f t="shared" si="2"/>
        <v>107.29000000000002</v>
      </c>
      <c r="E138" s="98">
        <f t="shared" si="3"/>
        <v>45270.389999999978</v>
      </c>
      <c r="J138" s="7">
        <v>112</v>
      </c>
      <c r="K138" s="98">
        <f t="shared" si="10"/>
        <v>284.2</v>
      </c>
      <c r="L138" s="98">
        <f t="shared" si="11"/>
        <v>215.9</v>
      </c>
      <c r="M138" s="98">
        <f t="shared" si="6"/>
        <v>68.299999999999983</v>
      </c>
      <c r="N138" s="98">
        <f t="shared" si="7"/>
        <v>46612.929999999986</v>
      </c>
    </row>
    <row r="139" spans="1:18" ht="14.25" customHeight="1" x14ac:dyDescent="0.35">
      <c r="A139" s="7">
        <v>113</v>
      </c>
      <c r="B139" s="98">
        <f t="shared" si="0"/>
        <v>286.91000000000003</v>
      </c>
      <c r="C139" s="98">
        <f t="shared" si="1"/>
        <v>179.2</v>
      </c>
      <c r="D139" s="98">
        <f t="shared" si="2"/>
        <v>107.71000000000004</v>
      </c>
      <c r="E139" s="98">
        <f t="shared" si="3"/>
        <v>45162.679999999978</v>
      </c>
      <c r="J139" s="7">
        <v>113</v>
      </c>
      <c r="K139" s="98">
        <f t="shared" si="10"/>
        <v>284.2</v>
      </c>
      <c r="L139" s="98">
        <f t="shared" si="11"/>
        <v>215.58</v>
      </c>
      <c r="M139" s="98">
        <f t="shared" si="6"/>
        <v>68.619999999999976</v>
      </c>
      <c r="N139" s="98">
        <f t="shared" si="7"/>
        <v>46544.309999999983</v>
      </c>
    </row>
    <row r="140" spans="1:18" ht="14.25" customHeight="1" x14ac:dyDescent="0.35">
      <c r="A140" s="7">
        <v>114</v>
      </c>
      <c r="B140" s="98">
        <f t="shared" si="0"/>
        <v>286.91000000000003</v>
      </c>
      <c r="C140" s="98">
        <f t="shared" si="1"/>
        <v>178.77</v>
      </c>
      <c r="D140" s="98">
        <f t="shared" si="2"/>
        <v>108.14000000000001</v>
      </c>
      <c r="E140" s="98">
        <f t="shared" si="3"/>
        <v>45054.539999999979</v>
      </c>
      <c r="J140" s="7">
        <v>114</v>
      </c>
      <c r="K140" s="98">
        <f t="shared" si="10"/>
        <v>284.2</v>
      </c>
      <c r="L140" s="98">
        <f t="shared" si="11"/>
        <v>215.27</v>
      </c>
      <c r="M140" s="98">
        <f t="shared" si="6"/>
        <v>68.929999999999978</v>
      </c>
      <c r="N140" s="98">
        <f t="shared" si="7"/>
        <v>46475.379999999983</v>
      </c>
    </row>
    <row r="141" spans="1:18" ht="14.25" customHeight="1" x14ac:dyDescent="0.35">
      <c r="A141" s="7">
        <v>115</v>
      </c>
      <c r="B141" s="98">
        <f t="shared" si="0"/>
        <v>286.91000000000003</v>
      </c>
      <c r="C141" s="98">
        <f t="shared" si="1"/>
        <v>178.34</v>
      </c>
      <c r="D141" s="98">
        <f t="shared" si="2"/>
        <v>108.57000000000002</v>
      </c>
      <c r="E141" s="98">
        <f t="shared" si="3"/>
        <v>44945.969999999979</v>
      </c>
      <c r="J141" s="7">
        <v>115</v>
      </c>
      <c r="K141" s="98">
        <f t="shared" si="10"/>
        <v>284.2</v>
      </c>
      <c r="L141" s="98">
        <f t="shared" si="11"/>
        <v>214.95</v>
      </c>
      <c r="M141" s="98">
        <f t="shared" si="6"/>
        <v>69.25</v>
      </c>
      <c r="N141" s="98">
        <f t="shared" si="7"/>
        <v>46406.129999999983</v>
      </c>
    </row>
    <row r="142" spans="1:18" ht="14.25" customHeight="1" x14ac:dyDescent="0.35">
      <c r="A142" s="7">
        <v>116</v>
      </c>
      <c r="B142" s="98">
        <f t="shared" si="0"/>
        <v>286.91000000000003</v>
      </c>
      <c r="C142" s="98">
        <f t="shared" si="1"/>
        <v>177.91</v>
      </c>
      <c r="D142" s="98">
        <f t="shared" si="2"/>
        <v>109.00000000000003</v>
      </c>
      <c r="E142" s="98">
        <f t="shared" si="3"/>
        <v>44836.969999999979</v>
      </c>
      <c r="J142" s="7">
        <v>116</v>
      </c>
      <c r="K142" s="98">
        <f t="shared" si="10"/>
        <v>284.2</v>
      </c>
      <c r="L142" s="98">
        <f t="shared" si="11"/>
        <v>214.63</v>
      </c>
      <c r="M142" s="98">
        <f t="shared" si="6"/>
        <v>69.569999999999993</v>
      </c>
      <c r="N142" s="98">
        <f t="shared" si="7"/>
        <v>46336.559999999983</v>
      </c>
    </row>
    <row r="143" spans="1:18" ht="14.25" customHeight="1" x14ac:dyDescent="0.35">
      <c r="A143" s="7">
        <v>117</v>
      </c>
      <c r="B143" s="98">
        <f t="shared" si="0"/>
        <v>286.91000000000003</v>
      </c>
      <c r="C143" s="98">
        <f t="shared" si="1"/>
        <v>177.48</v>
      </c>
      <c r="D143" s="98">
        <f t="shared" si="2"/>
        <v>109.43000000000004</v>
      </c>
      <c r="E143" s="98">
        <f t="shared" si="3"/>
        <v>44727.539999999979</v>
      </c>
      <c r="J143" s="7">
        <v>117</v>
      </c>
      <c r="K143" s="98">
        <f t="shared" si="10"/>
        <v>284.2</v>
      </c>
      <c r="L143" s="98">
        <f t="shared" si="11"/>
        <v>214.31</v>
      </c>
      <c r="M143" s="98">
        <f t="shared" si="6"/>
        <v>69.889999999999986</v>
      </c>
      <c r="N143" s="98">
        <f t="shared" si="7"/>
        <v>46266.669999999984</v>
      </c>
    </row>
    <row r="144" spans="1:18" ht="14.25" customHeight="1" x14ac:dyDescent="0.35">
      <c r="A144" s="7">
        <v>118</v>
      </c>
      <c r="B144" s="98">
        <f t="shared" si="0"/>
        <v>286.91000000000003</v>
      </c>
      <c r="C144" s="98">
        <f t="shared" si="1"/>
        <v>177.05</v>
      </c>
      <c r="D144" s="98">
        <f t="shared" si="2"/>
        <v>109.86000000000001</v>
      </c>
      <c r="E144" s="98">
        <f t="shared" si="3"/>
        <v>44617.679999999978</v>
      </c>
      <c r="J144" s="7">
        <v>118</v>
      </c>
      <c r="K144" s="98">
        <f t="shared" si="10"/>
        <v>284.2</v>
      </c>
      <c r="L144" s="98">
        <f t="shared" si="11"/>
        <v>213.98</v>
      </c>
      <c r="M144" s="98">
        <f t="shared" si="6"/>
        <v>70.22</v>
      </c>
      <c r="N144" s="98">
        <f t="shared" si="7"/>
        <v>46196.449999999983</v>
      </c>
    </row>
    <row r="145" spans="1:14" ht="14.25" customHeight="1" x14ac:dyDescent="0.35">
      <c r="A145" s="7">
        <v>119</v>
      </c>
      <c r="B145" s="98">
        <f t="shared" si="0"/>
        <v>286.91000000000003</v>
      </c>
      <c r="C145" s="98">
        <f t="shared" si="1"/>
        <v>176.61</v>
      </c>
      <c r="D145" s="98">
        <f t="shared" si="2"/>
        <v>110.30000000000001</v>
      </c>
      <c r="E145" s="98">
        <f t="shared" si="3"/>
        <v>44507.379999999976</v>
      </c>
      <c r="J145" s="7">
        <v>119</v>
      </c>
      <c r="K145" s="98">
        <f t="shared" si="10"/>
        <v>284.2</v>
      </c>
      <c r="L145" s="98">
        <f t="shared" si="11"/>
        <v>213.66</v>
      </c>
      <c r="M145" s="98">
        <f t="shared" si="6"/>
        <v>70.539999999999992</v>
      </c>
      <c r="N145" s="98">
        <f t="shared" si="7"/>
        <v>46125.909999999982</v>
      </c>
    </row>
    <row r="146" spans="1:14" ht="14.25" customHeight="1" x14ac:dyDescent="0.35">
      <c r="A146" s="7">
        <v>120</v>
      </c>
      <c r="B146" s="98">
        <f t="shared" si="0"/>
        <v>286.91000000000003</v>
      </c>
      <c r="C146" s="98">
        <f t="shared" si="1"/>
        <v>176.18</v>
      </c>
      <c r="D146" s="98">
        <f t="shared" si="2"/>
        <v>110.73000000000002</v>
      </c>
      <c r="E146" s="98">
        <f t="shared" si="3"/>
        <v>44396.649999999972</v>
      </c>
      <c r="J146" s="7">
        <v>120</v>
      </c>
      <c r="K146" s="98">
        <f t="shared" si="10"/>
        <v>284.2</v>
      </c>
      <c r="L146" s="98">
        <f t="shared" si="11"/>
        <v>213.33</v>
      </c>
      <c r="M146" s="98">
        <f t="shared" si="6"/>
        <v>70.869999999999976</v>
      </c>
      <c r="N146" s="98">
        <f t="shared" si="7"/>
        <v>46055.039999999979</v>
      </c>
    </row>
    <row r="147" spans="1:14" ht="14.25" customHeight="1" x14ac:dyDescent="0.35">
      <c r="A147" s="7">
        <v>121</v>
      </c>
      <c r="B147" s="98">
        <f t="shared" si="0"/>
        <v>286.91000000000003</v>
      </c>
      <c r="C147" s="98">
        <f t="shared" si="1"/>
        <v>175.74</v>
      </c>
      <c r="D147" s="98">
        <f t="shared" si="2"/>
        <v>111.17000000000002</v>
      </c>
      <c r="E147" s="98">
        <f t="shared" si="3"/>
        <v>44285.479999999974</v>
      </c>
      <c r="J147" s="7">
        <v>121</v>
      </c>
      <c r="K147" s="98">
        <f t="shared" si="10"/>
        <v>284.2</v>
      </c>
      <c r="L147" s="98">
        <f t="shared" si="11"/>
        <v>213</v>
      </c>
      <c r="M147" s="98">
        <f t="shared" si="6"/>
        <v>71.199999999999989</v>
      </c>
      <c r="N147" s="98">
        <f t="shared" si="7"/>
        <v>45983.839999999982</v>
      </c>
    </row>
    <row r="148" spans="1:14" ht="14.25" customHeight="1" x14ac:dyDescent="0.35">
      <c r="A148" s="7">
        <v>122</v>
      </c>
      <c r="B148" s="98">
        <f t="shared" si="0"/>
        <v>286.91000000000003</v>
      </c>
      <c r="C148" s="98">
        <f t="shared" si="1"/>
        <v>175.3</v>
      </c>
      <c r="D148" s="98">
        <f t="shared" si="2"/>
        <v>111.61000000000001</v>
      </c>
      <c r="E148" s="98">
        <f t="shared" si="3"/>
        <v>44173.869999999974</v>
      </c>
      <c r="J148" s="7">
        <v>122</v>
      </c>
      <c r="K148" s="98">
        <f t="shared" si="10"/>
        <v>284.2</v>
      </c>
      <c r="L148" s="98">
        <f t="shared" si="11"/>
        <v>212.68</v>
      </c>
      <c r="M148" s="98">
        <f t="shared" si="6"/>
        <v>71.519999999999982</v>
      </c>
      <c r="N148" s="98">
        <f t="shared" si="7"/>
        <v>45912.319999999985</v>
      </c>
    </row>
    <row r="149" spans="1:14" ht="14.25" customHeight="1" x14ac:dyDescent="0.35">
      <c r="A149" s="7">
        <v>123</v>
      </c>
      <c r="B149" s="98">
        <f t="shared" si="0"/>
        <v>286.91000000000003</v>
      </c>
      <c r="C149" s="98">
        <f t="shared" si="1"/>
        <v>174.85</v>
      </c>
      <c r="D149" s="98">
        <f t="shared" si="2"/>
        <v>112.06000000000003</v>
      </c>
      <c r="E149" s="98">
        <f t="shared" si="3"/>
        <v>44061.809999999976</v>
      </c>
      <c r="J149" s="7">
        <v>123</v>
      </c>
      <c r="K149" s="98">
        <f t="shared" si="10"/>
        <v>284.2</v>
      </c>
      <c r="L149" s="98">
        <f t="shared" si="11"/>
        <v>212.34</v>
      </c>
      <c r="M149" s="98">
        <f t="shared" si="6"/>
        <v>71.859999999999985</v>
      </c>
      <c r="N149" s="98">
        <f t="shared" si="7"/>
        <v>45840.459999999985</v>
      </c>
    </row>
    <row r="150" spans="1:14" ht="14.25" customHeight="1" x14ac:dyDescent="0.35">
      <c r="A150" s="7">
        <v>124</v>
      </c>
      <c r="B150" s="98">
        <f t="shared" si="0"/>
        <v>286.91000000000003</v>
      </c>
      <c r="C150" s="98">
        <f t="shared" si="1"/>
        <v>174.41</v>
      </c>
      <c r="D150" s="98">
        <f t="shared" si="2"/>
        <v>112.50000000000003</v>
      </c>
      <c r="E150" s="98">
        <f t="shared" si="3"/>
        <v>43949.309999999976</v>
      </c>
      <c r="J150" s="7">
        <v>124</v>
      </c>
      <c r="K150" s="98">
        <f t="shared" si="10"/>
        <v>284.2</v>
      </c>
      <c r="L150" s="98">
        <f t="shared" si="11"/>
        <v>212.01</v>
      </c>
      <c r="M150" s="98">
        <f t="shared" si="6"/>
        <v>72.19</v>
      </c>
      <c r="N150" s="98">
        <f t="shared" si="7"/>
        <v>45768.269999999982</v>
      </c>
    </row>
    <row r="151" spans="1:14" ht="14.25" customHeight="1" x14ac:dyDescent="0.35">
      <c r="A151" s="7">
        <v>125</v>
      </c>
      <c r="B151" s="98">
        <f t="shared" si="0"/>
        <v>286.91000000000003</v>
      </c>
      <c r="C151" s="98">
        <f t="shared" si="1"/>
        <v>173.97</v>
      </c>
      <c r="D151" s="98">
        <f t="shared" si="2"/>
        <v>112.94000000000003</v>
      </c>
      <c r="E151" s="98">
        <f t="shared" si="3"/>
        <v>43836.369999999974</v>
      </c>
      <c r="J151" s="7">
        <v>125</v>
      </c>
      <c r="K151" s="98">
        <f t="shared" si="10"/>
        <v>284.2</v>
      </c>
      <c r="L151" s="98">
        <f t="shared" si="11"/>
        <v>211.68</v>
      </c>
      <c r="M151" s="98">
        <f t="shared" si="6"/>
        <v>72.519999999999982</v>
      </c>
      <c r="N151" s="98">
        <f t="shared" si="7"/>
        <v>45695.749999999985</v>
      </c>
    </row>
    <row r="152" spans="1:14" ht="14.25" customHeight="1" x14ac:dyDescent="0.35">
      <c r="A152" s="7">
        <v>126</v>
      </c>
      <c r="B152" s="98">
        <f t="shared" si="0"/>
        <v>286.91000000000003</v>
      </c>
      <c r="C152" s="98">
        <f t="shared" si="1"/>
        <v>173.52</v>
      </c>
      <c r="D152" s="98">
        <f t="shared" si="2"/>
        <v>113.39000000000001</v>
      </c>
      <c r="E152" s="98">
        <f t="shared" si="3"/>
        <v>43722.979999999974</v>
      </c>
      <c r="J152" s="7">
        <v>126</v>
      </c>
      <c r="K152" s="98">
        <f t="shared" si="10"/>
        <v>284.2</v>
      </c>
      <c r="L152" s="98">
        <f t="shared" si="11"/>
        <v>211.34</v>
      </c>
      <c r="M152" s="98">
        <f t="shared" si="6"/>
        <v>72.859999999999985</v>
      </c>
      <c r="N152" s="98">
        <f t="shared" si="7"/>
        <v>45622.889999999985</v>
      </c>
    </row>
    <row r="153" spans="1:14" ht="14.25" customHeight="1" x14ac:dyDescent="0.35">
      <c r="A153" s="7">
        <v>127</v>
      </c>
      <c r="B153" s="98">
        <f t="shared" si="0"/>
        <v>286.91000000000003</v>
      </c>
      <c r="C153" s="98">
        <f t="shared" si="1"/>
        <v>173.07</v>
      </c>
      <c r="D153" s="98">
        <f t="shared" si="2"/>
        <v>113.84000000000003</v>
      </c>
      <c r="E153" s="98">
        <f t="shared" si="3"/>
        <v>43609.139999999978</v>
      </c>
      <c r="J153" s="7">
        <v>127</v>
      </c>
      <c r="K153" s="98">
        <f t="shared" si="10"/>
        <v>284.2</v>
      </c>
      <c r="L153" s="98">
        <f t="shared" si="11"/>
        <v>211.01</v>
      </c>
      <c r="M153" s="98">
        <f t="shared" si="6"/>
        <v>73.19</v>
      </c>
      <c r="N153" s="98">
        <f t="shared" si="7"/>
        <v>45549.699999999983</v>
      </c>
    </row>
    <row r="154" spans="1:14" ht="14.25" customHeight="1" x14ac:dyDescent="0.35">
      <c r="A154" s="7">
        <v>128</v>
      </c>
      <c r="B154" s="98">
        <f t="shared" si="0"/>
        <v>286.91000000000003</v>
      </c>
      <c r="C154" s="98">
        <f t="shared" si="1"/>
        <v>172.62</v>
      </c>
      <c r="D154" s="98">
        <f t="shared" si="2"/>
        <v>114.29000000000002</v>
      </c>
      <c r="E154" s="98">
        <f t="shared" si="3"/>
        <v>43494.849999999977</v>
      </c>
      <c r="J154" s="7">
        <v>128</v>
      </c>
      <c r="K154" s="98">
        <f t="shared" si="10"/>
        <v>284.2</v>
      </c>
      <c r="L154" s="98">
        <f t="shared" si="11"/>
        <v>210.67</v>
      </c>
      <c r="M154" s="98">
        <f t="shared" si="6"/>
        <v>73.53</v>
      </c>
      <c r="N154" s="98">
        <f t="shared" si="7"/>
        <v>45476.169999999984</v>
      </c>
    </row>
    <row r="155" spans="1:14" ht="14.25" customHeight="1" x14ac:dyDescent="0.35">
      <c r="A155" s="7">
        <v>129</v>
      </c>
      <c r="B155" s="98">
        <f t="shared" si="0"/>
        <v>286.91000000000003</v>
      </c>
      <c r="C155" s="98">
        <f t="shared" si="1"/>
        <v>172.17</v>
      </c>
      <c r="D155" s="98">
        <f t="shared" si="2"/>
        <v>114.74000000000004</v>
      </c>
      <c r="E155" s="98">
        <f t="shared" si="3"/>
        <v>43380.109999999979</v>
      </c>
      <c r="J155" s="7">
        <v>129</v>
      </c>
      <c r="K155" s="98">
        <f t="shared" si="10"/>
        <v>284.2</v>
      </c>
      <c r="L155" s="98">
        <f t="shared" si="11"/>
        <v>210.33</v>
      </c>
      <c r="M155" s="98">
        <f t="shared" si="6"/>
        <v>73.869999999999976</v>
      </c>
      <c r="N155" s="98">
        <f t="shared" si="7"/>
        <v>45402.299999999981</v>
      </c>
    </row>
    <row r="156" spans="1:14" ht="14.25" customHeight="1" x14ac:dyDescent="0.35">
      <c r="A156" s="7">
        <v>130</v>
      </c>
      <c r="B156" s="98">
        <f t="shared" si="0"/>
        <v>286.91000000000003</v>
      </c>
      <c r="C156" s="98">
        <f t="shared" si="1"/>
        <v>171.71</v>
      </c>
      <c r="D156" s="98">
        <f t="shared" si="2"/>
        <v>115.20000000000002</v>
      </c>
      <c r="E156" s="98">
        <f t="shared" si="3"/>
        <v>43264.909999999982</v>
      </c>
      <c r="J156" s="7">
        <v>130</v>
      </c>
      <c r="K156" s="98">
        <f t="shared" si="10"/>
        <v>284.2</v>
      </c>
      <c r="L156" s="98">
        <f t="shared" si="11"/>
        <v>209.99</v>
      </c>
      <c r="M156" s="98">
        <f t="shared" si="6"/>
        <v>74.20999999999998</v>
      </c>
      <c r="N156" s="98">
        <f t="shared" si="7"/>
        <v>45328.089999999982</v>
      </c>
    </row>
    <row r="157" spans="1:14" ht="14.25" customHeight="1" x14ac:dyDescent="0.35">
      <c r="A157" s="7">
        <v>131</v>
      </c>
      <c r="B157" s="98">
        <f t="shared" si="0"/>
        <v>286.91000000000003</v>
      </c>
      <c r="C157" s="98">
        <f t="shared" si="1"/>
        <v>171.26</v>
      </c>
      <c r="D157" s="98">
        <f t="shared" si="2"/>
        <v>115.65000000000003</v>
      </c>
      <c r="E157" s="98">
        <f t="shared" si="3"/>
        <v>43149.25999999998</v>
      </c>
      <c r="J157" s="7">
        <v>131</v>
      </c>
      <c r="K157" s="98">
        <f t="shared" si="10"/>
        <v>284.2</v>
      </c>
      <c r="L157" s="98">
        <f t="shared" si="11"/>
        <v>209.64</v>
      </c>
      <c r="M157" s="98">
        <f t="shared" si="6"/>
        <v>74.56</v>
      </c>
      <c r="N157" s="98">
        <f t="shared" si="7"/>
        <v>45253.529999999984</v>
      </c>
    </row>
    <row r="158" spans="1:14" ht="14.25" customHeight="1" x14ac:dyDescent="0.35">
      <c r="A158" s="7">
        <v>132</v>
      </c>
      <c r="B158" s="98">
        <f t="shared" si="0"/>
        <v>286.91000000000003</v>
      </c>
      <c r="C158" s="98">
        <f t="shared" si="1"/>
        <v>170.8</v>
      </c>
      <c r="D158" s="98">
        <f t="shared" si="2"/>
        <v>116.11000000000001</v>
      </c>
      <c r="E158" s="98">
        <f t="shared" si="3"/>
        <v>43033.14999999998</v>
      </c>
      <c r="J158" s="7">
        <v>132</v>
      </c>
      <c r="K158" s="98">
        <f t="shared" si="10"/>
        <v>284.2</v>
      </c>
      <c r="L158" s="98">
        <f t="shared" si="11"/>
        <v>209.3</v>
      </c>
      <c r="M158" s="98">
        <f t="shared" si="6"/>
        <v>74.899999999999977</v>
      </c>
      <c r="N158" s="98">
        <f t="shared" si="7"/>
        <v>45178.629999999983</v>
      </c>
    </row>
    <row r="159" spans="1:14" ht="14.25" customHeight="1" x14ac:dyDescent="0.35">
      <c r="A159" s="7">
        <v>133</v>
      </c>
      <c r="B159" s="98">
        <f t="shared" si="0"/>
        <v>286.91000000000003</v>
      </c>
      <c r="C159" s="98">
        <f t="shared" si="1"/>
        <v>170.34</v>
      </c>
      <c r="D159" s="98">
        <f t="shared" si="2"/>
        <v>116.57000000000002</v>
      </c>
      <c r="E159" s="98">
        <f t="shared" si="3"/>
        <v>42916.57999999998</v>
      </c>
      <c r="J159" s="7">
        <v>133</v>
      </c>
      <c r="K159" s="98">
        <f t="shared" si="10"/>
        <v>284.2</v>
      </c>
      <c r="L159" s="98">
        <f t="shared" si="11"/>
        <v>208.95</v>
      </c>
      <c r="M159" s="98">
        <f t="shared" si="6"/>
        <v>75.25</v>
      </c>
      <c r="N159" s="98">
        <f t="shared" si="7"/>
        <v>45103.379999999983</v>
      </c>
    </row>
    <row r="160" spans="1:14" ht="14.25" customHeight="1" x14ac:dyDescent="0.35">
      <c r="A160" s="7">
        <v>134</v>
      </c>
      <c r="B160" s="98">
        <f t="shared" si="0"/>
        <v>286.91000000000003</v>
      </c>
      <c r="C160" s="98">
        <f t="shared" si="1"/>
        <v>169.88</v>
      </c>
      <c r="D160" s="98">
        <f t="shared" si="2"/>
        <v>117.03000000000003</v>
      </c>
      <c r="E160" s="98">
        <f t="shared" si="3"/>
        <v>42799.549999999981</v>
      </c>
      <c r="J160" s="7">
        <v>134</v>
      </c>
      <c r="K160" s="98">
        <f t="shared" si="10"/>
        <v>284.2</v>
      </c>
      <c r="L160" s="98">
        <f t="shared" si="11"/>
        <v>208.6</v>
      </c>
      <c r="M160" s="98">
        <f t="shared" si="6"/>
        <v>75.599999999999994</v>
      </c>
      <c r="N160" s="98">
        <f t="shared" si="7"/>
        <v>45027.779999999984</v>
      </c>
    </row>
    <row r="161" spans="1:14" ht="14.25" customHeight="1" x14ac:dyDescent="0.35">
      <c r="A161" s="7">
        <v>135</v>
      </c>
      <c r="B161" s="98">
        <f t="shared" si="0"/>
        <v>286.91000000000003</v>
      </c>
      <c r="C161" s="98">
        <f t="shared" si="1"/>
        <v>169.41</v>
      </c>
      <c r="D161" s="98">
        <f t="shared" si="2"/>
        <v>117.50000000000003</v>
      </c>
      <c r="E161" s="98">
        <f t="shared" si="3"/>
        <v>42682.049999999981</v>
      </c>
      <c r="J161" s="7">
        <v>135</v>
      </c>
      <c r="K161" s="98">
        <f t="shared" si="10"/>
        <v>284.2</v>
      </c>
      <c r="L161" s="98">
        <f t="shared" si="11"/>
        <v>208.25</v>
      </c>
      <c r="M161" s="98">
        <f t="shared" si="6"/>
        <v>75.949999999999989</v>
      </c>
      <c r="N161" s="98">
        <f t="shared" si="7"/>
        <v>44951.829999999987</v>
      </c>
    </row>
    <row r="162" spans="1:14" ht="14.25" customHeight="1" x14ac:dyDescent="0.35">
      <c r="A162" s="7">
        <v>136</v>
      </c>
      <c r="B162" s="98">
        <f t="shared" si="0"/>
        <v>286.91000000000003</v>
      </c>
      <c r="C162" s="98">
        <f t="shared" si="1"/>
        <v>168.95</v>
      </c>
      <c r="D162" s="98">
        <f t="shared" si="2"/>
        <v>117.96000000000004</v>
      </c>
      <c r="E162" s="98">
        <f t="shared" si="3"/>
        <v>42564.089999999982</v>
      </c>
      <c r="J162" s="7">
        <v>136</v>
      </c>
      <c r="K162" s="98">
        <f t="shared" si="10"/>
        <v>284.2</v>
      </c>
      <c r="L162" s="98">
        <f t="shared" si="11"/>
        <v>207.9</v>
      </c>
      <c r="M162" s="98">
        <f t="shared" si="6"/>
        <v>76.299999999999983</v>
      </c>
      <c r="N162" s="98">
        <f t="shared" si="7"/>
        <v>44875.529999999984</v>
      </c>
    </row>
    <row r="163" spans="1:14" ht="14.25" customHeight="1" x14ac:dyDescent="0.35">
      <c r="A163" s="7">
        <v>137</v>
      </c>
      <c r="B163" s="98">
        <f t="shared" si="0"/>
        <v>286.91000000000003</v>
      </c>
      <c r="C163" s="98">
        <f t="shared" si="1"/>
        <v>168.48</v>
      </c>
      <c r="D163" s="98">
        <f t="shared" si="2"/>
        <v>118.43000000000004</v>
      </c>
      <c r="E163" s="98">
        <f t="shared" si="3"/>
        <v>42445.659999999982</v>
      </c>
      <c r="J163" s="7">
        <v>137</v>
      </c>
      <c r="K163" s="98">
        <f t="shared" si="10"/>
        <v>284.2</v>
      </c>
      <c r="L163" s="98">
        <f t="shared" si="11"/>
        <v>207.55</v>
      </c>
      <c r="M163" s="98">
        <f t="shared" si="6"/>
        <v>76.649999999999977</v>
      </c>
      <c r="N163" s="98">
        <f t="shared" si="7"/>
        <v>44798.879999999983</v>
      </c>
    </row>
    <row r="164" spans="1:14" ht="14.25" customHeight="1" x14ac:dyDescent="0.35">
      <c r="A164" s="7">
        <v>138</v>
      </c>
      <c r="B164" s="98">
        <f t="shared" si="0"/>
        <v>286.91000000000003</v>
      </c>
      <c r="C164" s="98">
        <f t="shared" si="1"/>
        <v>168.01</v>
      </c>
      <c r="D164" s="98">
        <f t="shared" si="2"/>
        <v>118.90000000000003</v>
      </c>
      <c r="E164" s="98">
        <f t="shared" si="3"/>
        <v>42326.75999999998</v>
      </c>
      <c r="J164" s="7">
        <v>138</v>
      </c>
      <c r="K164" s="98">
        <f t="shared" si="10"/>
        <v>284.2</v>
      </c>
      <c r="L164" s="98">
        <f t="shared" si="11"/>
        <v>207.19</v>
      </c>
      <c r="M164" s="98">
        <f t="shared" si="6"/>
        <v>77.009999999999991</v>
      </c>
      <c r="N164" s="98">
        <f t="shared" si="7"/>
        <v>44721.869999999981</v>
      </c>
    </row>
    <row r="165" spans="1:14" ht="14.25" customHeight="1" x14ac:dyDescent="0.35">
      <c r="A165" s="7">
        <v>139</v>
      </c>
      <c r="B165" s="98">
        <f t="shared" si="0"/>
        <v>286.91000000000003</v>
      </c>
      <c r="C165" s="98">
        <f t="shared" si="1"/>
        <v>167.54</v>
      </c>
      <c r="D165" s="98">
        <f t="shared" si="2"/>
        <v>119.37000000000003</v>
      </c>
      <c r="E165" s="98">
        <f t="shared" si="3"/>
        <v>42207.389999999978</v>
      </c>
      <c r="J165" s="7">
        <v>139</v>
      </c>
      <c r="K165" s="98">
        <f t="shared" si="10"/>
        <v>284.2</v>
      </c>
      <c r="L165" s="98">
        <f t="shared" si="11"/>
        <v>206.84</v>
      </c>
      <c r="M165" s="98">
        <f t="shared" si="6"/>
        <v>77.359999999999985</v>
      </c>
      <c r="N165" s="98">
        <f t="shared" si="7"/>
        <v>44644.50999999998</v>
      </c>
    </row>
    <row r="166" spans="1:14" ht="14.25" customHeight="1" x14ac:dyDescent="0.35">
      <c r="A166" s="7">
        <v>140</v>
      </c>
      <c r="B166" s="98">
        <f t="shared" si="0"/>
        <v>286.91000000000003</v>
      </c>
      <c r="C166" s="98">
        <f t="shared" si="1"/>
        <v>167.07</v>
      </c>
      <c r="D166" s="98">
        <f t="shared" si="2"/>
        <v>119.84000000000003</v>
      </c>
      <c r="E166" s="98">
        <f t="shared" si="3"/>
        <v>42087.549999999981</v>
      </c>
      <c r="J166" s="7">
        <v>140</v>
      </c>
      <c r="K166" s="98">
        <f t="shared" si="10"/>
        <v>284.2</v>
      </c>
      <c r="L166" s="98">
        <f t="shared" si="11"/>
        <v>206.48</v>
      </c>
      <c r="M166" s="98">
        <f t="shared" si="6"/>
        <v>77.72</v>
      </c>
      <c r="N166" s="98">
        <f t="shared" si="7"/>
        <v>44566.789999999979</v>
      </c>
    </row>
    <row r="167" spans="1:14" ht="14.25" customHeight="1" x14ac:dyDescent="0.35">
      <c r="A167" s="7">
        <v>141</v>
      </c>
      <c r="B167" s="98">
        <f t="shared" si="0"/>
        <v>286.91000000000003</v>
      </c>
      <c r="C167" s="98">
        <f t="shared" si="1"/>
        <v>166.6</v>
      </c>
      <c r="D167" s="98">
        <f t="shared" si="2"/>
        <v>120.31000000000003</v>
      </c>
      <c r="E167" s="98">
        <f t="shared" si="3"/>
        <v>41967.239999999983</v>
      </c>
      <c r="J167" s="7">
        <v>141</v>
      </c>
      <c r="K167" s="98">
        <f t="shared" si="10"/>
        <v>284.2</v>
      </c>
      <c r="L167" s="98">
        <f t="shared" si="11"/>
        <v>206.12</v>
      </c>
      <c r="M167" s="98">
        <f t="shared" si="6"/>
        <v>78.079999999999984</v>
      </c>
      <c r="N167" s="98">
        <f t="shared" si="7"/>
        <v>44488.709999999977</v>
      </c>
    </row>
    <row r="168" spans="1:14" ht="14.25" customHeight="1" x14ac:dyDescent="0.35">
      <c r="A168" s="7">
        <v>142</v>
      </c>
      <c r="B168" s="98">
        <f t="shared" si="0"/>
        <v>286.91000000000003</v>
      </c>
      <c r="C168" s="98">
        <f t="shared" si="1"/>
        <v>166.12</v>
      </c>
      <c r="D168" s="98">
        <f t="shared" si="2"/>
        <v>120.79000000000002</v>
      </c>
      <c r="E168" s="98">
        <f t="shared" si="3"/>
        <v>41846.449999999983</v>
      </c>
      <c r="J168" s="7">
        <v>142</v>
      </c>
      <c r="K168" s="98">
        <f t="shared" si="10"/>
        <v>284.2</v>
      </c>
      <c r="L168" s="98">
        <f t="shared" si="11"/>
        <v>205.76</v>
      </c>
      <c r="M168" s="98">
        <f t="shared" si="6"/>
        <v>78.44</v>
      </c>
      <c r="N168" s="98">
        <f t="shared" si="7"/>
        <v>44410.269999999975</v>
      </c>
    </row>
    <row r="169" spans="1:14" ht="14.25" customHeight="1" x14ac:dyDescent="0.35">
      <c r="A169" s="7">
        <v>143</v>
      </c>
      <c r="B169" s="98">
        <f t="shared" si="0"/>
        <v>286.91000000000003</v>
      </c>
      <c r="C169" s="98">
        <f t="shared" si="1"/>
        <v>165.64</v>
      </c>
      <c r="D169" s="98">
        <f t="shared" si="2"/>
        <v>121.27000000000004</v>
      </c>
      <c r="E169" s="98">
        <f t="shared" si="3"/>
        <v>41725.179999999986</v>
      </c>
      <c r="J169" s="7">
        <v>143</v>
      </c>
      <c r="K169" s="98">
        <f t="shared" si="10"/>
        <v>284.2</v>
      </c>
      <c r="L169" s="98">
        <f t="shared" si="11"/>
        <v>205.4</v>
      </c>
      <c r="M169" s="98">
        <f t="shared" si="6"/>
        <v>78.799999999999983</v>
      </c>
      <c r="N169" s="98">
        <f t="shared" si="7"/>
        <v>44331.469999999972</v>
      </c>
    </row>
    <row r="170" spans="1:14" ht="14.25" customHeight="1" x14ac:dyDescent="0.35">
      <c r="A170" s="7">
        <v>144</v>
      </c>
      <c r="B170" s="98">
        <f t="shared" si="0"/>
        <v>286.91000000000003</v>
      </c>
      <c r="C170" s="98">
        <f t="shared" si="1"/>
        <v>165.16</v>
      </c>
      <c r="D170" s="98">
        <f t="shared" si="2"/>
        <v>121.75000000000003</v>
      </c>
      <c r="E170" s="98">
        <f t="shared" si="3"/>
        <v>41603.429999999986</v>
      </c>
      <c r="J170" s="7">
        <v>144</v>
      </c>
      <c r="K170" s="98">
        <f t="shared" si="10"/>
        <v>284.2</v>
      </c>
      <c r="L170" s="98">
        <f t="shared" si="11"/>
        <v>205.03</v>
      </c>
      <c r="M170" s="98">
        <f t="shared" si="6"/>
        <v>79.169999999999987</v>
      </c>
      <c r="N170" s="98">
        <f t="shared" si="7"/>
        <v>44252.299999999974</v>
      </c>
    </row>
    <row r="171" spans="1:14" ht="14.25" customHeight="1" x14ac:dyDescent="0.35">
      <c r="A171" s="7">
        <v>145</v>
      </c>
      <c r="B171" s="98">
        <f t="shared" si="0"/>
        <v>286.91000000000003</v>
      </c>
      <c r="C171" s="98">
        <f t="shared" si="1"/>
        <v>164.68</v>
      </c>
      <c r="D171" s="98">
        <f t="shared" si="2"/>
        <v>122.23000000000002</v>
      </c>
      <c r="E171" s="98">
        <f t="shared" si="3"/>
        <v>41481.199999999983</v>
      </c>
      <c r="J171" s="7">
        <v>145</v>
      </c>
      <c r="K171" s="98">
        <f t="shared" si="10"/>
        <v>284.2</v>
      </c>
      <c r="L171" s="98">
        <f t="shared" si="11"/>
        <v>204.67</v>
      </c>
      <c r="M171" s="98">
        <f t="shared" si="6"/>
        <v>79.53</v>
      </c>
      <c r="N171" s="98">
        <f t="shared" si="7"/>
        <v>44172.769999999975</v>
      </c>
    </row>
    <row r="172" spans="1:14" ht="14.25" customHeight="1" x14ac:dyDescent="0.35">
      <c r="A172" s="7">
        <v>146</v>
      </c>
      <c r="B172" s="98">
        <f t="shared" si="0"/>
        <v>286.91000000000003</v>
      </c>
      <c r="C172" s="98">
        <f t="shared" si="1"/>
        <v>164.2</v>
      </c>
      <c r="D172" s="98">
        <f t="shared" si="2"/>
        <v>122.71000000000004</v>
      </c>
      <c r="E172" s="98">
        <f t="shared" si="3"/>
        <v>41358.489999999983</v>
      </c>
      <c r="J172" s="7">
        <v>146</v>
      </c>
      <c r="K172" s="98">
        <f t="shared" si="10"/>
        <v>284.2</v>
      </c>
      <c r="L172" s="98">
        <f t="shared" si="11"/>
        <v>204.3</v>
      </c>
      <c r="M172" s="98">
        <f t="shared" si="6"/>
        <v>79.899999999999977</v>
      </c>
      <c r="N172" s="98">
        <f t="shared" si="7"/>
        <v>44092.869999999974</v>
      </c>
    </row>
    <row r="173" spans="1:14" ht="14.25" customHeight="1" x14ac:dyDescent="0.35">
      <c r="A173" s="7">
        <v>147</v>
      </c>
      <c r="B173" s="98">
        <f t="shared" si="0"/>
        <v>286.91000000000003</v>
      </c>
      <c r="C173" s="98">
        <f t="shared" si="1"/>
        <v>163.71</v>
      </c>
      <c r="D173" s="98">
        <f t="shared" si="2"/>
        <v>123.20000000000002</v>
      </c>
      <c r="E173" s="98">
        <f t="shared" si="3"/>
        <v>41235.289999999986</v>
      </c>
      <c r="J173" s="7">
        <v>147</v>
      </c>
      <c r="K173" s="98">
        <f t="shared" si="10"/>
        <v>284.2</v>
      </c>
      <c r="L173" s="98">
        <f t="shared" si="11"/>
        <v>203.93</v>
      </c>
      <c r="M173" s="98">
        <f t="shared" si="6"/>
        <v>80.269999999999982</v>
      </c>
      <c r="N173" s="98">
        <f t="shared" si="7"/>
        <v>44012.599999999977</v>
      </c>
    </row>
    <row r="174" spans="1:14" ht="14.25" customHeight="1" x14ac:dyDescent="0.35">
      <c r="A174" s="7">
        <v>148</v>
      </c>
      <c r="B174" s="98">
        <f t="shared" si="0"/>
        <v>286.91000000000003</v>
      </c>
      <c r="C174" s="98">
        <f t="shared" si="1"/>
        <v>163.22</v>
      </c>
      <c r="D174" s="98">
        <f t="shared" si="2"/>
        <v>123.69000000000003</v>
      </c>
      <c r="E174" s="98">
        <f t="shared" si="3"/>
        <v>41111.599999999984</v>
      </c>
      <c r="J174" s="7">
        <v>148</v>
      </c>
      <c r="K174" s="98">
        <f t="shared" si="10"/>
        <v>284.2</v>
      </c>
      <c r="L174" s="98">
        <f t="shared" si="11"/>
        <v>203.56</v>
      </c>
      <c r="M174" s="98">
        <f t="shared" si="6"/>
        <v>80.639999999999986</v>
      </c>
      <c r="N174" s="98">
        <f t="shared" si="7"/>
        <v>43931.959999999977</v>
      </c>
    </row>
    <row r="175" spans="1:14" ht="14.25" customHeight="1" x14ac:dyDescent="0.35">
      <c r="A175" s="7">
        <v>149</v>
      </c>
      <c r="B175" s="98">
        <f t="shared" si="0"/>
        <v>286.91000000000003</v>
      </c>
      <c r="C175" s="98">
        <f t="shared" si="1"/>
        <v>162.72999999999999</v>
      </c>
      <c r="D175" s="98">
        <f t="shared" si="2"/>
        <v>124.18000000000004</v>
      </c>
      <c r="E175" s="98">
        <f t="shared" si="3"/>
        <v>40987.419999999984</v>
      </c>
      <c r="J175" s="7">
        <v>149</v>
      </c>
      <c r="K175" s="98">
        <f t="shared" si="10"/>
        <v>284.2</v>
      </c>
      <c r="L175" s="98">
        <f t="shared" si="11"/>
        <v>203.19</v>
      </c>
      <c r="M175" s="98">
        <f t="shared" si="6"/>
        <v>81.009999999999991</v>
      </c>
      <c r="N175" s="98">
        <f t="shared" si="7"/>
        <v>43850.949999999975</v>
      </c>
    </row>
    <row r="176" spans="1:14" ht="14.25" customHeight="1" x14ac:dyDescent="0.35">
      <c r="A176" s="7">
        <v>150</v>
      </c>
      <c r="B176" s="98">
        <f t="shared" si="0"/>
        <v>286.91000000000003</v>
      </c>
      <c r="C176" s="98">
        <f t="shared" si="1"/>
        <v>162.24</v>
      </c>
      <c r="D176" s="98">
        <f t="shared" si="2"/>
        <v>124.67000000000002</v>
      </c>
      <c r="E176" s="98">
        <f t="shared" si="3"/>
        <v>40862.749999999985</v>
      </c>
      <c r="J176" s="7">
        <v>150</v>
      </c>
      <c r="K176" s="98">
        <f t="shared" si="10"/>
        <v>284.2</v>
      </c>
      <c r="L176" s="98">
        <f t="shared" si="11"/>
        <v>202.81</v>
      </c>
      <c r="M176" s="98">
        <f t="shared" si="6"/>
        <v>81.389999999999986</v>
      </c>
      <c r="N176" s="98">
        <f t="shared" si="7"/>
        <v>43769.559999999976</v>
      </c>
    </row>
    <row r="177" spans="1:14" ht="14.25" customHeight="1" x14ac:dyDescent="0.35">
      <c r="A177" s="7">
        <v>151</v>
      </c>
      <c r="B177" s="98">
        <f t="shared" si="0"/>
        <v>286.91000000000003</v>
      </c>
      <c r="C177" s="98">
        <f t="shared" si="1"/>
        <v>161.75</v>
      </c>
      <c r="D177" s="98">
        <f t="shared" si="2"/>
        <v>125.16000000000003</v>
      </c>
      <c r="E177" s="98">
        <f t="shared" si="3"/>
        <v>40737.589999999982</v>
      </c>
      <c r="J177" s="7">
        <v>151</v>
      </c>
      <c r="K177" s="98">
        <f t="shared" si="10"/>
        <v>284.2</v>
      </c>
      <c r="L177" s="98">
        <f t="shared" si="11"/>
        <v>202.43</v>
      </c>
      <c r="M177" s="98">
        <f t="shared" si="6"/>
        <v>81.769999999999982</v>
      </c>
      <c r="N177" s="98">
        <f t="shared" si="7"/>
        <v>43687.789999999979</v>
      </c>
    </row>
    <row r="178" spans="1:14" ht="14.25" customHeight="1" x14ac:dyDescent="0.35">
      <c r="A178" s="7">
        <v>152</v>
      </c>
      <c r="B178" s="98">
        <f t="shared" si="0"/>
        <v>286.91000000000003</v>
      </c>
      <c r="C178" s="98">
        <f t="shared" si="1"/>
        <v>161.25</v>
      </c>
      <c r="D178" s="98">
        <f t="shared" si="2"/>
        <v>125.66000000000003</v>
      </c>
      <c r="E178" s="98">
        <f t="shared" si="3"/>
        <v>40611.929999999978</v>
      </c>
      <c r="J178" s="7">
        <v>152</v>
      </c>
      <c r="K178" s="98">
        <f t="shared" si="10"/>
        <v>284.2</v>
      </c>
      <c r="L178" s="98">
        <f t="shared" si="11"/>
        <v>202.06</v>
      </c>
      <c r="M178" s="98">
        <f t="shared" si="6"/>
        <v>82.139999999999986</v>
      </c>
      <c r="N178" s="98">
        <f t="shared" si="7"/>
        <v>43605.64999999998</v>
      </c>
    </row>
    <row r="179" spans="1:14" ht="14.25" customHeight="1" x14ac:dyDescent="0.35">
      <c r="A179" s="7">
        <v>153</v>
      </c>
      <c r="B179" s="98">
        <f t="shared" si="0"/>
        <v>286.91000000000003</v>
      </c>
      <c r="C179" s="98">
        <f t="shared" si="1"/>
        <v>160.76</v>
      </c>
      <c r="D179" s="98">
        <f t="shared" si="2"/>
        <v>126.15000000000003</v>
      </c>
      <c r="E179" s="98">
        <f t="shared" si="3"/>
        <v>40485.779999999977</v>
      </c>
      <c r="J179" s="7">
        <v>153</v>
      </c>
      <c r="K179" s="98">
        <f t="shared" si="10"/>
        <v>284.2</v>
      </c>
      <c r="L179" s="98">
        <f t="shared" si="11"/>
        <v>201.68</v>
      </c>
      <c r="M179" s="98">
        <f t="shared" si="6"/>
        <v>82.519999999999982</v>
      </c>
      <c r="N179" s="98">
        <f t="shared" si="7"/>
        <v>43523.129999999983</v>
      </c>
    </row>
    <row r="180" spans="1:14" ht="14.25" customHeight="1" x14ac:dyDescent="0.35">
      <c r="A180" s="7">
        <v>154</v>
      </c>
      <c r="B180" s="98">
        <f t="shared" si="0"/>
        <v>286.91000000000003</v>
      </c>
      <c r="C180" s="98">
        <f t="shared" si="1"/>
        <v>160.26</v>
      </c>
      <c r="D180" s="98">
        <f t="shared" si="2"/>
        <v>126.65000000000003</v>
      </c>
      <c r="E180" s="98">
        <f t="shared" si="3"/>
        <v>40359.129999999976</v>
      </c>
      <c r="J180" s="7">
        <v>154</v>
      </c>
      <c r="K180" s="98">
        <f t="shared" si="10"/>
        <v>284.2</v>
      </c>
      <c r="L180" s="98">
        <f t="shared" si="11"/>
        <v>201.29</v>
      </c>
      <c r="M180" s="98">
        <f t="shared" si="6"/>
        <v>82.91</v>
      </c>
      <c r="N180" s="98">
        <f t="shared" si="7"/>
        <v>43440.219999999979</v>
      </c>
    </row>
    <row r="181" spans="1:14" ht="14.25" customHeight="1" x14ac:dyDescent="0.35">
      <c r="A181" s="7">
        <v>155</v>
      </c>
      <c r="B181" s="98">
        <f t="shared" si="0"/>
        <v>286.91000000000003</v>
      </c>
      <c r="C181" s="98">
        <f t="shared" si="1"/>
        <v>159.75</v>
      </c>
      <c r="D181" s="98">
        <f t="shared" si="2"/>
        <v>127.16000000000003</v>
      </c>
      <c r="E181" s="98">
        <f t="shared" si="3"/>
        <v>40231.969999999972</v>
      </c>
      <c r="J181" s="7">
        <v>155</v>
      </c>
      <c r="K181" s="98">
        <f t="shared" si="10"/>
        <v>284.2</v>
      </c>
      <c r="L181" s="98">
        <f t="shared" si="11"/>
        <v>200.91</v>
      </c>
      <c r="M181" s="98">
        <f t="shared" si="6"/>
        <v>83.289999999999992</v>
      </c>
      <c r="N181" s="98">
        <f t="shared" si="7"/>
        <v>43356.929999999978</v>
      </c>
    </row>
    <row r="182" spans="1:14" ht="14.25" customHeight="1" x14ac:dyDescent="0.35">
      <c r="A182" s="7">
        <v>156</v>
      </c>
      <c r="B182" s="98">
        <f t="shared" si="0"/>
        <v>286.91000000000003</v>
      </c>
      <c r="C182" s="98">
        <f t="shared" si="1"/>
        <v>159.25</v>
      </c>
      <c r="D182" s="98">
        <f t="shared" si="2"/>
        <v>127.66000000000003</v>
      </c>
      <c r="E182" s="98">
        <f t="shared" si="3"/>
        <v>40104.309999999969</v>
      </c>
      <c r="J182" s="7">
        <v>156</v>
      </c>
      <c r="K182" s="98">
        <f t="shared" si="10"/>
        <v>284.2</v>
      </c>
      <c r="L182" s="98">
        <f t="shared" si="11"/>
        <v>200.53</v>
      </c>
      <c r="M182" s="98">
        <f t="shared" si="6"/>
        <v>83.669999999999987</v>
      </c>
      <c r="N182" s="98">
        <f t="shared" si="7"/>
        <v>43273.25999999998</v>
      </c>
    </row>
    <row r="183" spans="1:14" ht="14.25" customHeight="1" x14ac:dyDescent="0.35">
      <c r="A183" s="7">
        <v>157</v>
      </c>
      <c r="B183" s="98">
        <f t="shared" si="0"/>
        <v>286.91000000000003</v>
      </c>
      <c r="C183" s="98">
        <f t="shared" si="1"/>
        <v>158.75</v>
      </c>
      <c r="D183" s="98">
        <f t="shared" si="2"/>
        <v>128.16000000000003</v>
      </c>
      <c r="E183" s="98">
        <f t="shared" si="3"/>
        <v>39976.149999999965</v>
      </c>
      <c r="J183" s="7">
        <v>157</v>
      </c>
      <c r="K183" s="98">
        <f t="shared" si="10"/>
        <v>284.2</v>
      </c>
      <c r="L183" s="98">
        <f t="shared" si="11"/>
        <v>200.14</v>
      </c>
      <c r="M183" s="98">
        <f t="shared" si="6"/>
        <v>84.06</v>
      </c>
      <c r="N183" s="98">
        <f t="shared" si="7"/>
        <v>43189.199999999983</v>
      </c>
    </row>
    <row r="184" spans="1:14" ht="14.25" customHeight="1" x14ac:dyDescent="0.35">
      <c r="A184" s="7">
        <v>158</v>
      </c>
      <c r="B184" s="98">
        <f t="shared" si="0"/>
        <v>286.91000000000003</v>
      </c>
      <c r="C184" s="98">
        <f t="shared" si="1"/>
        <v>158.24</v>
      </c>
      <c r="D184" s="98">
        <f t="shared" si="2"/>
        <v>128.67000000000002</v>
      </c>
      <c r="E184" s="98">
        <f t="shared" si="3"/>
        <v>39847.479999999967</v>
      </c>
      <c r="J184" s="7">
        <v>158</v>
      </c>
      <c r="K184" s="98">
        <f t="shared" si="10"/>
        <v>284.2</v>
      </c>
      <c r="L184" s="98">
        <f t="shared" si="11"/>
        <v>199.75</v>
      </c>
      <c r="M184" s="98">
        <f t="shared" si="6"/>
        <v>84.449999999999989</v>
      </c>
      <c r="N184" s="98">
        <f t="shared" si="7"/>
        <v>43104.749999999985</v>
      </c>
    </row>
    <row r="185" spans="1:14" ht="14.25" customHeight="1" x14ac:dyDescent="0.35">
      <c r="A185" s="7">
        <v>159</v>
      </c>
      <c r="B185" s="98">
        <f t="shared" si="0"/>
        <v>286.91000000000003</v>
      </c>
      <c r="C185" s="98">
        <f t="shared" si="1"/>
        <v>157.72999999999999</v>
      </c>
      <c r="D185" s="98">
        <f t="shared" si="2"/>
        <v>129.18000000000004</v>
      </c>
      <c r="E185" s="98">
        <f t="shared" si="3"/>
        <v>39718.299999999967</v>
      </c>
      <c r="J185" s="7">
        <v>159</v>
      </c>
      <c r="K185" s="98">
        <f t="shared" si="10"/>
        <v>284.2</v>
      </c>
      <c r="L185" s="98">
        <f t="shared" si="11"/>
        <v>199.36</v>
      </c>
      <c r="M185" s="98">
        <f t="shared" si="6"/>
        <v>84.839999999999975</v>
      </c>
      <c r="N185" s="98">
        <f t="shared" si="7"/>
        <v>43019.909999999989</v>
      </c>
    </row>
    <row r="186" spans="1:14" ht="14.25" customHeight="1" x14ac:dyDescent="0.35">
      <c r="A186" s="7">
        <v>160</v>
      </c>
      <c r="B186" s="98">
        <f t="shared" si="0"/>
        <v>286.91000000000003</v>
      </c>
      <c r="C186" s="98">
        <f t="shared" si="1"/>
        <v>157.22</v>
      </c>
      <c r="D186" s="98">
        <f t="shared" si="2"/>
        <v>129.69000000000003</v>
      </c>
      <c r="E186" s="98">
        <f t="shared" si="3"/>
        <v>39588.609999999964</v>
      </c>
      <c r="J186" s="7">
        <v>160</v>
      </c>
      <c r="K186" s="98">
        <f t="shared" si="10"/>
        <v>284.2</v>
      </c>
      <c r="L186" s="98">
        <f t="shared" si="11"/>
        <v>198.97</v>
      </c>
      <c r="M186" s="98">
        <f t="shared" si="6"/>
        <v>85.22999999999999</v>
      </c>
      <c r="N186" s="98">
        <f t="shared" si="7"/>
        <v>42934.679999999986</v>
      </c>
    </row>
    <row r="187" spans="1:14" ht="14.25" customHeight="1" x14ac:dyDescent="0.35">
      <c r="A187" s="7">
        <v>161</v>
      </c>
      <c r="B187" s="98">
        <f t="shared" si="0"/>
        <v>286.91000000000003</v>
      </c>
      <c r="C187" s="98">
        <f t="shared" si="1"/>
        <v>156.69999999999999</v>
      </c>
      <c r="D187" s="98">
        <f t="shared" si="2"/>
        <v>130.21000000000004</v>
      </c>
      <c r="E187" s="98">
        <f t="shared" si="3"/>
        <v>39458.399999999965</v>
      </c>
      <c r="J187" s="7">
        <v>161</v>
      </c>
      <c r="K187" s="98">
        <f t="shared" si="10"/>
        <v>284.2</v>
      </c>
      <c r="L187" s="98">
        <f t="shared" si="11"/>
        <v>198.57</v>
      </c>
      <c r="M187" s="98">
        <f t="shared" si="6"/>
        <v>85.63</v>
      </c>
      <c r="N187" s="98">
        <f t="shared" si="7"/>
        <v>42849.049999999988</v>
      </c>
    </row>
    <row r="188" spans="1:14" ht="14.25" customHeight="1" x14ac:dyDescent="0.35">
      <c r="A188" s="7">
        <v>162</v>
      </c>
      <c r="B188" s="98">
        <f t="shared" si="0"/>
        <v>286.91000000000003</v>
      </c>
      <c r="C188" s="98">
        <f t="shared" si="1"/>
        <v>156.19</v>
      </c>
      <c r="D188" s="98">
        <f t="shared" si="2"/>
        <v>130.72000000000003</v>
      </c>
      <c r="E188" s="98">
        <f t="shared" si="3"/>
        <v>39327.679999999964</v>
      </c>
      <c r="J188" s="7">
        <v>162</v>
      </c>
      <c r="K188" s="98">
        <f t="shared" si="10"/>
        <v>284.2</v>
      </c>
      <c r="L188" s="98">
        <f t="shared" si="11"/>
        <v>198.18</v>
      </c>
      <c r="M188" s="98">
        <f t="shared" si="6"/>
        <v>86.019999999999982</v>
      </c>
      <c r="N188" s="98">
        <f t="shared" si="7"/>
        <v>42763.029999999992</v>
      </c>
    </row>
    <row r="189" spans="1:14" ht="14.25" customHeight="1" x14ac:dyDescent="0.35">
      <c r="A189" s="7">
        <v>163</v>
      </c>
      <c r="B189" s="98">
        <f t="shared" si="0"/>
        <v>286.91000000000003</v>
      </c>
      <c r="C189" s="98">
        <f t="shared" si="1"/>
        <v>155.66999999999999</v>
      </c>
      <c r="D189" s="98">
        <f t="shared" si="2"/>
        <v>131.24000000000004</v>
      </c>
      <c r="E189" s="98">
        <f t="shared" si="3"/>
        <v>39196.439999999966</v>
      </c>
      <c r="J189" s="7">
        <v>163</v>
      </c>
      <c r="K189" s="98">
        <f t="shared" si="10"/>
        <v>284.2</v>
      </c>
      <c r="L189" s="98">
        <f t="shared" si="11"/>
        <v>197.78</v>
      </c>
      <c r="M189" s="98">
        <f t="shared" si="6"/>
        <v>86.419999999999987</v>
      </c>
      <c r="N189" s="98">
        <f t="shared" si="7"/>
        <v>42676.609999999993</v>
      </c>
    </row>
    <row r="190" spans="1:14" ht="14.25" customHeight="1" x14ac:dyDescent="0.35">
      <c r="A190" s="7">
        <v>164</v>
      </c>
      <c r="B190" s="98">
        <f t="shared" si="0"/>
        <v>286.91000000000003</v>
      </c>
      <c r="C190" s="98">
        <f t="shared" si="1"/>
        <v>155.15</v>
      </c>
      <c r="D190" s="98">
        <f t="shared" si="2"/>
        <v>131.76000000000002</v>
      </c>
      <c r="E190" s="98">
        <f t="shared" si="3"/>
        <v>39064.679999999964</v>
      </c>
      <c r="J190" s="7">
        <v>164</v>
      </c>
      <c r="K190" s="98">
        <f t="shared" si="10"/>
        <v>284.2</v>
      </c>
      <c r="L190" s="98">
        <f t="shared" si="11"/>
        <v>197.38</v>
      </c>
      <c r="M190" s="98">
        <f t="shared" si="6"/>
        <v>86.82</v>
      </c>
      <c r="N190" s="98">
        <f t="shared" si="7"/>
        <v>42589.789999999994</v>
      </c>
    </row>
    <row r="191" spans="1:14" ht="14.25" customHeight="1" x14ac:dyDescent="0.35">
      <c r="A191" s="7">
        <v>165</v>
      </c>
      <c r="B191" s="98">
        <f t="shared" si="0"/>
        <v>286.91000000000003</v>
      </c>
      <c r="C191" s="98">
        <f t="shared" si="1"/>
        <v>154.63</v>
      </c>
      <c r="D191" s="98">
        <f t="shared" si="2"/>
        <v>132.28000000000003</v>
      </c>
      <c r="E191" s="98">
        <f t="shared" si="3"/>
        <v>38932.399999999965</v>
      </c>
      <c r="J191" s="7">
        <v>165</v>
      </c>
      <c r="K191" s="98">
        <f t="shared" si="10"/>
        <v>284.2</v>
      </c>
      <c r="L191" s="98">
        <f t="shared" si="11"/>
        <v>196.98</v>
      </c>
      <c r="M191" s="98">
        <f t="shared" si="6"/>
        <v>87.22</v>
      </c>
      <c r="N191" s="98">
        <f t="shared" si="7"/>
        <v>42502.569999999992</v>
      </c>
    </row>
    <row r="192" spans="1:14" ht="14.25" customHeight="1" x14ac:dyDescent="0.35">
      <c r="A192" s="7">
        <v>166</v>
      </c>
      <c r="B192" s="98">
        <f t="shared" si="0"/>
        <v>286.91000000000003</v>
      </c>
      <c r="C192" s="98">
        <f t="shared" si="1"/>
        <v>154.11000000000001</v>
      </c>
      <c r="D192" s="98">
        <f t="shared" si="2"/>
        <v>132.80000000000001</v>
      </c>
      <c r="E192" s="98">
        <f t="shared" si="3"/>
        <v>38799.599999999962</v>
      </c>
      <c r="J192" s="7">
        <v>166</v>
      </c>
      <c r="K192" s="98">
        <f t="shared" si="10"/>
        <v>284.2</v>
      </c>
      <c r="L192" s="98">
        <f t="shared" si="11"/>
        <v>196.57</v>
      </c>
      <c r="M192" s="98">
        <f t="shared" si="6"/>
        <v>87.63</v>
      </c>
      <c r="N192" s="98">
        <f t="shared" si="7"/>
        <v>42414.939999999995</v>
      </c>
    </row>
    <row r="193" spans="1:14" ht="14.25" customHeight="1" x14ac:dyDescent="0.35">
      <c r="A193" s="7">
        <v>167</v>
      </c>
      <c r="B193" s="98">
        <f t="shared" si="0"/>
        <v>286.91000000000003</v>
      </c>
      <c r="C193" s="98">
        <f t="shared" si="1"/>
        <v>153.58000000000001</v>
      </c>
      <c r="D193" s="98">
        <f t="shared" si="2"/>
        <v>133.33000000000001</v>
      </c>
      <c r="E193" s="98">
        <f t="shared" si="3"/>
        <v>38666.26999999996</v>
      </c>
      <c r="J193" s="7">
        <v>167</v>
      </c>
      <c r="K193" s="98">
        <f t="shared" si="10"/>
        <v>284.2</v>
      </c>
      <c r="L193" s="98">
        <f t="shared" si="11"/>
        <v>196.17</v>
      </c>
      <c r="M193" s="98">
        <f t="shared" si="6"/>
        <v>88.03</v>
      </c>
      <c r="N193" s="98">
        <f t="shared" si="7"/>
        <v>42326.909999999996</v>
      </c>
    </row>
    <row r="194" spans="1:14" ht="14.25" customHeight="1" x14ac:dyDescent="0.35">
      <c r="A194" s="7">
        <v>168</v>
      </c>
      <c r="B194" s="98">
        <f t="shared" si="0"/>
        <v>286.91000000000003</v>
      </c>
      <c r="C194" s="98">
        <f t="shared" si="1"/>
        <v>153.05000000000001</v>
      </c>
      <c r="D194" s="98">
        <f t="shared" si="2"/>
        <v>133.86000000000001</v>
      </c>
      <c r="E194" s="98">
        <f t="shared" si="3"/>
        <v>38532.40999999996</v>
      </c>
      <c r="J194" s="7">
        <v>168</v>
      </c>
      <c r="K194" s="98">
        <f t="shared" si="10"/>
        <v>284.2</v>
      </c>
      <c r="L194" s="98">
        <f t="shared" si="11"/>
        <v>195.76</v>
      </c>
      <c r="M194" s="98">
        <f t="shared" si="6"/>
        <v>88.44</v>
      </c>
      <c r="N194" s="98">
        <f t="shared" si="7"/>
        <v>42238.469999999994</v>
      </c>
    </row>
    <row r="195" spans="1:14" ht="14.25" customHeight="1" x14ac:dyDescent="0.35">
      <c r="A195" s="7">
        <v>169</v>
      </c>
      <c r="B195" s="98">
        <f t="shared" si="0"/>
        <v>286.91000000000003</v>
      </c>
      <c r="C195" s="98">
        <f t="shared" si="1"/>
        <v>152.52000000000001</v>
      </c>
      <c r="D195" s="98">
        <f t="shared" si="2"/>
        <v>134.39000000000001</v>
      </c>
      <c r="E195" s="98">
        <f t="shared" si="3"/>
        <v>38398.01999999996</v>
      </c>
      <c r="J195" s="7">
        <v>169</v>
      </c>
      <c r="K195" s="98">
        <f t="shared" si="10"/>
        <v>284.2</v>
      </c>
      <c r="L195" s="98">
        <f t="shared" si="11"/>
        <v>195.35</v>
      </c>
      <c r="M195" s="98">
        <f t="shared" si="6"/>
        <v>88.85</v>
      </c>
      <c r="N195" s="98">
        <f t="shared" si="7"/>
        <v>42149.619999999995</v>
      </c>
    </row>
    <row r="196" spans="1:14" ht="14.25" customHeight="1" x14ac:dyDescent="0.35">
      <c r="A196" s="7">
        <v>170</v>
      </c>
      <c r="B196" s="98">
        <f t="shared" si="0"/>
        <v>286.91000000000003</v>
      </c>
      <c r="C196" s="98">
        <f t="shared" si="1"/>
        <v>151.99</v>
      </c>
      <c r="D196" s="98">
        <f t="shared" si="2"/>
        <v>134.92000000000002</v>
      </c>
      <c r="E196" s="98">
        <f t="shared" si="3"/>
        <v>38263.099999999962</v>
      </c>
      <c r="J196" s="7">
        <v>170</v>
      </c>
      <c r="K196" s="98">
        <f t="shared" si="10"/>
        <v>284.2</v>
      </c>
      <c r="L196" s="98">
        <f t="shared" si="11"/>
        <v>194.94</v>
      </c>
      <c r="M196" s="98">
        <f t="shared" si="6"/>
        <v>89.259999999999991</v>
      </c>
      <c r="N196" s="98">
        <f t="shared" si="7"/>
        <v>42060.359999999993</v>
      </c>
    </row>
    <row r="197" spans="1:14" ht="14.25" customHeight="1" x14ac:dyDescent="0.35">
      <c r="A197" s="7">
        <v>171</v>
      </c>
      <c r="B197" s="98">
        <f t="shared" si="0"/>
        <v>286.91000000000003</v>
      </c>
      <c r="C197" s="98">
        <f t="shared" si="1"/>
        <v>151.46</v>
      </c>
      <c r="D197" s="98">
        <f t="shared" si="2"/>
        <v>135.45000000000002</v>
      </c>
      <c r="E197" s="98">
        <f t="shared" si="3"/>
        <v>38127.649999999965</v>
      </c>
      <c r="J197" s="7">
        <v>171</v>
      </c>
      <c r="K197" s="98">
        <f t="shared" si="10"/>
        <v>284.2</v>
      </c>
      <c r="L197" s="98">
        <f t="shared" si="11"/>
        <v>194.53</v>
      </c>
      <c r="M197" s="98">
        <f t="shared" si="6"/>
        <v>89.669999999999987</v>
      </c>
      <c r="N197" s="98">
        <f t="shared" si="7"/>
        <v>41970.689999999995</v>
      </c>
    </row>
    <row r="198" spans="1:14" ht="14.25" customHeight="1" x14ac:dyDescent="0.35">
      <c r="A198" s="7">
        <v>172</v>
      </c>
      <c r="B198" s="98">
        <f t="shared" si="0"/>
        <v>286.91000000000003</v>
      </c>
      <c r="C198" s="98">
        <f t="shared" si="1"/>
        <v>150.91999999999999</v>
      </c>
      <c r="D198" s="98">
        <f t="shared" si="2"/>
        <v>135.99000000000004</v>
      </c>
      <c r="E198" s="98">
        <f t="shared" si="3"/>
        <v>37991.659999999967</v>
      </c>
      <c r="J198" s="7">
        <v>172</v>
      </c>
      <c r="K198" s="98">
        <f t="shared" si="10"/>
        <v>284.2</v>
      </c>
      <c r="L198" s="98">
        <f t="shared" si="11"/>
        <v>194.11</v>
      </c>
      <c r="M198" s="98">
        <f t="shared" si="6"/>
        <v>90.089999999999975</v>
      </c>
      <c r="N198" s="98">
        <f t="shared" si="7"/>
        <v>41880.6</v>
      </c>
    </row>
    <row r="199" spans="1:14" ht="14.25" customHeight="1" x14ac:dyDescent="0.35">
      <c r="A199" s="7">
        <v>173</v>
      </c>
      <c r="B199" s="98">
        <f t="shared" si="0"/>
        <v>286.91000000000003</v>
      </c>
      <c r="C199" s="98">
        <f t="shared" si="1"/>
        <v>150.38</v>
      </c>
      <c r="D199" s="98">
        <f t="shared" si="2"/>
        <v>136.53000000000003</v>
      </c>
      <c r="E199" s="98">
        <f t="shared" si="3"/>
        <v>37855.129999999968</v>
      </c>
      <c r="J199" s="7">
        <v>173</v>
      </c>
      <c r="K199" s="98">
        <f t="shared" si="10"/>
        <v>284.2</v>
      </c>
      <c r="L199" s="98">
        <f t="shared" si="11"/>
        <v>193.7</v>
      </c>
      <c r="M199" s="98">
        <f t="shared" si="6"/>
        <v>90.5</v>
      </c>
      <c r="N199" s="98">
        <f t="shared" si="7"/>
        <v>41790.1</v>
      </c>
    </row>
    <row r="200" spans="1:14" ht="14.25" customHeight="1" x14ac:dyDescent="0.35">
      <c r="A200" s="7">
        <v>174</v>
      </c>
      <c r="B200" s="98">
        <f t="shared" si="0"/>
        <v>286.91000000000003</v>
      </c>
      <c r="C200" s="98">
        <f t="shared" si="1"/>
        <v>149.84</v>
      </c>
      <c r="D200" s="98">
        <f t="shared" si="2"/>
        <v>137.07000000000002</v>
      </c>
      <c r="E200" s="98">
        <f t="shared" si="3"/>
        <v>37718.059999999969</v>
      </c>
      <c r="J200" s="7">
        <v>174</v>
      </c>
      <c r="K200" s="98">
        <f t="shared" si="10"/>
        <v>284.2</v>
      </c>
      <c r="L200" s="98">
        <f t="shared" si="11"/>
        <v>193.28</v>
      </c>
      <c r="M200" s="98">
        <f t="shared" si="6"/>
        <v>90.919999999999987</v>
      </c>
      <c r="N200" s="98">
        <f t="shared" si="7"/>
        <v>41699.18</v>
      </c>
    </row>
    <row r="201" spans="1:14" ht="14.25" customHeight="1" x14ac:dyDescent="0.35">
      <c r="A201" s="7">
        <v>175</v>
      </c>
      <c r="B201" s="98">
        <f t="shared" si="0"/>
        <v>286.91000000000003</v>
      </c>
      <c r="C201" s="98">
        <f t="shared" si="1"/>
        <v>149.30000000000001</v>
      </c>
      <c r="D201" s="98">
        <f t="shared" si="2"/>
        <v>137.61000000000001</v>
      </c>
      <c r="E201" s="98">
        <f t="shared" si="3"/>
        <v>37580.449999999968</v>
      </c>
      <c r="J201" s="7">
        <v>175</v>
      </c>
      <c r="K201" s="98">
        <f t="shared" si="10"/>
        <v>284.2</v>
      </c>
      <c r="L201" s="98">
        <f t="shared" si="11"/>
        <v>192.86</v>
      </c>
      <c r="M201" s="98">
        <f t="shared" si="6"/>
        <v>91.339999999999975</v>
      </c>
      <c r="N201" s="98">
        <f t="shared" si="7"/>
        <v>41607.840000000004</v>
      </c>
    </row>
    <row r="202" spans="1:14" ht="14.25" customHeight="1" x14ac:dyDescent="0.35">
      <c r="A202" s="7">
        <v>176</v>
      </c>
      <c r="B202" s="98">
        <f t="shared" si="0"/>
        <v>286.91000000000003</v>
      </c>
      <c r="C202" s="98">
        <f t="shared" si="1"/>
        <v>148.76</v>
      </c>
      <c r="D202" s="98">
        <f t="shared" si="2"/>
        <v>138.15000000000003</v>
      </c>
      <c r="E202" s="98">
        <f t="shared" si="3"/>
        <v>37442.299999999967</v>
      </c>
      <c r="J202" s="7">
        <v>176</v>
      </c>
      <c r="K202" s="98">
        <f t="shared" si="10"/>
        <v>284.2</v>
      </c>
      <c r="L202" s="98">
        <f t="shared" si="11"/>
        <v>192.44</v>
      </c>
      <c r="M202" s="98">
        <f t="shared" si="6"/>
        <v>91.759999999999991</v>
      </c>
      <c r="N202" s="98">
        <f t="shared" si="7"/>
        <v>41516.080000000002</v>
      </c>
    </row>
    <row r="203" spans="1:14" ht="14.25" customHeight="1" x14ac:dyDescent="0.35">
      <c r="A203" s="7">
        <v>177</v>
      </c>
      <c r="B203" s="98">
        <f t="shared" si="0"/>
        <v>286.91000000000003</v>
      </c>
      <c r="C203" s="98">
        <f t="shared" si="1"/>
        <v>148.21</v>
      </c>
      <c r="D203" s="98">
        <f t="shared" si="2"/>
        <v>138.70000000000002</v>
      </c>
      <c r="E203" s="98">
        <f t="shared" si="3"/>
        <v>37303.599999999969</v>
      </c>
      <c r="J203" s="7">
        <v>177</v>
      </c>
      <c r="K203" s="98">
        <f t="shared" si="10"/>
        <v>284.2</v>
      </c>
      <c r="L203" s="98">
        <f t="shared" si="11"/>
        <v>192.01</v>
      </c>
      <c r="M203" s="98">
        <f t="shared" si="6"/>
        <v>92.19</v>
      </c>
      <c r="N203" s="98">
        <f t="shared" si="7"/>
        <v>41423.89</v>
      </c>
    </row>
    <row r="204" spans="1:14" ht="14.25" customHeight="1" x14ac:dyDescent="0.35">
      <c r="A204" s="7">
        <v>178</v>
      </c>
      <c r="B204" s="98">
        <f t="shared" si="0"/>
        <v>286.91000000000003</v>
      </c>
      <c r="C204" s="98">
        <f t="shared" si="1"/>
        <v>147.66</v>
      </c>
      <c r="D204" s="98">
        <f t="shared" si="2"/>
        <v>139.25000000000003</v>
      </c>
      <c r="E204" s="98">
        <f t="shared" si="3"/>
        <v>37164.349999999969</v>
      </c>
      <c r="J204" s="7">
        <v>178</v>
      </c>
      <c r="K204" s="98">
        <f t="shared" si="10"/>
        <v>284.2</v>
      </c>
      <c r="L204" s="98">
        <f t="shared" si="11"/>
        <v>191.59</v>
      </c>
      <c r="M204" s="98">
        <f t="shared" si="6"/>
        <v>92.609999999999985</v>
      </c>
      <c r="N204" s="98">
        <f t="shared" si="7"/>
        <v>41331.279999999999</v>
      </c>
    </row>
    <row r="205" spans="1:14" ht="14.25" customHeight="1" x14ac:dyDescent="0.35">
      <c r="A205" s="7">
        <v>179</v>
      </c>
      <c r="B205" s="98">
        <f t="shared" si="0"/>
        <v>286.91000000000003</v>
      </c>
      <c r="C205" s="98">
        <f t="shared" si="1"/>
        <v>147.11000000000001</v>
      </c>
      <c r="D205" s="98">
        <f t="shared" si="2"/>
        <v>139.80000000000001</v>
      </c>
      <c r="E205" s="98">
        <f t="shared" si="3"/>
        <v>37024.549999999967</v>
      </c>
      <c r="J205" s="7">
        <v>179</v>
      </c>
      <c r="K205" s="98">
        <f t="shared" si="10"/>
        <v>284.2</v>
      </c>
      <c r="L205" s="98">
        <f t="shared" si="11"/>
        <v>191.16</v>
      </c>
      <c r="M205" s="98">
        <f t="shared" si="6"/>
        <v>93.039999999999992</v>
      </c>
      <c r="N205" s="98">
        <f t="shared" si="7"/>
        <v>41238.239999999998</v>
      </c>
    </row>
    <row r="206" spans="1:14" ht="14.25" customHeight="1" x14ac:dyDescent="0.35">
      <c r="A206" s="7">
        <v>180</v>
      </c>
      <c r="B206" s="98">
        <f t="shared" si="0"/>
        <v>286.91000000000003</v>
      </c>
      <c r="C206" s="98">
        <f t="shared" si="1"/>
        <v>146.56</v>
      </c>
      <c r="D206" s="98">
        <f t="shared" si="2"/>
        <v>140.35000000000002</v>
      </c>
      <c r="E206" s="98">
        <f t="shared" si="3"/>
        <v>36884.199999999968</v>
      </c>
      <c r="J206" s="7">
        <v>180</v>
      </c>
      <c r="K206" s="98">
        <f t="shared" si="10"/>
        <v>284.2</v>
      </c>
      <c r="L206" s="98">
        <f t="shared" si="11"/>
        <v>190.73</v>
      </c>
      <c r="M206" s="98">
        <f t="shared" si="6"/>
        <v>93.47</v>
      </c>
      <c r="N206" s="98">
        <f t="shared" si="7"/>
        <v>41144.769999999997</v>
      </c>
    </row>
    <row r="207" spans="1:14" ht="14.25" customHeight="1" x14ac:dyDescent="0.35">
      <c r="A207" s="7">
        <v>181</v>
      </c>
      <c r="B207" s="98">
        <f t="shared" si="0"/>
        <v>286.91000000000003</v>
      </c>
      <c r="C207" s="98">
        <f t="shared" si="1"/>
        <v>146</v>
      </c>
      <c r="D207" s="98">
        <f t="shared" si="2"/>
        <v>140.91000000000003</v>
      </c>
      <c r="E207" s="98">
        <f t="shared" si="3"/>
        <v>36743.289999999964</v>
      </c>
      <c r="J207" s="7">
        <v>181</v>
      </c>
      <c r="K207" s="98">
        <f t="shared" si="10"/>
        <v>284.2</v>
      </c>
      <c r="L207" s="98">
        <f t="shared" si="11"/>
        <v>190.29</v>
      </c>
      <c r="M207" s="98">
        <f t="shared" si="6"/>
        <v>93.91</v>
      </c>
      <c r="N207" s="98">
        <f t="shared" si="7"/>
        <v>41050.859999999993</v>
      </c>
    </row>
    <row r="208" spans="1:14" ht="14.25" customHeight="1" x14ac:dyDescent="0.35">
      <c r="A208" s="7">
        <v>182</v>
      </c>
      <c r="B208" s="98">
        <f t="shared" si="0"/>
        <v>286.91000000000003</v>
      </c>
      <c r="C208" s="98">
        <f t="shared" si="1"/>
        <v>145.44</v>
      </c>
      <c r="D208" s="98">
        <f t="shared" si="2"/>
        <v>141.47000000000003</v>
      </c>
      <c r="E208" s="98">
        <f t="shared" si="3"/>
        <v>36601.819999999963</v>
      </c>
      <c r="J208" s="7">
        <v>182</v>
      </c>
      <c r="K208" s="98">
        <f t="shared" si="10"/>
        <v>284.2</v>
      </c>
      <c r="L208" s="98">
        <f t="shared" si="11"/>
        <v>189.86</v>
      </c>
      <c r="M208" s="98">
        <f t="shared" si="6"/>
        <v>94.339999999999975</v>
      </c>
      <c r="N208" s="98">
        <f t="shared" si="7"/>
        <v>40956.519999999997</v>
      </c>
    </row>
    <row r="209" spans="1:14" ht="14.25" customHeight="1" x14ac:dyDescent="0.35">
      <c r="A209" s="7">
        <v>183</v>
      </c>
      <c r="B209" s="98">
        <f t="shared" si="0"/>
        <v>286.91000000000003</v>
      </c>
      <c r="C209" s="98">
        <f t="shared" si="1"/>
        <v>144.88</v>
      </c>
      <c r="D209" s="98">
        <f t="shared" si="2"/>
        <v>142.03000000000003</v>
      </c>
      <c r="E209" s="98">
        <f t="shared" si="3"/>
        <v>36459.789999999964</v>
      </c>
      <c r="J209" s="7">
        <v>183</v>
      </c>
      <c r="K209" s="98">
        <f t="shared" si="10"/>
        <v>284.2</v>
      </c>
      <c r="L209" s="98">
        <f t="shared" si="11"/>
        <v>189.42</v>
      </c>
      <c r="M209" s="98">
        <f t="shared" si="6"/>
        <v>94.78</v>
      </c>
      <c r="N209" s="98">
        <f t="shared" si="7"/>
        <v>40861.74</v>
      </c>
    </row>
    <row r="210" spans="1:14" ht="14.25" customHeight="1" x14ac:dyDescent="0.35">
      <c r="A210" s="7">
        <v>184</v>
      </c>
      <c r="B210" s="98">
        <f t="shared" si="0"/>
        <v>286.91000000000003</v>
      </c>
      <c r="C210" s="98">
        <f t="shared" si="1"/>
        <v>144.32</v>
      </c>
      <c r="D210" s="98">
        <f t="shared" si="2"/>
        <v>142.59000000000003</v>
      </c>
      <c r="E210" s="98">
        <f t="shared" si="3"/>
        <v>36317.199999999968</v>
      </c>
      <c r="J210" s="7">
        <v>184</v>
      </c>
      <c r="K210" s="98">
        <f t="shared" si="10"/>
        <v>284.2</v>
      </c>
      <c r="L210" s="98">
        <f t="shared" si="11"/>
        <v>188.99</v>
      </c>
      <c r="M210" s="98">
        <f t="shared" si="6"/>
        <v>95.20999999999998</v>
      </c>
      <c r="N210" s="98">
        <f t="shared" si="7"/>
        <v>40766.53</v>
      </c>
    </row>
    <row r="211" spans="1:14" ht="14.25" customHeight="1" x14ac:dyDescent="0.35">
      <c r="A211" s="7">
        <v>185</v>
      </c>
      <c r="B211" s="98">
        <f t="shared" si="0"/>
        <v>286.91000000000003</v>
      </c>
      <c r="C211" s="98">
        <f t="shared" si="1"/>
        <v>143.76</v>
      </c>
      <c r="D211" s="98">
        <f t="shared" si="2"/>
        <v>143.15000000000003</v>
      </c>
      <c r="E211" s="98">
        <f t="shared" si="3"/>
        <v>36174.049999999967</v>
      </c>
      <c r="J211" s="7">
        <v>185</v>
      </c>
      <c r="K211" s="98">
        <f t="shared" si="10"/>
        <v>284.2</v>
      </c>
      <c r="L211" s="98">
        <f t="shared" si="11"/>
        <v>188.55</v>
      </c>
      <c r="M211" s="98">
        <f t="shared" si="6"/>
        <v>95.649999999999977</v>
      </c>
      <c r="N211" s="98">
        <f t="shared" si="7"/>
        <v>40670.879999999997</v>
      </c>
    </row>
    <row r="212" spans="1:14" ht="14.25" customHeight="1" x14ac:dyDescent="0.35">
      <c r="A212" s="7">
        <v>186</v>
      </c>
      <c r="B212" s="98">
        <f t="shared" si="0"/>
        <v>286.91000000000003</v>
      </c>
      <c r="C212" s="98">
        <f t="shared" si="1"/>
        <v>143.19</v>
      </c>
      <c r="D212" s="98">
        <f t="shared" si="2"/>
        <v>143.72000000000003</v>
      </c>
      <c r="E212" s="98">
        <f t="shared" si="3"/>
        <v>36030.329999999965</v>
      </c>
      <c r="J212" s="7">
        <v>186</v>
      </c>
      <c r="K212" s="98">
        <f t="shared" si="10"/>
        <v>284.2</v>
      </c>
      <c r="L212" s="98">
        <f t="shared" si="11"/>
        <v>188.1</v>
      </c>
      <c r="M212" s="98">
        <f t="shared" si="6"/>
        <v>96.1</v>
      </c>
      <c r="N212" s="98">
        <f t="shared" si="7"/>
        <v>40574.78</v>
      </c>
    </row>
    <row r="213" spans="1:14" ht="14.25" customHeight="1" x14ac:dyDescent="0.35">
      <c r="A213" s="7">
        <v>187</v>
      </c>
      <c r="B213" s="98">
        <f t="shared" si="0"/>
        <v>286.91000000000003</v>
      </c>
      <c r="C213" s="98">
        <f t="shared" si="1"/>
        <v>142.62</v>
      </c>
      <c r="D213" s="98">
        <f t="shared" si="2"/>
        <v>144.29000000000002</v>
      </c>
      <c r="E213" s="98">
        <f t="shared" si="3"/>
        <v>35886.039999999964</v>
      </c>
      <c r="J213" s="7">
        <v>187</v>
      </c>
      <c r="K213" s="98">
        <f t="shared" si="10"/>
        <v>284.2</v>
      </c>
      <c r="L213" s="98">
        <f t="shared" si="11"/>
        <v>187.66</v>
      </c>
      <c r="M213" s="98">
        <f t="shared" si="6"/>
        <v>96.539999999999992</v>
      </c>
      <c r="N213" s="98">
        <f t="shared" si="7"/>
        <v>40478.239999999998</v>
      </c>
    </row>
    <row r="214" spans="1:14" ht="14.25" customHeight="1" x14ac:dyDescent="0.35">
      <c r="A214" s="7">
        <v>188</v>
      </c>
      <c r="B214" s="98">
        <f t="shared" si="0"/>
        <v>286.91000000000003</v>
      </c>
      <c r="C214" s="98">
        <f t="shared" si="1"/>
        <v>142.05000000000001</v>
      </c>
      <c r="D214" s="98">
        <f t="shared" si="2"/>
        <v>144.86000000000001</v>
      </c>
      <c r="E214" s="98">
        <f t="shared" si="3"/>
        <v>35741.179999999964</v>
      </c>
      <c r="J214" s="7">
        <v>188</v>
      </c>
      <c r="K214" s="98">
        <f t="shared" si="10"/>
        <v>284.2</v>
      </c>
      <c r="L214" s="98">
        <f t="shared" si="11"/>
        <v>187.21</v>
      </c>
      <c r="M214" s="98">
        <f t="shared" si="6"/>
        <v>96.989999999999981</v>
      </c>
      <c r="N214" s="98">
        <f t="shared" si="7"/>
        <v>40381.25</v>
      </c>
    </row>
    <row r="215" spans="1:14" ht="14.25" customHeight="1" x14ac:dyDescent="0.35">
      <c r="A215" s="7">
        <v>189</v>
      </c>
      <c r="B215" s="98">
        <f t="shared" si="0"/>
        <v>286.91000000000003</v>
      </c>
      <c r="C215" s="98">
        <f t="shared" si="1"/>
        <v>141.47999999999999</v>
      </c>
      <c r="D215" s="98">
        <f t="shared" si="2"/>
        <v>145.43000000000004</v>
      </c>
      <c r="E215" s="98">
        <f t="shared" si="3"/>
        <v>35595.749999999964</v>
      </c>
      <c r="J215" s="7">
        <v>189</v>
      </c>
      <c r="K215" s="98">
        <f t="shared" si="10"/>
        <v>284.2</v>
      </c>
      <c r="L215" s="98">
        <f t="shared" si="11"/>
        <v>186.76</v>
      </c>
      <c r="M215" s="98">
        <f t="shared" si="6"/>
        <v>97.44</v>
      </c>
      <c r="N215" s="98">
        <f t="shared" si="7"/>
        <v>40283.81</v>
      </c>
    </row>
    <row r="216" spans="1:14" ht="14.25" customHeight="1" x14ac:dyDescent="0.35">
      <c r="A216" s="7">
        <v>190</v>
      </c>
      <c r="B216" s="98">
        <f t="shared" si="0"/>
        <v>286.91000000000003</v>
      </c>
      <c r="C216" s="98">
        <f t="shared" si="1"/>
        <v>140.9</v>
      </c>
      <c r="D216" s="98">
        <f t="shared" si="2"/>
        <v>146.01000000000002</v>
      </c>
      <c r="E216" s="98">
        <f t="shared" si="3"/>
        <v>35449.739999999962</v>
      </c>
      <c r="J216" s="7">
        <v>190</v>
      </c>
      <c r="K216" s="98">
        <f t="shared" si="10"/>
        <v>284.2</v>
      </c>
      <c r="L216" s="98">
        <f t="shared" si="11"/>
        <v>186.31</v>
      </c>
      <c r="M216" s="98">
        <f t="shared" si="6"/>
        <v>97.889999999999986</v>
      </c>
      <c r="N216" s="98">
        <f t="shared" si="7"/>
        <v>40185.919999999998</v>
      </c>
    </row>
    <row r="217" spans="1:14" ht="14.25" customHeight="1" x14ac:dyDescent="0.35">
      <c r="A217" s="7">
        <v>191</v>
      </c>
      <c r="B217" s="98">
        <f t="shared" si="0"/>
        <v>286.91000000000003</v>
      </c>
      <c r="C217" s="98">
        <f t="shared" si="1"/>
        <v>140.32</v>
      </c>
      <c r="D217" s="98">
        <f t="shared" si="2"/>
        <v>146.59000000000003</v>
      </c>
      <c r="E217" s="98">
        <f t="shared" si="3"/>
        <v>35303.149999999965</v>
      </c>
      <c r="J217" s="7">
        <v>191</v>
      </c>
      <c r="K217" s="98">
        <f t="shared" si="10"/>
        <v>284.2</v>
      </c>
      <c r="L217" s="98">
        <f t="shared" si="11"/>
        <v>185.86</v>
      </c>
      <c r="M217" s="98">
        <f t="shared" si="6"/>
        <v>98.339999999999975</v>
      </c>
      <c r="N217" s="98">
        <f t="shared" si="7"/>
        <v>40087.58</v>
      </c>
    </row>
    <row r="218" spans="1:14" ht="14.25" customHeight="1" x14ac:dyDescent="0.35">
      <c r="A218" s="7">
        <v>192</v>
      </c>
      <c r="B218" s="98">
        <f t="shared" si="0"/>
        <v>286.91000000000003</v>
      </c>
      <c r="C218" s="98">
        <f t="shared" si="1"/>
        <v>139.74</v>
      </c>
      <c r="D218" s="98">
        <f t="shared" si="2"/>
        <v>147.17000000000002</v>
      </c>
      <c r="E218" s="98">
        <f t="shared" si="3"/>
        <v>35155.979999999967</v>
      </c>
      <c r="J218" s="7">
        <v>192</v>
      </c>
      <c r="K218" s="98">
        <f t="shared" si="10"/>
        <v>284.2</v>
      </c>
      <c r="L218" s="98">
        <f t="shared" si="11"/>
        <v>185.41</v>
      </c>
      <c r="M218" s="98">
        <f t="shared" si="6"/>
        <v>98.789999999999992</v>
      </c>
      <c r="N218" s="98">
        <f t="shared" si="7"/>
        <v>39988.79</v>
      </c>
    </row>
    <row r="219" spans="1:14" ht="14.25" customHeight="1" x14ac:dyDescent="0.35">
      <c r="A219" s="7">
        <v>193</v>
      </c>
      <c r="B219" s="98">
        <f t="shared" si="0"/>
        <v>286.91000000000003</v>
      </c>
      <c r="C219" s="98">
        <f t="shared" si="1"/>
        <v>139.16</v>
      </c>
      <c r="D219" s="98">
        <f t="shared" si="2"/>
        <v>147.75000000000003</v>
      </c>
      <c r="E219" s="98">
        <f t="shared" si="3"/>
        <v>35008.229999999967</v>
      </c>
      <c r="J219" s="7">
        <v>193</v>
      </c>
      <c r="K219" s="98">
        <f t="shared" si="10"/>
        <v>284.2</v>
      </c>
      <c r="L219" s="98">
        <f t="shared" si="11"/>
        <v>184.95</v>
      </c>
      <c r="M219" s="98">
        <f t="shared" si="6"/>
        <v>99.25</v>
      </c>
      <c r="N219" s="98">
        <f t="shared" si="7"/>
        <v>39889.54</v>
      </c>
    </row>
    <row r="220" spans="1:14" ht="14.25" customHeight="1" x14ac:dyDescent="0.35">
      <c r="A220" s="7">
        <v>194</v>
      </c>
      <c r="B220" s="98">
        <f t="shared" si="0"/>
        <v>286.91000000000003</v>
      </c>
      <c r="C220" s="98">
        <f t="shared" si="1"/>
        <v>138.57</v>
      </c>
      <c r="D220" s="98">
        <f t="shared" si="2"/>
        <v>148.34000000000003</v>
      </c>
      <c r="E220" s="98">
        <f t="shared" si="3"/>
        <v>34859.88999999997</v>
      </c>
      <c r="J220" s="7">
        <v>194</v>
      </c>
      <c r="K220" s="98">
        <f t="shared" si="10"/>
        <v>284.2</v>
      </c>
      <c r="L220" s="98">
        <f t="shared" si="11"/>
        <v>184.49</v>
      </c>
      <c r="M220" s="98">
        <f t="shared" si="6"/>
        <v>99.70999999999998</v>
      </c>
      <c r="N220" s="98">
        <f t="shared" si="7"/>
        <v>39789.83</v>
      </c>
    </row>
    <row r="221" spans="1:14" ht="14.25" customHeight="1" x14ac:dyDescent="0.35">
      <c r="A221" s="7">
        <v>195</v>
      </c>
      <c r="B221" s="98">
        <f t="shared" si="0"/>
        <v>286.91000000000003</v>
      </c>
      <c r="C221" s="98">
        <f t="shared" si="1"/>
        <v>137.99</v>
      </c>
      <c r="D221" s="98">
        <f t="shared" si="2"/>
        <v>148.92000000000002</v>
      </c>
      <c r="E221" s="98">
        <f t="shared" si="3"/>
        <v>34710.969999999972</v>
      </c>
      <c r="J221" s="7">
        <v>195</v>
      </c>
      <c r="K221" s="98">
        <f t="shared" si="10"/>
        <v>284.2</v>
      </c>
      <c r="L221" s="98">
        <f t="shared" si="11"/>
        <v>184.03</v>
      </c>
      <c r="M221" s="98">
        <f t="shared" si="6"/>
        <v>100.16999999999999</v>
      </c>
      <c r="N221" s="98">
        <f t="shared" si="7"/>
        <v>39689.660000000003</v>
      </c>
    </row>
    <row r="222" spans="1:14" ht="14.25" customHeight="1" x14ac:dyDescent="0.35">
      <c r="A222" s="7">
        <v>196</v>
      </c>
      <c r="B222" s="98">
        <f t="shared" si="0"/>
        <v>286.91000000000003</v>
      </c>
      <c r="C222" s="98">
        <f t="shared" si="1"/>
        <v>137.4</v>
      </c>
      <c r="D222" s="98">
        <f t="shared" si="2"/>
        <v>149.51000000000002</v>
      </c>
      <c r="E222" s="98">
        <f t="shared" si="3"/>
        <v>34561.45999999997</v>
      </c>
      <c r="J222" s="7">
        <v>196</v>
      </c>
      <c r="K222" s="98">
        <f t="shared" si="10"/>
        <v>284.2</v>
      </c>
      <c r="L222" s="98">
        <f t="shared" si="11"/>
        <v>183.56</v>
      </c>
      <c r="M222" s="98">
        <f t="shared" si="6"/>
        <v>100.63999999999999</v>
      </c>
      <c r="N222" s="98">
        <f t="shared" si="7"/>
        <v>39589.020000000004</v>
      </c>
    </row>
    <row r="223" spans="1:14" ht="14.25" customHeight="1" x14ac:dyDescent="0.35">
      <c r="A223" s="7">
        <v>197</v>
      </c>
      <c r="B223" s="98">
        <f t="shared" si="0"/>
        <v>286.91000000000003</v>
      </c>
      <c r="C223" s="98">
        <f t="shared" si="1"/>
        <v>136.81</v>
      </c>
      <c r="D223" s="98">
        <f t="shared" si="2"/>
        <v>150.10000000000002</v>
      </c>
      <c r="E223" s="98">
        <f t="shared" si="3"/>
        <v>34411.359999999971</v>
      </c>
      <c r="J223" s="7">
        <v>197</v>
      </c>
      <c r="K223" s="98">
        <f t="shared" si="10"/>
        <v>284.2</v>
      </c>
      <c r="L223" s="98">
        <f t="shared" si="11"/>
        <v>183.1</v>
      </c>
      <c r="M223" s="98">
        <f t="shared" si="6"/>
        <v>101.1</v>
      </c>
      <c r="N223" s="98">
        <f t="shared" si="7"/>
        <v>39487.920000000006</v>
      </c>
    </row>
    <row r="224" spans="1:14" ht="14.25" customHeight="1" x14ac:dyDescent="0.35">
      <c r="A224" s="7">
        <v>198</v>
      </c>
      <c r="B224" s="98">
        <f t="shared" si="0"/>
        <v>286.91000000000003</v>
      </c>
      <c r="C224" s="98">
        <f t="shared" si="1"/>
        <v>136.21</v>
      </c>
      <c r="D224" s="98">
        <f t="shared" si="2"/>
        <v>150.70000000000002</v>
      </c>
      <c r="E224" s="98">
        <f t="shared" si="3"/>
        <v>34260.659999999974</v>
      </c>
      <c r="J224" s="7">
        <v>198</v>
      </c>
      <c r="K224" s="98">
        <f t="shared" si="10"/>
        <v>284.2</v>
      </c>
      <c r="L224" s="98">
        <f t="shared" si="11"/>
        <v>182.63</v>
      </c>
      <c r="M224" s="98">
        <f t="shared" si="6"/>
        <v>101.57</v>
      </c>
      <c r="N224" s="98">
        <f t="shared" si="7"/>
        <v>39386.350000000006</v>
      </c>
    </row>
    <row r="225" spans="1:14" ht="14.25" customHeight="1" x14ac:dyDescent="0.35">
      <c r="A225" s="7">
        <v>199</v>
      </c>
      <c r="B225" s="98">
        <f t="shared" si="0"/>
        <v>286.91000000000003</v>
      </c>
      <c r="C225" s="98">
        <f t="shared" si="1"/>
        <v>135.62</v>
      </c>
      <c r="D225" s="98">
        <f t="shared" si="2"/>
        <v>151.29000000000002</v>
      </c>
      <c r="E225" s="98">
        <f t="shared" si="3"/>
        <v>34109.369999999974</v>
      </c>
      <c r="J225" s="7">
        <v>199</v>
      </c>
      <c r="K225" s="98">
        <f t="shared" si="10"/>
        <v>284.2</v>
      </c>
      <c r="L225" s="98">
        <f t="shared" si="11"/>
        <v>182.16</v>
      </c>
      <c r="M225" s="98">
        <f t="shared" si="6"/>
        <v>102.03999999999999</v>
      </c>
      <c r="N225" s="98">
        <f t="shared" si="7"/>
        <v>39284.310000000005</v>
      </c>
    </row>
    <row r="226" spans="1:14" ht="14.25" customHeight="1" x14ac:dyDescent="0.35">
      <c r="A226" s="7">
        <v>200</v>
      </c>
      <c r="B226" s="98">
        <f t="shared" si="0"/>
        <v>286.91000000000003</v>
      </c>
      <c r="C226" s="98">
        <f t="shared" si="1"/>
        <v>135.02000000000001</v>
      </c>
      <c r="D226" s="98">
        <f t="shared" si="2"/>
        <v>151.89000000000001</v>
      </c>
      <c r="E226" s="98">
        <f t="shared" si="3"/>
        <v>33957.479999999974</v>
      </c>
      <c r="J226" s="7">
        <v>200</v>
      </c>
      <c r="K226" s="98">
        <f t="shared" si="10"/>
        <v>284.2</v>
      </c>
      <c r="L226" s="98">
        <f t="shared" si="11"/>
        <v>181.69</v>
      </c>
      <c r="M226" s="98">
        <f t="shared" si="6"/>
        <v>102.50999999999999</v>
      </c>
      <c r="N226" s="98">
        <f t="shared" si="7"/>
        <v>39181.800000000003</v>
      </c>
    </row>
    <row r="227" spans="1:14" ht="14.25" customHeight="1" x14ac:dyDescent="0.35">
      <c r="A227" s="7">
        <v>201</v>
      </c>
      <c r="B227" s="98">
        <f t="shared" si="0"/>
        <v>286.91000000000003</v>
      </c>
      <c r="C227" s="98">
        <f t="shared" si="1"/>
        <v>134.41999999999999</v>
      </c>
      <c r="D227" s="98">
        <f t="shared" si="2"/>
        <v>152.49000000000004</v>
      </c>
      <c r="E227" s="98">
        <f t="shared" si="3"/>
        <v>33804.989999999976</v>
      </c>
      <c r="J227" s="7">
        <v>201</v>
      </c>
      <c r="K227" s="98">
        <f t="shared" si="10"/>
        <v>284.2</v>
      </c>
      <c r="L227" s="98">
        <f t="shared" si="11"/>
        <v>181.22</v>
      </c>
      <c r="M227" s="98">
        <f t="shared" si="6"/>
        <v>102.97999999999999</v>
      </c>
      <c r="N227" s="98">
        <f t="shared" si="7"/>
        <v>39078.82</v>
      </c>
    </row>
    <row r="228" spans="1:14" ht="14.25" customHeight="1" x14ac:dyDescent="0.35">
      <c r="A228" s="7">
        <v>202</v>
      </c>
      <c r="B228" s="98">
        <f t="shared" si="0"/>
        <v>286.91000000000003</v>
      </c>
      <c r="C228" s="98">
        <f t="shared" si="1"/>
        <v>133.81</v>
      </c>
      <c r="D228" s="98">
        <f t="shared" si="2"/>
        <v>153.10000000000002</v>
      </c>
      <c r="E228" s="98">
        <f t="shared" si="3"/>
        <v>33651.889999999978</v>
      </c>
      <c r="J228" s="7">
        <v>202</v>
      </c>
      <c r="K228" s="98">
        <f t="shared" si="10"/>
        <v>284.2</v>
      </c>
      <c r="L228" s="98">
        <f t="shared" si="11"/>
        <v>180.74</v>
      </c>
      <c r="M228" s="98">
        <f t="shared" si="6"/>
        <v>103.45999999999998</v>
      </c>
      <c r="N228" s="98">
        <f t="shared" si="7"/>
        <v>38975.360000000001</v>
      </c>
    </row>
    <row r="229" spans="1:14" ht="14.25" customHeight="1" x14ac:dyDescent="0.35">
      <c r="A229" s="7">
        <v>203</v>
      </c>
      <c r="B229" s="98">
        <f t="shared" si="0"/>
        <v>286.91000000000003</v>
      </c>
      <c r="C229" s="98">
        <f t="shared" si="1"/>
        <v>133.21</v>
      </c>
      <c r="D229" s="98">
        <f t="shared" si="2"/>
        <v>153.70000000000002</v>
      </c>
      <c r="E229" s="98">
        <f t="shared" si="3"/>
        <v>33498.189999999981</v>
      </c>
      <c r="J229" s="7">
        <v>203</v>
      </c>
      <c r="K229" s="98">
        <f t="shared" si="10"/>
        <v>284.2</v>
      </c>
      <c r="L229" s="98">
        <f t="shared" si="11"/>
        <v>180.26</v>
      </c>
      <c r="M229" s="98">
        <f t="shared" si="6"/>
        <v>103.94</v>
      </c>
      <c r="N229" s="98">
        <f t="shared" si="7"/>
        <v>38871.42</v>
      </c>
    </row>
    <row r="230" spans="1:14" ht="14.25" customHeight="1" x14ac:dyDescent="0.35">
      <c r="A230" s="7">
        <v>204</v>
      </c>
      <c r="B230" s="98">
        <f t="shared" si="0"/>
        <v>286.91000000000003</v>
      </c>
      <c r="C230" s="98">
        <f t="shared" si="1"/>
        <v>132.6</v>
      </c>
      <c r="D230" s="98">
        <f t="shared" si="2"/>
        <v>154.31000000000003</v>
      </c>
      <c r="E230" s="98">
        <f t="shared" si="3"/>
        <v>33343.879999999983</v>
      </c>
      <c r="J230" s="7">
        <v>204</v>
      </c>
      <c r="K230" s="98">
        <f t="shared" si="10"/>
        <v>284.2</v>
      </c>
      <c r="L230" s="98">
        <f t="shared" si="11"/>
        <v>179.78</v>
      </c>
      <c r="M230" s="98">
        <f t="shared" si="6"/>
        <v>104.41999999999999</v>
      </c>
      <c r="N230" s="98">
        <f t="shared" si="7"/>
        <v>38767</v>
      </c>
    </row>
    <row r="231" spans="1:14" ht="14.25" customHeight="1" x14ac:dyDescent="0.35">
      <c r="A231" s="7">
        <v>205</v>
      </c>
      <c r="B231" s="98">
        <f t="shared" si="0"/>
        <v>286.91000000000003</v>
      </c>
      <c r="C231" s="98">
        <f t="shared" si="1"/>
        <v>131.99</v>
      </c>
      <c r="D231" s="98">
        <f t="shared" si="2"/>
        <v>154.92000000000002</v>
      </c>
      <c r="E231" s="98">
        <f t="shared" si="3"/>
        <v>33188.959999999985</v>
      </c>
      <c r="J231" s="7">
        <v>205</v>
      </c>
      <c r="K231" s="98">
        <f t="shared" si="10"/>
        <v>284.2</v>
      </c>
      <c r="L231" s="98">
        <f t="shared" si="11"/>
        <v>179.3</v>
      </c>
      <c r="M231" s="98">
        <f t="shared" si="6"/>
        <v>104.89999999999998</v>
      </c>
      <c r="N231" s="98">
        <f t="shared" si="7"/>
        <v>38662.1</v>
      </c>
    </row>
    <row r="232" spans="1:14" ht="14.25" customHeight="1" x14ac:dyDescent="0.35">
      <c r="A232" s="7">
        <v>206</v>
      </c>
      <c r="B232" s="98">
        <f t="shared" si="0"/>
        <v>286.91000000000003</v>
      </c>
      <c r="C232" s="98">
        <f t="shared" si="1"/>
        <v>131.37</v>
      </c>
      <c r="D232" s="98">
        <f t="shared" si="2"/>
        <v>155.54000000000002</v>
      </c>
      <c r="E232" s="98">
        <f t="shared" si="3"/>
        <v>33033.419999999984</v>
      </c>
      <c r="J232" s="7">
        <v>206</v>
      </c>
      <c r="K232" s="98">
        <f t="shared" si="10"/>
        <v>284.2</v>
      </c>
      <c r="L232" s="98">
        <f t="shared" si="11"/>
        <v>178.81</v>
      </c>
      <c r="M232" s="98">
        <f t="shared" si="6"/>
        <v>105.38999999999999</v>
      </c>
      <c r="N232" s="98">
        <f t="shared" si="7"/>
        <v>38556.71</v>
      </c>
    </row>
    <row r="233" spans="1:14" ht="14.25" customHeight="1" x14ac:dyDescent="0.35">
      <c r="A233" s="7">
        <v>207</v>
      </c>
      <c r="B233" s="98">
        <f t="shared" si="0"/>
        <v>286.91000000000003</v>
      </c>
      <c r="C233" s="98">
        <f t="shared" si="1"/>
        <v>130.76</v>
      </c>
      <c r="D233" s="98">
        <f t="shared" si="2"/>
        <v>156.15000000000003</v>
      </c>
      <c r="E233" s="98">
        <f t="shared" si="3"/>
        <v>32877.269999999982</v>
      </c>
      <c r="J233" s="7">
        <v>207</v>
      </c>
      <c r="K233" s="98">
        <f t="shared" si="10"/>
        <v>284.2</v>
      </c>
      <c r="L233" s="98">
        <f t="shared" si="11"/>
        <v>178.32</v>
      </c>
      <c r="M233" s="98">
        <f t="shared" si="6"/>
        <v>105.88</v>
      </c>
      <c r="N233" s="98">
        <f t="shared" si="7"/>
        <v>38450.83</v>
      </c>
    </row>
    <row r="234" spans="1:14" ht="14.25" customHeight="1" x14ac:dyDescent="0.35">
      <c r="A234" s="7">
        <v>208</v>
      </c>
      <c r="B234" s="98">
        <f t="shared" si="0"/>
        <v>286.91000000000003</v>
      </c>
      <c r="C234" s="98">
        <f t="shared" si="1"/>
        <v>130.13999999999999</v>
      </c>
      <c r="D234" s="98">
        <f t="shared" si="2"/>
        <v>156.77000000000004</v>
      </c>
      <c r="E234" s="98">
        <f t="shared" si="3"/>
        <v>32720.499999999982</v>
      </c>
      <c r="J234" s="7">
        <v>208</v>
      </c>
      <c r="K234" s="98">
        <f t="shared" si="10"/>
        <v>284.2</v>
      </c>
      <c r="L234" s="98">
        <f t="shared" si="11"/>
        <v>177.84</v>
      </c>
      <c r="M234" s="98">
        <f t="shared" si="6"/>
        <v>106.35999999999999</v>
      </c>
      <c r="N234" s="98">
        <f t="shared" si="7"/>
        <v>38344.47</v>
      </c>
    </row>
    <row r="235" spans="1:14" ht="14.25" customHeight="1" x14ac:dyDescent="0.35">
      <c r="A235" s="7">
        <v>209</v>
      </c>
      <c r="B235" s="98">
        <f t="shared" si="0"/>
        <v>286.91000000000003</v>
      </c>
      <c r="C235" s="98">
        <f t="shared" si="1"/>
        <v>129.52000000000001</v>
      </c>
      <c r="D235" s="98">
        <f t="shared" si="2"/>
        <v>157.39000000000001</v>
      </c>
      <c r="E235" s="98">
        <f t="shared" si="3"/>
        <v>32563.109999999982</v>
      </c>
      <c r="J235" s="7">
        <v>209</v>
      </c>
      <c r="K235" s="98">
        <f t="shared" si="10"/>
        <v>284.2</v>
      </c>
      <c r="L235" s="98">
        <f t="shared" si="11"/>
        <v>177.34</v>
      </c>
      <c r="M235" s="98">
        <f t="shared" si="6"/>
        <v>106.85999999999999</v>
      </c>
      <c r="N235" s="98">
        <f t="shared" si="7"/>
        <v>38237.61</v>
      </c>
    </row>
    <row r="236" spans="1:14" ht="14.25" customHeight="1" x14ac:dyDescent="0.35">
      <c r="A236" s="7">
        <v>210</v>
      </c>
      <c r="B236" s="98">
        <f t="shared" si="0"/>
        <v>286.91000000000003</v>
      </c>
      <c r="C236" s="98">
        <f t="shared" si="1"/>
        <v>128.9</v>
      </c>
      <c r="D236" s="98">
        <f t="shared" si="2"/>
        <v>158.01000000000002</v>
      </c>
      <c r="E236" s="98">
        <f t="shared" si="3"/>
        <v>32405.099999999984</v>
      </c>
      <c r="J236" s="7">
        <v>210</v>
      </c>
      <c r="K236" s="98">
        <f t="shared" si="10"/>
        <v>284.2</v>
      </c>
      <c r="L236" s="98">
        <f t="shared" si="11"/>
        <v>176.85</v>
      </c>
      <c r="M236" s="98">
        <f t="shared" si="6"/>
        <v>107.35</v>
      </c>
      <c r="N236" s="98">
        <f t="shared" si="7"/>
        <v>38130.26</v>
      </c>
    </row>
    <row r="237" spans="1:14" ht="14.25" customHeight="1" x14ac:dyDescent="0.35">
      <c r="A237" s="7">
        <v>211</v>
      </c>
      <c r="B237" s="98">
        <f t="shared" si="0"/>
        <v>286.91000000000003</v>
      </c>
      <c r="C237" s="98">
        <f t="shared" si="1"/>
        <v>128.27000000000001</v>
      </c>
      <c r="D237" s="98">
        <f t="shared" si="2"/>
        <v>158.64000000000001</v>
      </c>
      <c r="E237" s="98">
        <f t="shared" si="3"/>
        <v>32246.459999999985</v>
      </c>
      <c r="J237" s="7">
        <v>211</v>
      </c>
      <c r="K237" s="98">
        <f t="shared" si="10"/>
        <v>284.2</v>
      </c>
      <c r="L237" s="98">
        <f t="shared" si="11"/>
        <v>176.35</v>
      </c>
      <c r="M237" s="98">
        <f t="shared" si="6"/>
        <v>107.85</v>
      </c>
      <c r="N237" s="98">
        <f t="shared" si="7"/>
        <v>38022.410000000003</v>
      </c>
    </row>
    <row r="238" spans="1:14" ht="14.25" customHeight="1" x14ac:dyDescent="0.35">
      <c r="A238" s="7">
        <v>212</v>
      </c>
      <c r="B238" s="98">
        <f t="shared" si="0"/>
        <v>286.91000000000003</v>
      </c>
      <c r="C238" s="98">
        <f t="shared" si="1"/>
        <v>127.64</v>
      </c>
      <c r="D238" s="98">
        <f t="shared" si="2"/>
        <v>159.27000000000004</v>
      </c>
      <c r="E238" s="98">
        <f t="shared" si="3"/>
        <v>32087.189999999984</v>
      </c>
      <c r="J238" s="7">
        <v>212</v>
      </c>
      <c r="K238" s="98">
        <f t="shared" si="10"/>
        <v>284.2</v>
      </c>
      <c r="L238" s="98">
        <f t="shared" si="11"/>
        <v>175.85</v>
      </c>
      <c r="M238" s="98">
        <f t="shared" si="6"/>
        <v>108.35</v>
      </c>
      <c r="N238" s="98">
        <f t="shared" si="7"/>
        <v>37914.060000000005</v>
      </c>
    </row>
    <row r="239" spans="1:14" ht="14.25" customHeight="1" x14ac:dyDescent="0.35">
      <c r="A239" s="7">
        <v>213</v>
      </c>
      <c r="B239" s="98">
        <f t="shared" si="0"/>
        <v>286.91000000000003</v>
      </c>
      <c r="C239" s="98">
        <f t="shared" si="1"/>
        <v>127.01</v>
      </c>
      <c r="D239" s="98">
        <f t="shared" si="2"/>
        <v>159.90000000000003</v>
      </c>
      <c r="E239" s="98">
        <f t="shared" si="3"/>
        <v>31927.289999999983</v>
      </c>
      <c r="J239" s="7">
        <v>213</v>
      </c>
      <c r="K239" s="98">
        <f t="shared" si="10"/>
        <v>284.2</v>
      </c>
      <c r="L239" s="98">
        <f t="shared" si="11"/>
        <v>175.35</v>
      </c>
      <c r="M239" s="98">
        <f t="shared" si="6"/>
        <v>108.85</v>
      </c>
      <c r="N239" s="98">
        <f t="shared" si="7"/>
        <v>37805.210000000006</v>
      </c>
    </row>
    <row r="240" spans="1:14" ht="14.25" customHeight="1" x14ac:dyDescent="0.35">
      <c r="A240" s="7">
        <v>214</v>
      </c>
      <c r="B240" s="98">
        <f t="shared" si="0"/>
        <v>286.91000000000003</v>
      </c>
      <c r="C240" s="98">
        <f t="shared" si="1"/>
        <v>126.38</v>
      </c>
      <c r="D240" s="98">
        <f t="shared" si="2"/>
        <v>160.53000000000003</v>
      </c>
      <c r="E240" s="98">
        <f t="shared" si="3"/>
        <v>31766.759999999984</v>
      </c>
      <c r="J240" s="7">
        <v>214</v>
      </c>
      <c r="K240" s="98">
        <f t="shared" si="10"/>
        <v>284.2</v>
      </c>
      <c r="L240" s="98">
        <f t="shared" si="11"/>
        <v>174.85</v>
      </c>
      <c r="M240" s="98">
        <f t="shared" si="6"/>
        <v>109.35</v>
      </c>
      <c r="N240" s="98">
        <f t="shared" si="7"/>
        <v>37695.860000000008</v>
      </c>
    </row>
    <row r="241" spans="1:14" ht="14.25" customHeight="1" x14ac:dyDescent="0.35">
      <c r="A241" s="7">
        <v>215</v>
      </c>
      <c r="B241" s="98">
        <f t="shared" si="0"/>
        <v>286.91000000000003</v>
      </c>
      <c r="C241" s="98">
        <f t="shared" si="1"/>
        <v>125.74</v>
      </c>
      <c r="D241" s="98">
        <f t="shared" si="2"/>
        <v>161.17000000000002</v>
      </c>
      <c r="E241" s="98">
        <f t="shared" si="3"/>
        <v>31605.589999999986</v>
      </c>
      <c r="J241" s="7">
        <v>215</v>
      </c>
      <c r="K241" s="98">
        <f t="shared" si="10"/>
        <v>284.2</v>
      </c>
      <c r="L241" s="98">
        <f t="shared" si="11"/>
        <v>174.34</v>
      </c>
      <c r="M241" s="98">
        <f t="shared" si="6"/>
        <v>109.85999999999999</v>
      </c>
      <c r="N241" s="98">
        <f t="shared" si="7"/>
        <v>37586.000000000007</v>
      </c>
    </row>
    <row r="242" spans="1:14" ht="14.25" customHeight="1" x14ac:dyDescent="0.35">
      <c r="A242" s="7">
        <v>216</v>
      </c>
      <c r="B242" s="98">
        <f t="shared" si="0"/>
        <v>286.91000000000003</v>
      </c>
      <c r="C242" s="98">
        <f t="shared" si="1"/>
        <v>125.11</v>
      </c>
      <c r="D242" s="98">
        <f t="shared" si="2"/>
        <v>161.80000000000001</v>
      </c>
      <c r="E242" s="98">
        <f t="shared" si="3"/>
        <v>31443.789999999986</v>
      </c>
      <c r="J242" s="7">
        <v>216</v>
      </c>
      <c r="K242" s="98">
        <f t="shared" si="10"/>
        <v>284.2</v>
      </c>
      <c r="L242" s="98">
        <f t="shared" si="11"/>
        <v>173.84</v>
      </c>
      <c r="M242" s="98">
        <f t="shared" si="6"/>
        <v>110.35999999999999</v>
      </c>
      <c r="N242" s="98">
        <f t="shared" si="7"/>
        <v>37475.640000000007</v>
      </c>
    </row>
    <row r="243" spans="1:14" ht="14.25" customHeight="1" x14ac:dyDescent="0.35">
      <c r="A243" s="7">
        <v>217</v>
      </c>
      <c r="B243" s="98">
        <f t="shared" si="0"/>
        <v>286.91000000000003</v>
      </c>
      <c r="C243" s="98">
        <f t="shared" si="1"/>
        <v>124.47</v>
      </c>
      <c r="D243" s="98">
        <f t="shared" si="2"/>
        <v>162.44000000000003</v>
      </c>
      <c r="E243" s="98">
        <f t="shared" si="3"/>
        <v>31281.349999999988</v>
      </c>
      <c r="J243" s="7">
        <v>217</v>
      </c>
      <c r="K243" s="98">
        <f t="shared" si="10"/>
        <v>284.2</v>
      </c>
      <c r="L243" s="98">
        <f t="shared" si="11"/>
        <v>173.32</v>
      </c>
      <c r="M243" s="98">
        <f t="shared" si="6"/>
        <v>110.88</v>
      </c>
      <c r="N243" s="98">
        <f t="shared" si="7"/>
        <v>37364.760000000009</v>
      </c>
    </row>
    <row r="244" spans="1:14" ht="14.25" customHeight="1" x14ac:dyDescent="0.35">
      <c r="A244" s="7">
        <v>218</v>
      </c>
      <c r="B244" s="98">
        <f t="shared" si="0"/>
        <v>286.91000000000003</v>
      </c>
      <c r="C244" s="98">
        <f t="shared" si="1"/>
        <v>123.82</v>
      </c>
      <c r="D244" s="98">
        <f t="shared" si="2"/>
        <v>163.09000000000003</v>
      </c>
      <c r="E244" s="98">
        <f t="shared" si="3"/>
        <v>31118.259999999987</v>
      </c>
      <c r="J244" s="7">
        <v>218</v>
      </c>
      <c r="K244" s="98">
        <f t="shared" si="10"/>
        <v>284.2</v>
      </c>
      <c r="L244" s="98">
        <f t="shared" si="11"/>
        <v>172.81</v>
      </c>
      <c r="M244" s="98">
        <f t="shared" si="6"/>
        <v>111.38999999999999</v>
      </c>
      <c r="N244" s="98">
        <f t="shared" si="7"/>
        <v>37253.37000000001</v>
      </c>
    </row>
    <row r="245" spans="1:14" ht="14.25" customHeight="1" x14ac:dyDescent="0.35">
      <c r="A245" s="7">
        <v>219</v>
      </c>
      <c r="B245" s="98">
        <f t="shared" si="0"/>
        <v>286.91000000000003</v>
      </c>
      <c r="C245" s="98">
        <f t="shared" si="1"/>
        <v>123.18</v>
      </c>
      <c r="D245" s="98">
        <f t="shared" si="2"/>
        <v>163.73000000000002</v>
      </c>
      <c r="E245" s="98">
        <f t="shared" si="3"/>
        <v>30954.529999999988</v>
      </c>
      <c r="J245" s="7">
        <v>219</v>
      </c>
      <c r="K245" s="98">
        <f t="shared" si="10"/>
        <v>284.2</v>
      </c>
      <c r="L245" s="98">
        <f t="shared" si="11"/>
        <v>172.3</v>
      </c>
      <c r="M245" s="98">
        <f t="shared" si="6"/>
        <v>111.89999999999998</v>
      </c>
      <c r="N245" s="98">
        <f t="shared" si="7"/>
        <v>37141.470000000008</v>
      </c>
    </row>
    <row r="246" spans="1:14" ht="14.25" customHeight="1" x14ac:dyDescent="0.35">
      <c r="A246" s="7">
        <v>220</v>
      </c>
      <c r="B246" s="98">
        <f t="shared" si="0"/>
        <v>286.91000000000003</v>
      </c>
      <c r="C246" s="98">
        <f t="shared" si="1"/>
        <v>122.53</v>
      </c>
      <c r="D246" s="98">
        <f t="shared" si="2"/>
        <v>164.38000000000002</v>
      </c>
      <c r="E246" s="98">
        <f t="shared" si="3"/>
        <v>30790.149999999987</v>
      </c>
      <c r="J246" s="7">
        <v>220</v>
      </c>
      <c r="K246" s="98">
        <f t="shared" si="10"/>
        <v>284.2</v>
      </c>
      <c r="L246" s="98">
        <f t="shared" si="11"/>
        <v>171.78</v>
      </c>
      <c r="M246" s="98">
        <f t="shared" si="6"/>
        <v>112.41999999999999</v>
      </c>
      <c r="N246" s="98">
        <f t="shared" si="7"/>
        <v>37029.05000000001</v>
      </c>
    </row>
    <row r="247" spans="1:14" ht="14.25" customHeight="1" x14ac:dyDescent="0.35">
      <c r="A247" s="7">
        <v>221</v>
      </c>
      <c r="B247" s="98">
        <f t="shared" si="0"/>
        <v>286.91000000000003</v>
      </c>
      <c r="C247" s="98">
        <f t="shared" si="1"/>
        <v>121.88</v>
      </c>
      <c r="D247" s="98">
        <f t="shared" si="2"/>
        <v>165.03000000000003</v>
      </c>
      <c r="E247" s="98">
        <f t="shared" si="3"/>
        <v>30625.119999999988</v>
      </c>
      <c r="J247" s="7">
        <v>221</v>
      </c>
      <c r="K247" s="98">
        <f t="shared" si="10"/>
        <v>284.2</v>
      </c>
      <c r="L247" s="98">
        <f t="shared" si="11"/>
        <v>171.26</v>
      </c>
      <c r="M247" s="98">
        <f t="shared" si="6"/>
        <v>112.94</v>
      </c>
      <c r="N247" s="98">
        <f t="shared" si="7"/>
        <v>36916.110000000008</v>
      </c>
    </row>
    <row r="248" spans="1:14" ht="14.25" customHeight="1" x14ac:dyDescent="0.35">
      <c r="A248" s="7">
        <v>222</v>
      </c>
      <c r="B248" s="98">
        <f t="shared" si="0"/>
        <v>286.91000000000003</v>
      </c>
      <c r="C248" s="98">
        <f t="shared" si="1"/>
        <v>121.22</v>
      </c>
      <c r="D248" s="98">
        <f t="shared" si="2"/>
        <v>165.69000000000003</v>
      </c>
      <c r="E248" s="98">
        <f t="shared" si="3"/>
        <v>30459.429999999989</v>
      </c>
      <c r="J248" s="7">
        <v>222</v>
      </c>
      <c r="K248" s="98">
        <f t="shared" si="10"/>
        <v>284.2</v>
      </c>
      <c r="L248" s="98">
        <f t="shared" si="11"/>
        <v>170.74</v>
      </c>
      <c r="M248" s="98">
        <f t="shared" si="6"/>
        <v>113.45999999999998</v>
      </c>
      <c r="N248" s="98">
        <f t="shared" si="7"/>
        <v>36802.650000000009</v>
      </c>
    </row>
    <row r="249" spans="1:14" ht="14.25" customHeight="1" x14ac:dyDescent="0.35">
      <c r="A249" s="7">
        <v>223</v>
      </c>
      <c r="B249" s="98">
        <f t="shared" si="0"/>
        <v>286.91000000000003</v>
      </c>
      <c r="C249" s="98">
        <f t="shared" si="1"/>
        <v>120.57</v>
      </c>
      <c r="D249" s="98">
        <f t="shared" si="2"/>
        <v>166.34000000000003</v>
      </c>
      <c r="E249" s="98">
        <f t="shared" si="3"/>
        <v>30293.089999999989</v>
      </c>
      <c r="J249" s="7">
        <v>223</v>
      </c>
      <c r="K249" s="98">
        <f t="shared" si="10"/>
        <v>284.2</v>
      </c>
      <c r="L249" s="98">
        <f t="shared" si="11"/>
        <v>170.21</v>
      </c>
      <c r="M249" s="98">
        <f t="shared" si="6"/>
        <v>113.98999999999998</v>
      </c>
      <c r="N249" s="98">
        <f t="shared" si="7"/>
        <v>36688.660000000011</v>
      </c>
    </row>
    <row r="250" spans="1:14" ht="14.25" customHeight="1" x14ac:dyDescent="0.35">
      <c r="A250" s="7">
        <v>224</v>
      </c>
      <c r="B250" s="98">
        <f t="shared" si="0"/>
        <v>286.91000000000003</v>
      </c>
      <c r="C250" s="98">
        <f t="shared" si="1"/>
        <v>119.91</v>
      </c>
      <c r="D250" s="98">
        <f t="shared" si="2"/>
        <v>167.00000000000003</v>
      </c>
      <c r="E250" s="98">
        <f t="shared" si="3"/>
        <v>30126.089999999989</v>
      </c>
      <c r="J250" s="7">
        <v>224</v>
      </c>
      <c r="K250" s="98">
        <f t="shared" si="10"/>
        <v>284.2</v>
      </c>
      <c r="L250" s="98">
        <f t="shared" si="11"/>
        <v>169.69</v>
      </c>
      <c r="M250" s="98">
        <f t="shared" si="6"/>
        <v>114.50999999999999</v>
      </c>
      <c r="N250" s="98">
        <f t="shared" si="7"/>
        <v>36574.150000000009</v>
      </c>
    </row>
    <row r="251" spans="1:14" ht="14.25" customHeight="1" x14ac:dyDescent="0.35">
      <c r="A251" s="7">
        <v>225</v>
      </c>
      <c r="B251" s="98">
        <f t="shared" si="0"/>
        <v>286.91000000000003</v>
      </c>
      <c r="C251" s="98">
        <f t="shared" si="1"/>
        <v>119.25</v>
      </c>
      <c r="D251" s="98">
        <f t="shared" si="2"/>
        <v>167.66000000000003</v>
      </c>
      <c r="E251" s="98">
        <f t="shared" si="3"/>
        <v>29958.429999999989</v>
      </c>
      <c r="J251" s="7">
        <v>225</v>
      </c>
      <c r="K251" s="98">
        <f t="shared" si="10"/>
        <v>284.2</v>
      </c>
      <c r="L251" s="98">
        <f t="shared" si="11"/>
        <v>169.16</v>
      </c>
      <c r="M251" s="98">
        <f t="shared" si="6"/>
        <v>115.03999999999999</v>
      </c>
      <c r="N251" s="98">
        <f t="shared" si="7"/>
        <v>36459.110000000008</v>
      </c>
    </row>
    <row r="252" spans="1:14" ht="14.25" customHeight="1" x14ac:dyDescent="0.35">
      <c r="A252" s="7">
        <v>226</v>
      </c>
      <c r="B252" s="98">
        <f t="shared" si="0"/>
        <v>286.91000000000003</v>
      </c>
      <c r="C252" s="98">
        <f t="shared" si="1"/>
        <v>118.59</v>
      </c>
      <c r="D252" s="98">
        <f t="shared" si="2"/>
        <v>168.32000000000002</v>
      </c>
      <c r="E252" s="98">
        <f t="shared" si="3"/>
        <v>29790.10999999999</v>
      </c>
      <c r="J252" s="7">
        <v>226</v>
      </c>
      <c r="K252" s="98">
        <f t="shared" si="10"/>
        <v>284.2</v>
      </c>
      <c r="L252" s="98">
        <f t="shared" si="11"/>
        <v>168.62</v>
      </c>
      <c r="M252" s="98">
        <f t="shared" si="6"/>
        <v>115.57999999999998</v>
      </c>
      <c r="N252" s="98">
        <f t="shared" si="7"/>
        <v>36343.530000000006</v>
      </c>
    </row>
    <row r="253" spans="1:14" ht="14.25" customHeight="1" x14ac:dyDescent="0.35">
      <c r="A253" s="7">
        <v>227</v>
      </c>
      <c r="B253" s="98">
        <f t="shared" si="0"/>
        <v>286.91000000000003</v>
      </c>
      <c r="C253" s="98">
        <f t="shared" si="1"/>
        <v>117.92</v>
      </c>
      <c r="D253" s="98">
        <f t="shared" si="2"/>
        <v>168.99</v>
      </c>
      <c r="E253" s="98">
        <f t="shared" si="3"/>
        <v>29621.119999999988</v>
      </c>
      <c r="J253" s="7">
        <v>227</v>
      </c>
      <c r="K253" s="98">
        <f t="shared" si="10"/>
        <v>284.2</v>
      </c>
      <c r="L253" s="98">
        <f t="shared" si="11"/>
        <v>168.09</v>
      </c>
      <c r="M253" s="98">
        <f t="shared" si="6"/>
        <v>116.10999999999999</v>
      </c>
      <c r="N253" s="98">
        <f t="shared" si="7"/>
        <v>36227.420000000006</v>
      </c>
    </row>
    <row r="254" spans="1:14" ht="14.25" customHeight="1" x14ac:dyDescent="0.35">
      <c r="A254" s="7">
        <v>228</v>
      </c>
      <c r="B254" s="98">
        <f t="shared" si="0"/>
        <v>286.91000000000003</v>
      </c>
      <c r="C254" s="98">
        <f t="shared" si="1"/>
        <v>117.25</v>
      </c>
      <c r="D254" s="98">
        <f t="shared" si="2"/>
        <v>169.66000000000003</v>
      </c>
      <c r="E254" s="98">
        <f t="shared" si="3"/>
        <v>29451.459999999988</v>
      </c>
      <c r="J254" s="7">
        <v>228</v>
      </c>
      <c r="K254" s="98">
        <f t="shared" si="10"/>
        <v>284.2</v>
      </c>
      <c r="L254" s="98">
        <f t="shared" si="11"/>
        <v>167.55</v>
      </c>
      <c r="M254" s="98">
        <f t="shared" si="6"/>
        <v>116.64999999999998</v>
      </c>
      <c r="N254" s="98">
        <f t="shared" si="7"/>
        <v>36110.770000000004</v>
      </c>
    </row>
    <row r="255" spans="1:14" ht="14.25" customHeight="1" x14ac:dyDescent="0.35">
      <c r="A255" s="7">
        <v>229</v>
      </c>
      <c r="B255" s="98">
        <f t="shared" si="0"/>
        <v>286.91000000000003</v>
      </c>
      <c r="C255" s="98">
        <f t="shared" si="1"/>
        <v>116.58</v>
      </c>
      <c r="D255" s="98">
        <f t="shared" si="2"/>
        <v>170.33000000000004</v>
      </c>
      <c r="E255" s="98">
        <f t="shared" si="3"/>
        <v>29281.129999999986</v>
      </c>
      <c r="J255" s="7">
        <v>229</v>
      </c>
      <c r="K255" s="98">
        <f t="shared" si="10"/>
        <v>284.2</v>
      </c>
      <c r="L255" s="98">
        <f t="shared" si="11"/>
        <v>167.01</v>
      </c>
      <c r="M255" s="98">
        <f t="shared" si="6"/>
        <v>117.19</v>
      </c>
      <c r="N255" s="98">
        <f t="shared" si="7"/>
        <v>35993.58</v>
      </c>
    </row>
    <row r="256" spans="1:14" ht="14.25" customHeight="1" x14ac:dyDescent="0.35">
      <c r="A256" s="7">
        <v>230</v>
      </c>
      <c r="B256" s="98">
        <f t="shared" si="0"/>
        <v>286.91000000000003</v>
      </c>
      <c r="C256" s="98">
        <f t="shared" si="1"/>
        <v>115.9</v>
      </c>
      <c r="D256" s="98">
        <f t="shared" si="2"/>
        <v>171.01000000000002</v>
      </c>
      <c r="E256" s="98">
        <f t="shared" si="3"/>
        <v>29110.119999999988</v>
      </c>
      <c r="J256" s="7">
        <v>230</v>
      </c>
      <c r="K256" s="98">
        <f t="shared" si="10"/>
        <v>284.2</v>
      </c>
      <c r="L256" s="98">
        <f t="shared" si="11"/>
        <v>166.47</v>
      </c>
      <c r="M256" s="98">
        <f t="shared" si="6"/>
        <v>117.72999999999999</v>
      </c>
      <c r="N256" s="98">
        <f t="shared" si="7"/>
        <v>35875.85</v>
      </c>
    </row>
    <row r="257" spans="1:14" ht="14.25" customHeight="1" x14ac:dyDescent="0.35">
      <c r="A257" s="7">
        <v>231</v>
      </c>
      <c r="B257" s="98">
        <f t="shared" si="0"/>
        <v>286.91000000000003</v>
      </c>
      <c r="C257" s="98">
        <f t="shared" si="1"/>
        <v>115.23</v>
      </c>
      <c r="D257" s="98">
        <f t="shared" si="2"/>
        <v>171.68</v>
      </c>
      <c r="E257" s="98">
        <f t="shared" si="3"/>
        <v>28938.439999999988</v>
      </c>
      <c r="J257" s="7">
        <v>231</v>
      </c>
      <c r="K257" s="98">
        <f t="shared" si="10"/>
        <v>284.2</v>
      </c>
      <c r="L257" s="98">
        <f t="shared" si="11"/>
        <v>165.93</v>
      </c>
      <c r="M257" s="98">
        <f t="shared" si="6"/>
        <v>118.26999999999998</v>
      </c>
      <c r="N257" s="98">
        <f t="shared" si="7"/>
        <v>35757.58</v>
      </c>
    </row>
    <row r="258" spans="1:14" ht="14.25" customHeight="1" x14ac:dyDescent="0.35">
      <c r="A258" s="7">
        <v>232</v>
      </c>
      <c r="B258" s="98">
        <f t="shared" si="0"/>
        <v>286.91000000000003</v>
      </c>
      <c r="C258" s="98">
        <f t="shared" si="1"/>
        <v>114.55</v>
      </c>
      <c r="D258" s="98">
        <f t="shared" si="2"/>
        <v>172.36</v>
      </c>
      <c r="E258" s="98">
        <f t="shared" si="3"/>
        <v>28766.079999999987</v>
      </c>
      <c r="J258" s="7">
        <v>232</v>
      </c>
      <c r="K258" s="98">
        <f t="shared" si="10"/>
        <v>284.2</v>
      </c>
      <c r="L258" s="98">
        <f t="shared" si="11"/>
        <v>165.38</v>
      </c>
      <c r="M258" s="98">
        <f t="shared" si="6"/>
        <v>118.82</v>
      </c>
      <c r="N258" s="98">
        <f t="shared" si="7"/>
        <v>35638.76</v>
      </c>
    </row>
    <row r="259" spans="1:14" ht="14.25" customHeight="1" x14ac:dyDescent="0.35">
      <c r="A259" s="7">
        <v>233</v>
      </c>
      <c r="B259" s="98">
        <f t="shared" si="0"/>
        <v>286.91000000000003</v>
      </c>
      <c r="C259" s="98">
        <f t="shared" si="1"/>
        <v>113.87</v>
      </c>
      <c r="D259" s="98">
        <f t="shared" si="2"/>
        <v>173.04000000000002</v>
      </c>
      <c r="E259" s="98">
        <f t="shared" si="3"/>
        <v>28593.039999999986</v>
      </c>
      <c r="J259" s="7">
        <v>233</v>
      </c>
      <c r="K259" s="98">
        <f t="shared" si="10"/>
        <v>284.2</v>
      </c>
      <c r="L259" s="98">
        <f t="shared" si="11"/>
        <v>164.83</v>
      </c>
      <c r="M259" s="98">
        <f t="shared" si="6"/>
        <v>119.36999999999998</v>
      </c>
      <c r="N259" s="98">
        <f t="shared" si="7"/>
        <v>35519.39</v>
      </c>
    </row>
    <row r="260" spans="1:14" ht="14.25" customHeight="1" x14ac:dyDescent="0.35">
      <c r="A260" s="7">
        <v>234</v>
      </c>
      <c r="B260" s="98">
        <f t="shared" si="0"/>
        <v>286.91000000000003</v>
      </c>
      <c r="C260" s="98">
        <f t="shared" si="1"/>
        <v>113.18</v>
      </c>
      <c r="D260" s="98">
        <f t="shared" si="2"/>
        <v>173.73000000000002</v>
      </c>
      <c r="E260" s="98">
        <f t="shared" si="3"/>
        <v>28419.309999999987</v>
      </c>
      <c r="J260" s="7">
        <v>234</v>
      </c>
      <c r="K260" s="98">
        <f t="shared" si="10"/>
        <v>284.2</v>
      </c>
      <c r="L260" s="98">
        <f t="shared" si="11"/>
        <v>164.28</v>
      </c>
      <c r="M260" s="98">
        <f t="shared" si="6"/>
        <v>119.91999999999999</v>
      </c>
      <c r="N260" s="98">
        <f t="shared" si="7"/>
        <v>35399.47</v>
      </c>
    </row>
    <row r="261" spans="1:14" ht="14.25" customHeight="1" x14ac:dyDescent="0.35">
      <c r="A261" s="7">
        <v>235</v>
      </c>
      <c r="B261" s="98">
        <f t="shared" si="0"/>
        <v>286.91000000000003</v>
      </c>
      <c r="C261" s="98">
        <f t="shared" si="1"/>
        <v>112.49</v>
      </c>
      <c r="D261" s="98">
        <f t="shared" si="2"/>
        <v>174.42000000000002</v>
      </c>
      <c r="E261" s="98">
        <f t="shared" si="3"/>
        <v>28244.889999999989</v>
      </c>
      <c r="J261" s="7">
        <v>235</v>
      </c>
      <c r="K261" s="98">
        <f t="shared" si="10"/>
        <v>284.2</v>
      </c>
      <c r="L261" s="98">
        <f t="shared" si="11"/>
        <v>163.72</v>
      </c>
      <c r="M261" s="98">
        <f t="shared" si="6"/>
        <v>120.47999999999999</v>
      </c>
      <c r="N261" s="98">
        <f t="shared" si="7"/>
        <v>35278.99</v>
      </c>
    </row>
    <row r="262" spans="1:14" ht="14.25" customHeight="1" x14ac:dyDescent="0.35">
      <c r="A262" s="7">
        <v>236</v>
      </c>
      <c r="B262" s="98">
        <f t="shared" si="0"/>
        <v>286.91000000000003</v>
      </c>
      <c r="C262" s="98">
        <f t="shared" si="1"/>
        <v>111.8</v>
      </c>
      <c r="D262" s="98">
        <f t="shared" si="2"/>
        <v>175.11</v>
      </c>
      <c r="E262" s="98">
        <f t="shared" si="3"/>
        <v>28069.779999999988</v>
      </c>
      <c r="J262" s="7">
        <v>236</v>
      </c>
      <c r="K262" s="98">
        <f t="shared" si="10"/>
        <v>284.2</v>
      </c>
      <c r="L262" s="98">
        <f t="shared" si="11"/>
        <v>163.16999999999999</v>
      </c>
      <c r="M262" s="98">
        <f t="shared" si="6"/>
        <v>121.03</v>
      </c>
      <c r="N262" s="98">
        <f t="shared" si="7"/>
        <v>35157.96</v>
      </c>
    </row>
    <row r="263" spans="1:14" ht="14.25" customHeight="1" x14ac:dyDescent="0.35">
      <c r="A263" s="7">
        <v>237</v>
      </c>
      <c r="B263" s="98">
        <f t="shared" si="0"/>
        <v>286.91000000000003</v>
      </c>
      <c r="C263" s="98">
        <f t="shared" si="1"/>
        <v>111.11</v>
      </c>
      <c r="D263" s="98">
        <f t="shared" si="2"/>
        <v>175.8</v>
      </c>
      <c r="E263" s="98">
        <f t="shared" si="3"/>
        <v>27893.979999999989</v>
      </c>
      <c r="J263" s="7">
        <v>237</v>
      </c>
      <c r="K263" s="98">
        <f t="shared" si="10"/>
        <v>284.2</v>
      </c>
      <c r="L263" s="98">
        <f t="shared" si="11"/>
        <v>162.61000000000001</v>
      </c>
      <c r="M263" s="98">
        <f t="shared" si="6"/>
        <v>121.58999999999997</v>
      </c>
      <c r="N263" s="98">
        <f t="shared" si="7"/>
        <v>35036.370000000003</v>
      </c>
    </row>
    <row r="264" spans="1:14" ht="14.25" customHeight="1" x14ac:dyDescent="0.35">
      <c r="A264" s="7">
        <v>238</v>
      </c>
      <c r="B264" s="98">
        <f t="shared" si="0"/>
        <v>286.91000000000003</v>
      </c>
      <c r="C264" s="98">
        <f t="shared" si="1"/>
        <v>110.41</v>
      </c>
      <c r="D264" s="98">
        <f t="shared" si="2"/>
        <v>176.50000000000003</v>
      </c>
      <c r="E264" s="98">
        <f t="shared" si="3"/>
        <v>27717.479999999989</v>
      </c>
      <c r="J264" s="7">
        <v>238</v>
      </c>
      <c r="K264" s="98">
        <f t="shared" si="10"/>
        <v>284.2</v>
      </c>
      <c r="L264" s="98">
        <f t="shared" si="11"/>
        <v>162.04</v>
      </c>
      <c r="M264" s="98">
        <f t="shared" si="6"/>
        <v>122.16</v>
      </c>
      <c r="N264" s="98">
        <f t="shared" si="7"/>
        <v>34914.21</v>
      </c>
    </row>
    <row r="265" spans="1:14" ht="14.25" customHeight="1" x14ac:dyDescent="0.35">
      <c r="A265" s="7">
        <v>239</v>
      </c>
      <c r="B265" s="98">
        <f t="shared" si="0"/>
        <v>286.91000000000003</v>
      </c>
      <c r="C265" s="98">
        <f t="shared" si="1"/>
        <v>109.72</v>
      </c>
      <c r="D265" s="98">
        <f t="shared" si="2"/>
        <v>177.19000000000003</v>
      </c>
      <c r="E265" s="98">
        <f t="shared" si="3"/>
        <v>27540.28999999999</v>
      </c>
      <c r="J265" s="7">
        <v>239</v>
      </c>
      <c r="K265" s="98">
        <f t="shared" si="10"/>
        <v>284.2</v>
      </c>
      <c r="L265" s="98">
        <f t="shared" si="11"/>
        <v>161.47999999999999</v>
      </c>
      <c r="M265" s="98">
        <f t="shared" si="6"/>
        <v>122.72</v>
      </c>
      <c r="N265" s="98">
        <f t="shared" si="7"/>
        <v>34791.49</v>
      </c>
    </row>
    <row r="266" spans="1:14" ht="14.25" customHeight="1" x14ac:dyDescent="0.35">
      <c r="A266" s="7">
        <v>240</v>
      </c>
      <c r="B266" s="98">
        <f t="shared" si="0"/>
        <v>286.91000000000003</v>
      </c>
      <c r="C266" s="98">
        <f t="shared" si="1"/>
        <v>109.01</v>
      </c>
      <c r="D266" s="98">
        <f t="shared" si="2"/>
        <v>177.90000000000003</v>
      </c>
      <c r="E266" s="98">
        <f t="shared" si="3"/>
        <v>27362.389999999989</v>
      </c>
      <c r="J266" s="7">
        <v>240</v>
      </c>
      <c r="K266" s="98">
        <f t="shared" si="10"/>
        <v>284.2</v>
      </c>
      <c r="L266" s="98">
        <f t="shared" si="11"/>
        <v>160.91</v>
      </c>
      <c r="M266" s="98">
        <f t="shared" si="6"/>
        <v>123.28999999999999</v>
      </c>
      <c r="N266" s="98">
        <f t="shared" si="7"/>
        <v>34668.199999999997</v>
      </c>
    </row>
    <row r="267" spans="1:14" ht="14.25" customHeight="1" x14ac:dyDescent="0.35">
      <c r="A267" s="7">
        <v>241</v>
      </c>
      <c r="B267" s="98">
        <f t="shared" si="0"/>
        <v>286.91000000000003</v>
      </c>
      <c r="C267" s="98">
        <f t="shared" si="1"/>
        <v>108.31</v>
      </c>
      <c r="D267" s="98">
        <f t="shared" si="2"/>
        <v>178.60000000000002</v>
      </c>
      <c r="E267" s="98">
        <f t="shared" si="3"/>
        <v>27183.78999999999</v>
      </c>
      <c r="J267" s="7">
        <v>241</v>
      </c>
      <c r="K267" s="98">
        <f t="shared" si="10"/>
        <v>284.2</v>
      </c>
      <c r="L267" s="98">
        <f t="shared" si="11"/>
        <v>160.34</v>
      </c>
      <c r="M267" s="98">
        <f t="shared" si="6"/>
        <v>123.85999999999999</v>
      </c>
      <c r="N267" s="98">
        <f t="shared" si="7"/>
        <v>34544.339999999997</v>
      </c>
    </row>
    <row r="268" spans="1:14" ht="14.25" customHeight="1" x14ac:dyDescent="0.35">
      <c r="A268" s="7">
        <v>242</v>
      </c>
      <c r="B268" s="98">
        <f t="shared" si="0"/>
        <v>286.91000000000003</v>
      </c>
      <c r="C268" s="98">
        <f t="shared" si="1"/>
        <v>107.6</v>
      </c>
      <c r="D268" s="98">
        <f t="shared" si="2"/>
        <v>179.31000000000003</v>
      </c>
      <c r="E268" s="98">
        <f t="shared" si="3"/>
        <v>27004.479999999989</v>
      </c>
      <c r="J268" s="7">
        <v>242</v>
      </c>
      <c r="K268" s="98">
        <f t="shared" si="10"/>
        <v>284.2</v>
      </c>
      <c r="L268" s="98">
        <f t="shared" si="11"/>
        <v>159.77000000000001</v>
      </c>
      <c r="M268" s="98">
        <f t="shared" si="6"/>
        <v>124.42999999999998</v>
      </c>
      <c r="N268" s="98">
        <f t="shared" si="7"/>
        <v>34419.909999999996</v>
      </c>
    </row>
    <row r="269" spans="1:14" ht="14.25" customHeight="1" x14ac:dyDescent="0.35">
      <c r="A269" s="7">
        <v>243</v>
      </c>
      <c r="B269" s="98">
        <f t="shared" si="0"/>
        <v>286.91000000000003</v>
      </c>
      <c r="C269" s="98">
        <f t="shared" si="1"/>
        <v>106.89</v>
      </c>
      <c r="D269" s="98">
        <f t="shared" si="2"/>
        <v>180.02000000000004</v>
      </c>
      <c r="E269" s="98">
        <f t="shared" si="3"/>
        <v>26824.459999999988</v>
      </c>
      <c r="J269" s="7">
        <v>243</v>
      </c>
      <c r="K269" s="98">
        <f t="shared" si="10"/>
        <v>284.2</v>
      </c>
      <c r="L269" s="98">
        <f t="shared" si="11"/>
        <v>159.19</v>
      </c>
      <c r="M269" s="98">
        <f t="shared" si="6"/>
        <v>125.00999999999999</v>
      </c>
      <c r="N269" s="98">
        <f t="shared" si="7"/>
        <v>34294.899999999994</v>
      </c>
    </row>
    <row r="270" spans="1:14" ht="14.25" customHeight="1" x14ac:dyDescent="0.35">
      <c r="A270" s="7">
        <v>244</v>
      </c>
      <c r="B270" s="98">
        <f t="shared" si="0"/>
        <v>286.91000000000003</v>
      </c>
      <c r="C270" s="98">
        <f t="shared" si="1"/>
        <v>106.18</v>
      </c>
      <c r="D270" s="98">
        <f t="shared" si="2"/>
        <v>180.73000000000002</v>
      </c>
      <c r="E270" s="98">
        <f t="shared" si="3"/>
        <v>26643.729999999989</v>
      </c>
      <c r="J270" s="7">
        <v>244</v>
      </c>
      <c r="K270" s="98">
        <f t="shared" si="10"/>
        <v>284.2</v>
      </c>
      <c r="L270" s="98">
        <f t="shared" si="11"/>
        <v>158.61000000000001</v>
      </c>
      <c r="M270" s="98">
        <f t="shared" si="6"/>
        <v>125.58999999999997</v>
      </c>
      <c r="N270" s="98">
        <f t="shared" si="7"/>
        <v>34169.31</v>
      </c>
    </row>
    <row r="271" spans="1:14" ht="14.25" customHeight="1" x14ac:dyDescent="0.35">
      <c r="A271" s="7">
        <v>245</v>
      </c>
      <c r="B271" s="98">
        <f t="shared" si="0"/>
        <v>286.91000000000003</v>
      </c>
      <c r="C271" s="98">
        <f t="shared" si="1"/>
        <v>105.46</v>
      </c>
      <c r="D271" s="98">
        <f t="shared" si="2"/>
        <v>181.45000000000005</v>
      </c>
      <c r="E271" s="98">
        <f t="shared" si="3"/>
        <v>26462.279999999988</v>
      </c>
      <c r="J271" s="7">
        <v>245</v>
      </c>
      <c r="K271" s="98">
        <f t="shared" si="10"/>
        <v>284.2</v>
      </c>
      <c r="L271" s="98">
        <f t="shared" si="11"/>
        <v>158.03</v>
      </c>
      <c r="M271" s="98">
        <f t="shared" si="6"/>
        <v>126.16999999999999</v>
      </c>
      <c r="N271" s="98">
        <f t="shared" si="7"/>
        <v>34043.14</v>
      </c>
    </row>
    <row r="272" spans="1:14" ht="14.25" customHeight="1" x14ac:dyDescent="0.35">
      <c r="A272" s="7">
        <v>246</v>
      </c>
      <c r="B272" s="98">
        <f t="shared" si="0"/>
        <v>286.91000000000003</v>
      </c>
      <c r="C272" s="98">
        <f t="shared" si="1"/>
        <v>104.75</v>
      </c>
      <c r="D272" s="98">
        <f t="shared" si="2"/>
        <v>182.16000000000003</v>
      </c>
      <c r="E272" s="98">
        <f t="shared" si="3"/>
        <v>26280.119999999988</v>
      </c>
      <c r="J272" s="7">
        <v>246</v>
      </c>
      <c r="K272" s="98">
        <f t="shared" si="10"/>
        <v>284.2</v>
      </c>
      <c r="L272" s="98">
        <f t="shared" si="11"/>
        <v>157.44999999999999</v>
      </c>
      <c r="M272" s="98">
        <f t="shared" si="6"/>
        <v>126.75</v>
      </c>
      <c r="N272" s="98">
        <f t="shared" si="7"/>
        <v>33916.39</v>
      </c>
    </row>
    <row r="273" spans="1:14" ht="14.25" customHeight="1" x14ac:dyDescent="0.35">
      <c r="A273" s="7">
        <v>247</v>
      </c>
      <c r="B273" s="98">
        <f t="shared" si="0"/>
        <v>286.91000000000003</v>
      </c>
      <c r="C273" s="98">
        <f t="shared" si="1"/>
        <v>104.03</v>
      </c>
      <c r="D273" s="98">
        <f t="shared" si="2"/>
        <v>182.88000000000002</v>
      </c>
      <c r="E273" s="98">
        <f t="shared" si="3"/>
        <v>26097.239999999987</v>
      </c>
      <c r="J273" s="7">
        <v>247</v>
      </c>
      <c r="K273" s="98">
        <f t="shared" si="10"/>
        <v>284.2</v>
      </c>
      <c r="L273" s="98">
        <f t="shared" si="11"/>
        <v>156.86000000000001</v>
      </c>
      <c r="M273" s="98">
        <f t="shared" si="6"/>
        <v>127.33999999999997</v>
      </c>
      <c r="N273" s="98">
        <f t="shared" si="7"/>
        <v>33789.050000000003</v>
      </c>
    </row>
    <row r="274" spans="1:14" ht="14.25" customHeight="1" x14ac:dyDescent="0.35">
      <c r="A274" s="7">
        <v>248</v>
      </c>
      <c r="B274" s="98">
        <f t="shared" si="0"/>
        <v>286.91000000000003</v>
      </c>
      <c r="C274" s="98">
        <f t="shared" si="1"/>
        <v>103.3</v>
      </c>
      <c r="D274" s="98">
        <f t="shared" si="2"/>
        <v>183.61</v>
      </c>
      <c r="E274" s="98">
        <f t="shared" si="3"/>
        <v>25913.629999999986</v>
      </c>
      <c r="J274" s="7">
        <v>248</v>
      </c>
      <c r="K274" s="98">
        <f t="shared" si="10"/>
        <v>284.2</v>
      </c>
      <c r="L274" s="98">
        <f t="shared" si="11"/>
        <v>156.27000000000001</v>
      </c>
      <c r="M274" s="98">
        <f t="shared" si="6"/>
        <v>127.92999999999998</v>
      </c>
      <c r="N274" s="98">
        <f t="shared" si="7"/>
        <v>33661.120000000003</v>
      </c>
    </row>
    <row r="275" spans="1:14" ht="14.25" customHeight="1" x14ac:dyDescent="0.35">
      <c r="A275" s="7">
        <v>249</v>
      </c>
      <c r="B275" s="98">
        <f t="shared" si="0"/>
        <v>286.91000000000003</v>
      </c>
      <c r="C275" s="98">
        <f t="shared" si="1"/>
        <v>102.57</v>
      </c>
      <c r="D275" s="98">
        <f t="shared" si="2"/>
        <v>184.34000000000003</v>
      </c>
      <c r="E275" s="98">
        <f t="shared" si="3"/>
        <v>25729.289999999986</v>
      </c>
      <c r="J275" s="7">
        <v>249</v>
      </c>
      <c r="K275" s="98">
        <f t="shared" si="10"/>
        <v>284.2</v>
      </c>
      <c r="L275" s="98">
        <f t="shared" si="11"/>
        <v>155.68</v>
      </c>
      <c r="M275" s="98">
        <f t="shared" si="6"/>
        <v>128.51999999999998</v>
      </c>
      <c r="N275" s="98">
        <f t="shared" si="7"/>
        <v>33532.600000000006</v>
      </c>
    </row>
    <row r="276" spans="1:14" ht="14.25" customHeight="1" x14ac:dyDescent="0.35">
      <c r="A276" s="7">
        <v>250</v>
      </c>
      <c r="B276" s="98">
        <f t="shared" si="0"/>
        <v>286.91000000000003</v>
      </c>
      <c r="C276" s="98">
        <f t="shared" si="1"/>
        <v>101.85</v>
      </c>
      <c r="D276" s="98">
        <f t="shared" si="2"/>
        <v>185.06000000000003</v>
      </c>
      <c r="E276" s="98">
        <f t="shared" si="3"/>
        <v>25544.229999999985</v>
      </c>
      <c r="J276" s="7">
        <v>250</v>
      </c>
      <c r="K276" s="98">
        <f t="shared" si="10"/>
        <v>284.2</v>
      </c>
      <c r="L276" s="98">
        <f t="shared" si="11"/>
        <v>155.09</v>
      </c>
      <c r="M276" s="98">
        <f t="shared" si="6"/>
        <v>129.10999999999999</v>
      </c>
      <c r="N276" s="98">
        <f t="shared" si="7"/>
        <v>33403.490000000005</v>
      </c>
    </row>
    <row r="277" spans="1:14" ht="14.25" customHeight="1" x14ac:dyDescent="0.35">
      <c r="A277" s="7">
        <v>251</v>
      </c>
      <c r="B277" s="98">
        <f t="shared" si="0"/>
        <v>286.91000000000003</v>
      </c>
      <c r="C277" s="98">
        <f t="shared" si="1"/>
        <v>101.11</v>
      </c>
      <c r="D277" s="98">
        <f t="shared" si="2"/>
        <v>185.8</v>
      </c>
      <c r="E277" s="98">
        <f t="shared" si="3"/>
        <v>25358.429999999986</v>
      </c>
      <c r="J277" s="7">
        <v>251</v>
      </c>
      <c r="K277" s="98">
        <f t="shared" si="10"/>
        <v>284.2</v>
      </c>
      <c r="L277" s="98">
        <f t="shared" si="11"/>
        <v>154.49</v>
      </c>
      <c r="M277" s="98">
        <f t="shared" si="6"/>
        <v>129.70999999999998</v>
      </c>
      <c r="N277" s="98">
        <f t="shared" si="7"/>
        <v>33273.780000000006</v>
      </c>
    </row>
    <row r="278" spans="1:14" ht="14.25" customHeight="1" x14ac:dyDescent="0.35">
      <c r="A278" s="7">
        <v>252</v>
      </c>
      <c r="B278" s="98">
        <f t="shared" si="0"/>
        <v>286.91000000000003</v>
      </c>
      <c r="C278" s="98">
        <f t="shared" si="1"/>
        <v>100.38</v>
      </c>
      <c r="D278" s="98">
        <f t="shared" si="2"/>
        <v>186.53000000000003</v>
      </c>
      <c r="E278" s="98">
        <f t="shared" si="3"/>
        <v>25171.899999999987</v>
      </c>
      <c r="J278" s="7">
        <v>252</v>
      </c>
      <c r="K278" s="98">
        <f t="shared" si="10"/>
        <v>284.2</v>
      </c>
      <c r="L278" s="98">
        <f t="shared" si="11"/>
        <v>153.88999999999999</v>
      </c>
      <c r="M278" s="98">
        <f t="shared" si="6"/>
        <v>130.31</v>
      </c>
      <c r="N278" s="98">
        <f t="shared" si="7"/>
        <v>33143.470000000008</v>
      </c>
    </row>
    <row r="279" spans="1:14" ht="14.25" customHeight="1" x14ac:dyDescent="0.35">
      <c r="A279" s="7">
        <v>253</v>
      </c>
      <c r="B279" s="98">
        <f t="shared" si="0"/>
        <v>286.91000000000003</v>
      </c>
      <c r="C279" s="98">
        <f t="shared" si="1"/>
        <v>99.64</v>
      </c>
      <c r="D279" s="98">
        <f t="shared" si="2"/>
        <v>187.27000000000004</v>
      </c>
      <c r="E279" s="98">
        <f t="shared" si="3"/>
        <v>24984.629999999986</v>
      </c>
      <c r="J279" s="7">
        <v>253</v>
      </c>
      <c r="K279" s="98">
        <f t="shared" si="10"/>
        <v>284.2</v>
      </c>
      <c r="L279" s="98">
        <f t="shared" si="11"/>
        <v>153.29</v>
      </c>
      <c r="M279" s="98">
        <f t="shared" si="6"/>
        <v>130.91</v>
      </c>
      <c r="N279" s="98">
        <f t="shared" si="7"/>
        <v>33012.560000000005</v>
      </c>
    </row>
    <row r="280" spans="1:14" ht="14.25" customHeight="1" x14ac:dyDescent="0.35">
      <c r="A280" s="7">
        <v>254</v>
      </c>
      <c r="B280" s="98">
        <f t="shared" si="0"/>
        <v>286.91000000000003</v>
      </c>
      <c r="C280" s="98">
        <f t="shared" si="1"/>
        <v>98.9</v>
      </c>
      <c r="D280" s="98">
        <f t="shared" si="2"/>
        <v>188.01000000000002</v>
      </c>
      <c r="E280" s="98">
        <f t="shared" si="3"/>
        <v>24796.619999999988</v>
      </c>
      <c r="J280" s="7">
        <v>254</v>
      </c>
      <c r="K280" s="98">
        <f t="shared" si="10"/>
        <v>284.2</v>
      </c>
      <c r="L280" s="98">
        <f t="shared" si="11"/>
        <v>152.68</v>
      </c>
      <c r="M280" s="98">
        <f t="shared" si="6"/>
        <v>131.51999999999998</v>
      </c>
      <c r="N280" s="98">
        <f t="shared" si="7"/>
        <v>32881.040000000008</v>
      </c>
    </row>
    <row r="281" spans="1:14" ht="14.25" customHeight="1" x14ac:dyDescent="0.35">
      <c r="A281" s="7">
        <v>255</v>
      </c>
      <c r="B281" s="98">
        <f t="shared" si="0"/>
        <v>286.91000000000003</v>
      </c>
      <c r="C281" s="98">
        <f t="shared" si="1"/>
        <v>98.15</v>
      </c>
      <c r="D281" s="98">
        <f t="shared" si="2"/>
        <v>188.76000000000002</v>
      </c>
      <c r="E281" s="98">
        <f t="shared" si="3"/>
        <v>24607.85999999999</v>
      </c>
      <c r="J281" s="7">
        <v>255</v>
      </c>
      <c r="K281" s="98">
        <f t="shared" si="10"/>
        <v>284.2</v>
      </c>
      <c r="L281" s="98">
        <f t="shared" si="11"/>
        <v>152.07</v>
      </c>
      <c r="M281" s="98">
        <f t="shared" si="6"/>
        <v>132.13</v>
      </c>
      <c r="N281" s="98">
        <f t="shared" si="7"/>
        <v>32748.910000000007</v>
      </c>
    </row>
    <row r="282" spans="1:14" ht="14.25" customHeight="1" x14ac:dyDescent="0.35">
      <c r="A282" s="7">
        <v>256</v>
      </c>
      <c r="B282" s="98">
        <f t="shared" ref="B282:B385" si="12">-$B$21</f>
        <v>286.91000000000003</v>
      </c>
      <c r="C282" s="98">
        <f t="shared" ref="C282:C386" si="13">ROUND(E281*$B$17,2)</f>
        <v>97.41</v>
      </c>
      <c r="D282" s="98">
        <f t="shared" ref="D282:D385" si="14">B282-C282</f>
        <v>189.50000000000003</v>
      </c>
      <c r="E282" s="98">
        <f t="shared" ref="E282:E386" si="15">E281-D282</f>
        <v>24418.35999999999</v>
      </c>
      <c r="J282" s="7">
        <v>256</v>
      </c>
      <c r="K282" s="98">
        <f t="shared" si="10"/>
        <v>284.2</v>
      </c>
      <c r="L282" s="98">
        <f t="shared" si="11"/>
        <v>151.46</v>
      </c>
      <c r="M282" s="98">
        <f t="shared" ref="M282:M445" si="16">K282-L282</f>
        <v>132.73999999999998</v>
      </c>
      <c r="N282" s="98">
        <f t="shared" ref="N282:N446" si="17">N281-M282</f>
        <v>32616.170000000006</v>
      </c>
    </row>
    <row r="283" spans="1:14" ht="14.25" customHeight="1" x14ac:dyDescent="0.35">
      <c r="A283" s="7">
        <v>257</v>
      </c>
      <c r="B283" s="98">
        <f t="shared" si="12"/>
        <v>286.91000000000003</v>
      </c>
      <c r="C283" s="98">
        <f t="shared" si="13"/>
        <v>96.66</v>
      </c>
      <c r="D283" s="98">
        <f t="shared" si="14"/>
        <v>190.25000000000003</v>
      </c>
      <c r="E283" s="98">
        <f t="shared" si="15"/>
        <v>24228.10999999999</v>
      </c>
      <c r="J283" s="7">
        <v>257</v>
      </c>
      <c r="K283" s="98">
        <f t="shared" si="10"/>
        <v>284.2</v>
      </c>
      <c r="L283" s="98">
        <f t="shared" si="11"/>
        <v>150.85</v>
      </c>
      <c r="M283" s="98">
        <f t="shared" si="16"/>
        <v>133.35</v>
      </c>
      <c r="N283" s="98">
        <f t="shared" si="17"/>
        <v>32482.820000000007</v>
      </c>
    </row>
    <row r="284" spans="1:14" ht="14.25" customHeight="1" x14ac:dyDescent="0.35">
      <c r="A284" s="7">
        <v>258</v>
      </c>
      <c r="B284" s="98">
        <f t="shared" si="12"/>
        <v>286.91000000000003</v>
      </c>
      <c r="C284" s="98">
        <f t="shared" si="13"/>
        <v>95.9</v>
      </c>
      <c r="D284" s="98">
        <f t="shared" si="14"/>
        <v>191.01000000000002</v>
      </c>
      <c r="E284" s="98">
        <f t="shared" si="15"/>
        <v>24037.099999999991</v>
      </c>
      <c r="J284" s="7">
        <v>258</v>
      </c>
      <c r="K284" s="98">
        <f t="shared" si="10"/>
        <v>284.2</v>
      </c>
      <c r="L284" s="98">
        <f t="shared" si="11"/>
        <v>150.22999999999999</v>
      </c>
      <c r="M284" s="98">
        <f t="shared" si="16"/>
        <v>133.97</v>
      </c>
      <c r="N284" s="98">
        <f t="shared" si="17"/>
        <v>32348.850000000006</v>
      </c>
    </row>
    <row r="285" spans="1:14" ht="14.25" customHeight="1" x14ac:dyDescent="0.35">
      <c r="A285" s="7">
        <v>259</v>
      </c>
      <c r="B285" s="98">
        <f t="shared" si="12"/>
        <v>286.91000000000003</v>
      </c>
      <c r="C285" s="98">
        <f t="shared" si="13"/>
        <v>95.15</v>
      </c>
      <c r="D285" s="98">
        <f t="shared" si="14"/>
        <v>191.76000000000002</v>
      </c>
      <c r="E285" s="98">
        <f t="shared" si="15"/>
        <v>23845.339999999993</v>
      </c>
      <c r="J285" s="7">
        <v>259</v>
      </c>
      <c r="K285" s="98">
        <f t="shared" si="10"/>
        <v>284.2</v>
      </c>
      <c r="L285" s="98">
        <f t="shared" si="11"/>
        <v>149.61000000000001</v>
      </c>
      <c r="M285" s="98">
        <f t="shared" si="16"/>
        <v>134.58999999999997</v>
      </c>
      <c r="N285" s="98">
        <f t="shared" si="17"/>
        <v>32214.260000000006</v>
      </c>
    </row>
    <row r="286" spans="1:14" ht="14.25" customHeight="1" x14ac:dyDescent="0.35">
      <c r="A286" s="7">
        <v>260</v>
      </c>
      <c r="B286" s="98">
        <f t="shared" si="12"/>
        <v>286.91000000000003</v>
      </c>
      <c r="C286" s="98">
        <f t="shared" si="13"/>
        <v>94.39</v>
      </c>
      <c r="D286" s="98">
        <f t="shared" si="14"/>
        <v>192.52000000000004</v>
      </c>
      <c r="E286" s="98">
        <f t="shared" si="15"/>
        <v>23652.819999999992</v>
      </c>
      <c r="J286" s="7">
        <v>260</v>
      </c>
      <c r="K286" s="98">
        <f t="shared" si="10"/>
        <v>284.2</v>
      </c>
      <c r="L286" s="98">
        <f t="shared" si="11"/>
        <v>148.99</v>
      </c>
      <c r="M286" s="98">
        <f t="shared" si="16"/>
        <v>135.20999999999998</v>
      </c>
      <c r="N286" s="98">
        <f t="shared" si="17"/>
        <v>32079.050000000007</v>
      </c>
    </row>
    <row r="287" spans="1:14" ht="14.25" customHeight="1" x14ac:dyDescent="0.35">
      <c r="A287" s="7">
        <v>261</v>
      </c>
      <c r="B287" s="98">
        <f t="shared" si="12"/>
        <v>286.91000000000003</v>
      </c>
      <c r="C287" s="98">
        <f t="shared" si="13"/>
        <v>93.63</v>
      </c>
      <c r="D287" s="98">
        <f t="shared" si="14"/>
        <v>193.28000000000003</v>
      </c>
      <c r="E287" s="98">
        <f t="shared" si="15"/>
        <v>23459.539999999994</v>
      </c>
      <c r="J287" s="7">
        <v>261</v>
      </c>
      <c r="K287" s="98">
        <f t="shared" si="10"/>
        <v>284.2</v>
      </c>
      <c r="L287" s="98">
        <f t="shared" si="11"/>
        <v>148.37</v>
      </c>
      <c r="M287" s="98">
        <f t="shared" si="16"/>
        <v>135.82999999999998</v>
      </c>
      <c r="N287" s="98">
        <f t="shared" si="17"/>
        <v>31943.220000000005</v>
      </c>
    </row>
    <row r="288" spans="1:14" ht="14.25" customHeight="1" x14ac:dyDescent="0.35">
      <c r="A288" s="7">
        <v>262</v>
      </c>
      <c r="B288" s="98">
        <f t="shared" si="12"/>
        <v>286.91000000000003</v>
      </c>
      <c r="C288" s="98">
        <f t="shared" si="13"/>
        <v>92.86</v>
      </c>
      <c r="D288" s="98">
        <f t="shared" si="14"/>
        <v>194.05</v>
      </c>
      <c r="E288" s="98">
        <f t="shared" si="15"/>
        <v>23265.489999999994</v>
      </c>
      <c r="J288" s="7">
        <v>262</v>
      </c>
      <c r="K288" s="98">
        <f t="shared" si="10"/>
        <v>284.2</v>
      </c>
      <c r="L288" s="98">
        <f t="shared" si="11"/>
        <v>147.74</v>
      </c>
      <c r="M288" s="98">
        <f t="shared" si="16"/>
        <v>136.45999999999998</v>
      </c>
      <c r="N288" s="98">
        <f t="shared" si="17"/>
        <v>31806.760000000006</v>
      </c>
    </row>
    <row r="289" spans="1:14" ht="14.25" customHeight="1" x14ac:dyDescent="0.35">
      <c r="A289" s="7">
        <v>263</v>
      </c>
      <c r="B289" s="98">
        <f t="shared" si="12"/>
        <v>286.91000000000003</v>
      </c>
      <c r="C289" s="98">
        <f t="shared" si="13"/>
        <v>92.09</v>
      </c>
      <c r="D289" s="98">
        <f t="shared" si="14"/>
        <v>194.82000000000002</v>
      </c>
      <c r="E289" s="98">
        <f t="shared" si="15"/>
        <v>23070.669999999995</v>
      </c>
      <c r="J289" s="7">
        <v>263</v>
      </c>
      <c r="K289" s="98">
        <f t="shared" si="10"/>
        <v>284.2</v>
      </c>
      <c r="L289" s="98">
        <f t="shared" si="11"/>
        <v>147.11000000000001</v>
      </c>
      <c r="M289" s="98">
        <f t="shared" si="16"/>
        <v>137.08999999999997</v>
      </c>
      <c r="N289" s="98">
        <f t="shared" si="17"/>
        <v>31669.670000000006</v>
      </c>
    </row>
    <row r="290" spans="1:14" ht="14.25" customHeight="1" x14ac:dyDescent="0.35">
      <c r="A290" s="7">
        <v>264</v>
      </c>
      <c r="B290" s="98">
        <f t="shared" si="12"/>
        <v>286.91000000000003</v>
      </c>
      <c r="C290" s="98">
        <f t="shared" si="13"/>
        <v>91.32</v>
      </c>
      <c r="D290" s="98">
        <f t="shared" si="14"/>
        <v>195.59000000000003</v>
      </c>
      <c r="E290" s="98">
        <f t="shared" si="15"/>
        <v>22875.079999999994</v>
      </c>
      <c r="J290" s="7">
        <v>264</v>
      </c>
      <c r="K290" s="98">
        <f t="shared" si="10"/>
        <v>284.2</v>
      </c>
      <c r="L290" s="98">
        <f t="shared" si="11"/>
        <v>146.47</v>
      </c>
      <c r="M290" s="98">
        <f t="shared" si="16"/>
        <v>137.72999999999999</v>
      </c>
      <c r="N290" s="98">
        <f t="shared" si="17"/>
        <v>31531.940000000006</v>
      </c>
    </row>
    <row r="291" spans="1:14" ht="14.25" customHeight="1" x14ac:dyDescent="0.35">
      <c r="A291" s="7">
        <v>265</v>
      </c>
      <c r="B291" s="98">
        <f t="shared" si="12"/>
        <v>286.91000000000003</v>
      </c>
      <c r="C291" s="98">
        <f t="shared" si="13"/>
        <v>90.55</v>
      </c>
      <c r="D291" s="98">
        <f t="shared" si="14"/>
        <v>196.36</v>
      </c>
      <c r="E291" s="98">
        <f t="shared" si="15"/>
        <v>22678.719999999994</v>
      </c>
      <c r="J291" s="7">
        <v>265</v>
      </c>
      <c r="K291" s="98">
        <f t="shared" si="10"/>
        <v>284.2</v>
      </c>
      <c r="L291" s="98">
        <f t="shared" si="11"/>
        <v>145.84</v>
      </c>
      <c r="M291" s="98">
        <f t="shared" si="16"/>
        <v>138.35999999999999</v>
      </c>
      <c r="N291" s="98">
        <f t="shared" si="17"/>
        <v>31393.580000000005</v>
      </c>
    </row>
    <row r="292" spans="1:14" ht="14.25" customHeight="1" x14ac:dyDescent="0.35">
      <c r="A292" s="7">
        <v>266</v>
      </c>
      <c r="B292" s="98">
        <f t="shared" si="12"/>
        <v>286.91000000000003</v>
      </c>
      <c r="C292" s="98">
        <f t="shared" si="13"/>
        <v>89.77</v>
      </c>
      <c r="D292" s="98">
        <f t="shared" si="14"/>
        <v>197.14000000000004</v>
      </c>
      <c r="E292" s="98">
        <f t="shared" si="15"/>
        <v>22481.579999999994</v>
      </c>
      <c r="J292" s="7">
        <v>266</v>
      </c>
      <c r="K292" s="98">
        <f t="shared" si="10"/>
        <v>284.2</v>
      </c>
      <c r="L292" s="98">
        <f t="shared" si="11"/>
        <v>145.19999999999999</v>
      </c>
      <c r="M292" s="98">
        <f t="shared" si="16"/>
        <v>139</v>
      </c>
      <c r="N292" s="98">
        <f t="shared" si="17"/>
        <v>31254.580000000005</v>
      </c>
    </row>
    <row r="293" spans="1:14" ht="14.25" customHeight="1" x14ac:dyDescent="0.35">
      <c r="A293" s="7">
        <v>267</v>
      </c>
      <c r="B293" s="98">
        <f t="shared" si="12"/>
        <v>286.91000000000003</v>
      </c>
      <c r="C293" s="98">
        <f t="shared" si="13"/>
        <v>88.99</v>
      </c>
      <c r="D293" s="98">
        <f t="shared" si="14"/>
        <v>197.92000000000002</v>
      </c>
      <c r="E293" s="98">
        <f t="shared" si="15"/>
        <v>22283.659999999996</v>
      </c>
      <c r="J293" s="7">
        <v>267</v>
      </c>
      <c r="K293" s="98">
        <f t="shared" si="10"/>
        <v>284.2</v>
      </c>
      <c r="L293" s="98">
        <f t="shared" si="11"/>
        <v>144.55000000000001</v>
      </c>
      <c r="M293" s="98">
        <f t="shared" si="16"/>
        <v>139.64999999999998</v>
      </c>
      <c r="N293" s="98">
        <f t="shared" si="17"/>
        <v>31114.930000000004</v>
      </c>
    </row>
    <row r="294" spans="1:14" ht="14.25" customHeight="1" x14ac:dyDescent="0.35">
      <c r="A294" s="7">
        <v>268</v>
      </c>
      <c r="B294" s="98">
        <f t="shared" si="12"/>
        <v>286.91000000000003</v>
      </c>
      <c r="C294" s="98">
        <f t="shared" si="13"/>
        <v>88.21</v>
      </c>
      <c r="D294" s="98">
        <f t="shared" si="14"/>
        <v>198.70000000000005</v>
      </c>
      <c r="E294" s="98">
        <f t="shared" si="15"/>
        <v>22084.959999999995</v>
      </c>
      <c r="J294" s="7">
        <v>268</v>
      </c>
      <c r="K294" s="98">
        <f t="shared" si="10"/>
        <v>284.2</v>
      </c>
      <c r="L294" s="98">
        <f t="shared" si="11"/>
        <v>143.91</v>
      </c>
      <c r="M294" s="98">
        <f t="shared" si="16"/>
        <v>140.29</v>
      </c>
      <c r="N294" s="98">
        <f t="shared" si="17"/>
        <v>30974.640000000003</v>
      </c>
    </row>
    <row r="295" spans="1:14" ht="14.25" customHeight="1" x14ac:dyDescent="0.35">
      <c r="A295" s="7">
        <v>269</v>
      </c>
      <c r="B295" s="98">
        <f t="shared" si="12"/>
        <v>286.91000000000003</v>
      </c>
      <c r="C295" s="98">
        <f t="shared" si="13"/>
        <v>87.42</v>
      </c>
      <c r="D295" s="98">
        <f t="shared" si="14"/>
        <v>199.49</v>
      </c>
      <c r="E295" s="98">
        <f t="shared" si="15"/>
        <v>21885.469999999994</v>
      </c>
      <c r="J295" s="7">
        <v>269</v>
      </c>
      <c r="K295" s="98">
        <f t="shared" si="10"/>
        <v>284.2</v>
      </c>
      <c r="L295" s="98">
        <f t="shared" si="11"/>
        <v>143.26</v>
      </c>
      <c r="M295" s="98">
        <f t="shared" si="16"/>
        <v>140.94</v>
      </c>
      <c r="N295" s="98">
        <f t="shared" si="17"/>
        <v>30833.700000000004</v>
      </c>
    </row>
    <row r="296" spans="1:14" ht="14.25" customHeight="1" x14ac:dyDescent="0.35">
      <c r="A296" s="7">
        <v>270</v>
      </c>
      <c r="B296" s="98">
        <f t="shared" si="12"/>
        <v>286.91000000000003</v>
      </c>
      <c r="C296" s="98">
        <f t="shared" si="13"/>
        <v>86.63</v>
      </c>
      <c r="D296" s="98">
        <f t="shared" si="14"/>
        <v>200.28000000000003</v>
      </c>
      <c r="E296" s="98">
        <f t="shared" si="15"/>
        <v>21685.189999999995</v>
      </c>
      <c r="J296" s="7">
        <v>270</v>
      </c>
      <c r="K296" s="98">
        <f t="shared" si="10"/>
        <v>284.2</v>
      </c>
      <c r="L296" s="98">
        <f t="shared" si="11"/>
        <v>142.61000000000001</v>
      </c>
      <c r="M296" s="98">
        <f t="shared" si="16"/>
        <v>141.58999999999997</v>
      </c>
      <c r="N296" s="98">
        <f t="shared" si="17"/>
        <v>30692.110000000004</v>
      </c>
    </row>
    <row r="297" spans="1:14" ht="14.25" customHeight="1" x14ac:dyDescent="0.35">
      <c r="A297" s="7">
        <v>271</v>
      </c>
      <c r="B297" s="98">
        <f t="shared" si="12"/>
        <v>286.91000000000003</v>
      </c>
      <c r="C297" s="98">
        <f t="shared" si="13"/>
        <v>85.84</v>
      </c>
      <c r="D297" s="98">
        <f t="shared" si="14"/>
        <v>201.07000000000002</v>
      </c>
      <c r="E297" s="98">
        <f t="shared" si="15"/>
        <v>21484.119999999995</v>
      </c>
      <c r="J297" s="7">
        <v>271</v>
      </c>
      <c r="K297" s="98">
        <f t="shared" si="10"/>
        <v>284.2</v>
      </c>
      <c r="L297" s="98">
        <f t="shared" si="11"/>
        <v>141.94999999999999</v>
      </c>
      <c r="M297" s="98">
        <f t="shared" si="16"/>
        <v>142.25</v>
      </c>
      <c r="N297" s="98">
        <f t="shared" si="17"/>
        <v>30549.860000000004</v>
      </c>
    </row>
    <row r="298" spans="1:14" ht="14.25" customHeight="1" x14ac:dyDescent="0.35">
      <c r="A298" s="7">
        <v>272</v>
      </c>
      <c r="B298" s="98">
        <f t="shared" si="12"/>
        <v>286.91000000000003</v>
      </c>
      <c r="C298" s="98">
        <f t="shared" si="13"/>
        <v>85.04</v>
      </c>
      <c r="D298" s="98">
        <f t="shared" si="14"/>
        <v>201.87</v>
      </c>
      <c r="E298" s="98">
        <f t="shared" si="15"/>
        <v>21282.249999999996</v>
      </c>
      <c r="J298" s="7">
        <v>272</v>
      </c>
      <c r="K298" s="98">
        <f t="shared" si="10"/>
        <v>284.2</v>
      </c>
      <c r="L298" s="98">
        <f t="shared" si="11"/>
        <v>141.29</v>
      </c>
      <c r="M298" s="98">
        <f t="shared" si="16"/>
        <v>142.91</v>
      </c>
      <c r="N298" s="98">
        <f t="shared" si="17"/>
        <v>30406.950000000004</v>
      </c>
    </row>
    <row r="299" spans="1:14" ht="14.25" customHeight="1" x14ac:dyDescent="0.35">
      <c r="A299" s="7">
        <v>273</v>
      </c>
      <c r="B299" s="98">
        <f t="shared" si="12"/>
        <v>286.91000000000003</v>
      </c>
      <c r="C299" s="98">
        <f t="shared" si="13"/>
        <v>84.24</v>
      </c>
      <c r="D299" s="98">
        <f t="shared" si="14"/>
        <v>202.67000000000002</v>
      </c>
      <c r="E299" s="98">
        <f t="shared" si="15"/>
        <v>21079.579999999998</v>
      </c>
      <c r="J299" s="7">
        <v>273</v>
      </c>
      <c r="K299" s="98">
        <f t="shared" si="10"/>
        <v>284.2</v>
      </c>
      <c r="L299" s="98">
        <f t="shared" si="11"/>
        <v>140.63</v>
      </c>
      <c r="M299" s="98">
        <f t="shared" si="16"/>
        <v>143.57</v>
      </c>
      <c r="N299" s="98">
        <f t="shared" si="17"/>
        <v>30263.380000000005</v>
      </c>
    </row>
    <row r="300" spans="1:14" ht="14.25" customHeight="1" x14ac:dyDescent="0.35">
      <c r="A300" s="7">
        <v>274</v>
      </c>
      <c r="B300" s="98">
        <f t="shared" si="12"/>
        <v>286.91000000000003</v>
      </c>
      <c r="C300" s="98">
        <f t="shared" si="13"/>
        <v>83.44</v>
      </c>
      <c r="D300" s="98">
        <f t="shared" si="14"/>
        <v>203.47000000000003</v>
      </c>
      <c r="E300" s="98">
        <f t="shared" si="15"/>
        <v>20876.109999999997</v>
      </c>
      <c r="J300" s="7">
        <v>274</v>
      </c>
      <c r="K300" s="98">
        <f t="shared" si="10"/>
        <v>284.2</v>
      </c>
      <c r="L300" s="98">
        <f t="shared" si="11"/>
        <v>139.97</v>
      </c>
      <c r="M300" s="98">
        <f t="shared" si="16"/>
        <v>144.22999999999999</v>
      </c>
      <c r="N300" s="98">
        <f t="shared" si="17"/>
        <v>30119.150000000005</v>
      </c>
    </row>
    <row r="301" spans="1:14" ht="14.25" customHeight="1" x14ac:dyDescent="0.35">
      <c r="A301" s="7">
        <v>275</v>
      </c>
      <c r="B301" s="98">
        <f t="shared" si="12"/>
        <v>286.91000000000003</v>
      </c>
      <c r="C301" s="98">
        <f t="shared" si="13"/>
        <v>82.63</v>
      </c>
      <c r="D301" s="98">
        <f t="shared" si="14"/>
        <v>204.28000000000003</v>
      </c>
      <c r="E301" s="98">
        <f t="shared" si="15"/>
        <v>20671.829999999998</v>
      </c>
      <c r="J301" s="7">
        <v>275</v>
      </c>
      <c r="K301" s="98">
        <f t="shared" si="10"/>
        <v>284.2</v>
      </c>
      <c r="L301" s="98">
        <f t="shared" si="11"/>
        <v>139.30000000000001</v>
      </c>
      <c r="M301" s="98">
        <f t="shared" si="16"/>
        <v>144.89999999999998</v>
      </c>
      <c r="N301" s="98">
        <f t="shared" si="17"/>
        <v>29974.250000000004</v>
      </c>
    </row>
    <row r="302" spans="1:14" ht="14.25" customHeight="1" x14ac:dyDescent="0.35">
      <c r="A302" s="7">
        <v>276</v>
      </c>
      <c r="B302" s="98">
        <f t="shared" si="12"/>
        <v>286.91000000000003</v>
      </c>
      <c r="C302" s="98">
        <f t="shared" si="13"/>
        <v>81.83</v>
      </c>
      <c r="D302" s="98">
        <f t="shared" si="14"/>
        <v>205.08000000000004</v>
      </c>
      <c r="E302" s="98">
        <f t="shared" si="15"/>
        <v>20466.749999999996</v>
      </c>
      <c r="J302" s="7">
        <v>276</v>
      </c>
      <c r="K302" s="98">
        <f t="shared" si="10"/>
        <v>284.2</v>
      </c>
      <c r="L302" s="98">
        <f t="shared" si="11"/>
        <v>138.63</v>
      </c>
      <c r="M302" s="98">
        <f t="shared" si="16"/>
        <v>145.57</v>
      </c>
      <c r="N302" s="98">
        <f t="shared" si="17"/>
        <v>29828.680000000004</v>
      </c>
    </row>
    <row r="303" spans="1:14" ht="14.25" customHeight="1" x14ac:dyDescent="0.35">
      <c r="A303" s="7">
        <v>277</v>
      </c>
      <c r="B303" s="98">
        <f t="shared" si="12"/>
        <v>286.91000000000003</v>
      </c>
      <c r="C303" s="98">
        <f t="shared" si="13"/>
        <v>81.010000000000005</v>
      </c>
      <c r="D303" s="98">
        <f t="shared" si="14"/>
        <v>205.90000000000003</v>
      </c>
      <c r="E303" s="98">
        <f t="shared" si="15"/>
        <v>20260.849999999995</v>
      </c>
      <c r="J303" s="7">
        <v>277</v>
      </c>
      <c r="K303" s="98">
        <f t="shared" si="10"/>
        <v>284.2</v>
      </c>
      <c r="L303" s="98">
        <f t="shared" si="11"/>
        <v>137.96</v>
      </c>
      <c r="M303" s="98">
        <f t="shared" si="16"/>
        <v>146.23999999999998</v>
      </c>
      <c r="N303" s="98">
        <f t="shared" si="17"/>
        <v>29682.440000000002</v>
      </c>
    </row>
    <row r="304" spans="1:14" ht="14.25" customHeight="1" x14ac:dyDescent="0.35">
      <c r="A304" s="7">
        <v>278</v>
      </c>
      <c r="B304" s="98">
        <f t="shared" si="12"/>
        <v>286.91000000000003</v>
      </c>
      <c r="C304" s="98">
        <f t="shared" si="13"/>
        <v>80.2</v>
      </c>
      <c r="D304" s="98">
        <f t="shared" si="14"/>
        <v>206.71000000000004</v>
      </c>
      <c r="E304" s="98">
        <f t="shared" si="15"/>
        <v>20054.139999999996</v>
      </c>
      <c r="J304" s="7">
        <v>278</v>
      </c>
      <c r="K304" s="98">
        <f t="shared" si="10"/>
        <v>284.2</v>
      </c>
      <c r="L304" s="98">
        <f t="shared" si="11"/>
        <v>137.28</v>
      </c>
      <c r="M304" s="98">
        <f t="shared" si="16"/>
        <v>146.91999999999999</v>
      </c>
      <c r="N304" s="98">
        <f t="shared" si="17"/>
        <v>29535.520000000004</v>
      </c>
    </row>
    <row r="305" spans="1:14" ht="14.25" customHeight="1" x14ac:dyDescent="0.35">
      <c r="A305" s="7">
        <v>279</v>
      </c>
      <c r="B305" s="98">
        <f t="shared" si="12"/>
        <v>286.91000000000003</v>
      </c>
      <c r="C305" s="98">
        <f t="shared" si="13"/>
        <v>79.38</v>
      </c>
      <c r="D305" s="98">
        <f t="shared" si="14"/>
        <v>207.53000000000003</v>
      </c>
      <c r="E305" s="98">
        <f t="shared" si="15"/>
        <v>19846.609999999997</v>
      </c>
      <c r="J305" s="7">
        <v>279</v>
      </c>
      <c r="K305" s="98">
        <f t="shared" si="10"/>
        <v>284.2</v>
      </c>
      <c r="L305" s="98">
        <f t="shared" si="11"/>
        <v>136.6</v>
      </c>
      <c r="M305" s="98">
        <f t="shared" si="16"/>
        <v>147.6</v>
      </c>
      <c r="N305" s="98">
        <f t="shared" si="17"/>
        <v>29387.920000000006</v>
      </c>
    </row>
    <row r="306" spans="1:14" ht="14.25" customHeight="1" x14ac:dyDescent="0.35">
      <c r="A306" s="7">
        <v>280</v>
      </c>
      <c r="B306" s="98">
        <f t="shared" si="12"/>
        <v>286.91000000000003</v>
      </c>
      <c r="C306" s="98">
        <f t="shared" si="13"/>
        <v>78.56</v>
      </c>
      <c r="D306" s="98">
        <f t="shared" si="14"/>
        <v>208.35000000000002</v>
      </c>
      <c r="E306" s="98">
        <f t="shared" si="15"/>
        <v>19638.259999999998</v>
      </c>
      <c r="J306" s="7">
        <v>280</v>
      </c>
      <c r="K306" s="98">
        <f t="shared" si="10"/>
        <v>284.2</v>
      </c>
      <c r="L306" s="98">
        <f t="shared" si="11"/>
        <v>135.91999999999999</v>
      </c>
      <c r="M306" s="98">
        <f t="shared" si="16"/>
        <v>148.28</v>
      </c>
      <c r="N306" s="98">
        <f t="shared" si="17"/>
        <v>29239.640000000007</v>
      </c>
    </row>
    <row r="307" spans="1:14" ht="14.25" customHeight="1" x14ac:dyDescent="0.35">
      <c r="A307" s="7">
        <v>281</v>
      </c>
      <c r="B307" s="98">
        <f t="shared" si="12"/>
        <v>286.91000000000003</v>
      </c>
      <c r="C307" s="98">
        <f t="shared" si="13"/>
        <v>77.73</v>
      </c>
      <c r="D307" s="98">
        <f t="shared" si="14"/>
        <v>209.18</v>
      </c>
      <c r="E307" s="98">
        <f t="shared" si="15"/>
        <v>19429.079999999998</v>
      </c>
      <c r="J307" s="7">
        <v>281</v>
      </c>
      <c r="K307" s="98">
        <f t="shared" si="10"/>
        <v>284.2</v>
      </c>
      <c r="L307" s="98">
        <f t="shared" si="11"/>
        <v>135.22999999999999</v>
      </c>
      <c r="M307" s="98">
        <f t="shared" si="16"/>
        <v>148.97</v>
      </c>
      <c r="N307" s="98">
        <f t="shared" si="17"/>
        <v>29090.670000000006</v>
      </c>
    </row>
    <row r="308" spans="1:14" ht="14.25" customHeight="1" x14ac:dyDescent="0.35">
      <c r="A308" s="7">
        <v>282</v>
      </c>
      <c r="B308" s="98">
        <f t="shared" si="12"/>
        <v>286.91000000000003</v>
      </c>
      <c r="C308" s="98">
        <f t="shared" si="13"/>
        <v>76.91</v>
      </c>
      <c r="D308" s="98">
        <f t="shared" si="14"/>
        <v>210.00000000000003</v>
      </c>
      <c r="E308" s="98">
        <f t="shared" si="15"/>
        <v>19219.079999999998</v>
      </c>
      <c r="J308" s="7">
        <v>282</v>
      </c>
      <c r="K308" s="98">
        <f t="shared" si="10"/>
        <v>284.2</v>
      </c>
      <c r="L308" s="98">
        <f t="shared" si="11"/>
        <v>134.54</v>
      </c>
      <c r="M308" s="98">
        <f t="shared" si="16"/>
        <v>149.66</v>
      </c>
      <c r="N308" s="98">
        <f t="shared" si="17"/>
        <v>28941.010000000006</v>
      </c>
    </row>
    <row r="309" spans="1:14" ht="14.25" customHeight="1" x14ac:dyDescent="0.35">
      <c r="A309" s="7">
        <v>283</v>
      </c>
      <c r="B309" s="98">
        <f t="shared" si="12"/>
        <v>286.91000000000003</v>
      </c>
      <c r="C309" s="98">
        <f t="shared" si="13"/>
        <v>76.08</v>
      </c>
      <c r="D309" s="98">
        <f t="shared" si="14"/>
        <v>210.83000000000004</v>
      </c>
      <c r="E309" s="98">
        <f t="shared" si="15"/>
        <v>19008.249999999996</v>
      </c>
      <c r="J309" s="7">
        <v>283</v>
      </c>
      <c r="K309" s="98">
        <f t="shared" si="10"/>
        <v>284.2</v>
      </c>
      <c r="L309" s="98">
        <f t="shared" si="11"/>
        <v>133.85</v>
      </c>
      <c r="M309" s="98">
        <f t="shared" si="16"/>
        <v>150.35</v>
      </c>
      <c r="N309" s="98">
        <f t="shared" si="17"/>
        <v>28790.660000000007</v>
      </c>
    </row>
    <row r="310" spans="1:14" ht="14.25" customHeight="1" x14ac:dyDescent="0.35">
      <c r="A310" s="7">
        <v>284</v>
      </c>
      <c r="B310" s="98">
        <f t="shared" si="12"/>
        <v>286.91000000000003</v>
      </c>
      <c r="C310" s="98">
        <f t="shared" si="13"/>
        <v>75.239999999999995</v>
      </c>
      <c r="D310" s="98">
        <f t="shared" si="14"/>
        <v>211.67000000000002</v>
      </c>
      <c r="E310" s="98">
        <f t="shared" si="15"/>
        <v>18796.579999999998</v>
      </c>
      <c r="J310" s="7">
        <v>284</v>
      </c>
      <c r="K310" s="98">
        <f t="shared" si="10"/>
        <v>284.2</v>
      </c>
      <c r="L310" s="98">
        <f t="shared" si="11"/>
        <v>133.16</v>
      </c>
      <c r="M310" s="98">
        <f t="shared" si="16"/>
        <v>151.04</v>
      </c>
      <c r="N310" s="98">
        <f t="shared" si="17"/>
        <v>28639.620000000006</v>
      </c>
    </row>
    <row r="311" spans="1:14" ht="14.25" customHeight="1" x14ac:dyDescent="0.35">
      <c r="A311" s="7">
        <v>285</v>
      </c>
      <c r="B311" s="98">
        <f t="shared" si="12"/>
        <v>286.91000000000003</v>
      </c>
      <c r="C311" s="98">
        <f t="shared" si="13"/>
        <v>74.400000000000006</v>
      </c>
      <c r="D311" s="98">
        <f t="shared" si="14"/>
        <v>212.51000000000002</v>
      </c>
      <c r="E311" s="98">
        <f t="shared" si="15"/>
        <v>18584.07</v>
      </c>
      <c r="J311" s="7">
        <v>285</v>
      </c>
      <c r="K311" s="98">
        <f t="shared" si="10"/>
        <v>284.2</v>
      </c>
      <c r="L311" s="98">
        <f t="shared" si="11"/>
        <v>132.46</v>
      </c>
      <c r="M311" s="98">
        <f t="shared" si="16"/>
        <v>151.73999999999998</v>
      </c>
      <c r="N311" s="98">
        <f t="shared" si="17"/>
        <v>28487.880000000005</v>
      </c>
    </row>
    <row r="312" spans="1:14" ht="14.25" customHeight="1" x14ac:dyDescent="0.35">
      <c r="A312" s="7">
        <v>286</v>
      </c>
      <c r="B312" s="98">
        <f t="shared" si="12"/>
        <v>286.91000000000003</v>
      </c>
      <c r="C312" s="98">
        <f t="shared" si="13"/>
        <v>73.56</v>
      </c>
      <c r="D312" s="98">
        <f t="shared" si="14"/>
        <v>213.35000000000002</v>
      </c>
      <c r="E312" s="98">
        <f t="shared" si="15"/>
        <v>18370.72</v>
      </c>
      <c r="J312" s="7">
        <v>286</v>
      </c>
      <c r="K312" s="98">
        <f t="shared" si="10"/>
        <v>284.2</v>
      </c>
      <c r="L312" s="98">
        <f t="shared" si="11"/>
        <v>131.76</v>
      </c>
      <c r="M312" s="98">
        <f t="shared" si="16"/>
        <v>152.44</v>
      </c>
      <c r="N312" s="98">
        <f t="shared" si="17"/>
        <v>28335.440000000006</v>
      </c>
    </row>
    <row r="313" spans="1:14" ht="14.25" customHeight="1" x14ac:dyDescent="0.35">
      <c r="A313" s="7">
        <v>287</v>
      </c>
      <c r="B313" s="98">
        <f t="shared" si="12"/>
        <v>286.91000000000003</v>
      </c>
      <c r="C313" s="98">
        <f t="shared" si="13"/>
        <v>72.72</v>
      </c>
      <c r="D313" s="98">
        <f t="shared" si="14"/>
        <v>214.19000000000003</v>
      </c>
      <c r="E313" s="98">
        <f t="shared" si="15"/>
        <v>18156.530000000002</v>
      </c>
      <c r="J313" s="7">
        <v>287</v>
      </c>
      <c r="K313" s="98">
        <f t="shared" si="10"/>
        <v>284.2</v>
      </c>
      <c r="L313" s="98">
        <f t="shared" si="11"/>
        <v>131.05000000000001</v>
      </c>
      <c r="M313" s="98">
        <f t="shared" si="16"/>
        <v>153.14999999999998</v>
      </c>
      <c r="N313" s="98">
        <f t="shared" si="17"/>
        <v>28182.290000000005</v>
      </c>
    </row>
    <row r="314" spans="1:14" ht="14.25" customHeight="1" x14ac:dyDescent="0.35">
      <c r="A314" s="7">
        <v>288</v>
      </c>
      <c r="B314" s="98">
        <f t="shared" si="12"/>
        <v>286.91000000000003</v>
      </c>
      <c r="C314" s="98">
        <f t="shared" si="13"/>
        <v>71.87</v>
      </c>
      <c r="D314" s="98">
        <f t="shared" si="14"/>
        <v>215.04000000000002</v>
      </c>
      <c r="E314" s="98">
        <f t="shared" si="15"/>
        <v>17941.490000000002</v>
      </c>
      <c r="J314" s="7">
        <v>288</v>
      </c>
      <c r="K314" s="98">
        <f t="shared" si="10"/>
        <v>284.2</v>
      </c>
      <c r="L314" s="98">
        <f t="shared" si="11"/>
        <v>130.34</v>
      </c>
      <c r="M314" s="98">
        <f t="shared" si="16"/>
        <v>153.85999999999999</v>
      </c>
      <c r="N314" s="98">
        <f t="shared" si="17"/>
        <v>28028.430000000004</v>
      </c>
    </row>
    <row r="315" spans="1:14" ht="14.25" customHeight="1" x14ac:dyDescent="0.35">
      <c r="A315" s="7">
        <v>289</v>
      </c>
      <c r="B315" s="98">
        <f t="shared" si="12"/>
        <v>286.91000000000003</v>
      </c>
      <c r="C315" s="98">
        <f t="shared" si="13"/>
        <v>71.02</v>
      </c>
      <c r="D315" s="98">
        <f t="shared" si="14"/>
        <v>215.89000000000004</v>
      </c>
      <c r="E315" s="98">
        <f t="shared" si="15"/>
        <v>17725.600000000002</v>
      </c>
      <c r="J315" s="7">
        <v>289</v>
      </c>
      <c r="K315" s="98">
        <f t="shared" si="10"/>
        <v>284.2</v>
      </c>
      <c r="L315" s="98">
        <f t="shared" si="11"/>
        <v>129.63</v>
      </c>
      <c r="M315" s="98">
        <f t="shared" si="16"/>
        <v>154.57</v>
      </c>
      <c r="N315" s="98">
        <f t="shared" si="17"/>
        <v>27873.860000000004</v>
      </c>
    </row>
    <row r="316" spans="1:14" ht="14.25" customHeight="1" x14ac:dyDescent="0.35">
      <c r="A316" s="7">
        <v>290</v>
      </c>
      <c r="B316" s="98">
        <f t="shared" si="12"/>
        <v>286.91000000000003</v>
      </c>
      <c r="C316" s="98">
        <f t="shared" si="13"/>
        <v>70.16</v>
      </c>
      <c r="D316" s="98">
        <f t="shared" si="14"/>
        <v>216.75000000000003</v>
      </c>
      <c r="E316" s="98">
        <f t="shared" si="15"/>
        <v>17508.850000000002</v>
      </c>
      <c r="J316" s="7">
        <v>290</v>
      </c>
      <c r="K316" s="98">
        <f t="shared" si="10"/>
        <v>284.2</v>
      </c>
      <c r="L316" s="98">
        <f t="shared" si="11"/>
        <v>128.91999999999999</v>
      </c>
      <c r="M316" s="98">
        <f t="shared" si="16"/>
        <v>155.28</v>
      </c>
      <c r="N316" s="98">
        <f t="shared" si="17"/>
        <v>27718.580000000005</v>
      </c>
    </row>
    <row r="317" spans="1:14" ht="14.25" customHeight="1" x14ac:dyDescent="0.35">
      <c r="A317" s="7">
        <v>291</v>
      </c>
      <c r="B317" s="98">
        <f t="shared" si="12"/>
        <v>286.91000000000003</v>
      </c>
      <c r="C317" s="98">
        <f t="shared" si="13"/>
        <v>69.31</v>
      </c>
      <c r="D317" s="98">
        <f t="shared" si="14"/>
        <v>217.60000000000002</v>
      </c>
      <c r="E317" s="98">
        <f t="shared" si="15"/>
        <v>17291.250000000004</v>
      </c>
      <c r="J317" s="7">
        <v>291</v>
      </c>
      <c r="K317" s="98">
        <f t="shared" si="10"/>
        <v>284.2</v>
      </c>
      <c r="L317" s="98">
        <f t="shared" si="11"/>
        <v>128.19999999999999</v>
      </c>
      <c r="M317" s="98">
        <f t="shared" si="16"/>
        <v>156</v>
      </c>
      <c r="N317" s="98">
        <f t="shared" si="17"/>
        <v>27562.580000000005</v>
      </c>
    </row>
    <row r="318" spans="1:14" ht="14.25" customHeight="1" x14ac:dyDescent="0.35">
      <c r="A318" s="7">
        <v>292</v>
      </c>
      <c r="B318" s="98">
        <f t="shared" si="12"/>
        <v>286.91000000000003</v>
      </c>
      <c r="C318" s="98">
        <f t="shared" si="13"/>
        <v>68.44</v>
      </c>
      <c r="D318" s="98">
        <f t="shared" si="14"/>
        <v>218.47000000000003</v>
      </c>
      <c r="E318" s="98">
        <f t="shared" si="15"/>
        <v>17072.780000000002</v>
      </c>
      <c r="J318" s="7">
        <v>292</v>
      </c>
      <c r="K318" s="98">
        <f t="shared" si="10"/>
        <v>284.2</v>
      </c>
      <c r="L318" s="98">
        <f t="shared" si="11"/>
        <v>127.48</v>
      </c>
      <c r="M318" s="98">
        <f t="shared" si="16"/>
        <v>156.71999999999997</v>
      </c>
      <c r="N318" s="98">
        <f t="shared" si="17"/>
        <v>27405.860000000004</v>
      </c>
    </row>
    <row r="319" spans="1:14" ht="14.25" customHeight="1" x14ac:dyDescent="0.35">
      <c r="A319" s="7">
        <v>293</v>
      </c>
      <c r="B319" s="98">
        <f t="shared" si="12"/>
        <v>286.91000000000003</v>
      </c>
      <c r="C319" s="98">
        <f t="shared" si="13"/>
        <v>67.58</v>
      </c>
      <c r="D319" s="98">
        <f t="shared" si="14"/>
        <v>219.33000000000004</v>
      </c>
      <c r="E319" s="98">
        <f t="shared" si="15"/>
        <v>16853.45</v>
      </c>
      <c r="J319" s="7">
        <v>293</v>
      </c>
      <c r="K319" s="98">
        <f t="shared" si="10"/>
        <v>284.2</v>
      </c>
      <c r="L319" s="98">
        <f t="shared" si="11"/>
        <v>126.75</v>
      </c>
      <c r="M319" s="98">
        <f t="shared" si="16"/>
        <v>157.44999999999999</v>
      </c>
      <c r="N319" s="98">
        <f t="shared" si="17"/>
        <v>27248.410000000003</v>
      </c>
    </row>
    <row r="320" spans="1:14" ht="14.25" customHeight="1" x14ac:dyDescent="0.35">
      <c r="A320" s="7">
        <v>294</v>
      </c>
      <c r="B320" s="98">
        <f t="shared" si="12"/>
        <v>286.91000000000003</v>
      </c>
      <c r="C320" s="98">
        <f t="shared" si="13"/>
        <v>66.709999999999994</v>
      </c>
      <c r="D320" s="98">
        <f t="shared" si="14"/>
        <v>220.20000000000005</v>
      </c>
      <c r="E320" s="98">
        <f t="shared" si="15"/>
        <v>16633.25</v>
      </c>
      <c r="J320" s="7">
        <v>294</v>
      </c>
      <c r="K320" s="98">
        <f t="shared" si="10"/>
        <v>284.2</v>
      </c>
      <c r="L320" s="98">
        <f t="shared" si="11"/>
        <v>126.02</v>
      </c>
      <c r="M320" s="98">
        <f t="shared" si="16"/>
        <v>158.18</v>
      </c>
      <c r="N320" s="98">
        <f t="shared" si="17"/>
        <v>27090.230000000003</v>
      </c>
    </row>
    <row r="321" spans="1:14" ht="14.25" customHeight="1" x14ac:dyDescent="0.35">
      <c r="A321" s="7">
        <v>295</v>
      </c>
      <c r="B321" s="98">
        <f t="shared" si="12"/>
        <v>286.91000000000003</v>
      </c>
      <c r="C321" s="98">
        <f t="shared" si="13"/>
        <v>65.84</v>
      </c>
      <c r="D321" s="98">
        <f t="shared" si="14"/>
        <v>221.07000000000002</v>
      </c>
      <c r="E321" s="98">
        <f t="shared" si="15"/>
        <v>16412.18</v>
      </c>
      <c r="J321" s="7">
        <v>295</v>
      </c>
      <c r="K321" s="98">
        <f t="shared" si="10"/>
        <v>284.2</v>
      </c>
      <c r="L321" s="98">
        <f t="shared" si="11"/>
        <v>125.29</v>
      </c>
      <c r="M321" s="98">
        <f t="shared" si="16"/>
        <v>158.90999999999997</v>
      </c>
      <c r="N321" s="98">
        <f t="shared" si="17"/>
        <v>26931.320000000003</v>
      </c>
    </row>
    <row r="322" spans="1:14" ht="14.25" customHeight="1" x14ac:dyDescent="0.35">
      <c r="A322" s="7">
        <v>296</v>
      </c>
      <c r="B322" s="98">
        <f t="shared" si="12"/>
        <v>286.91000000000003</v>
      </c>
      <c r="C322" s="98">
        <f t="shared" si="13"/>
        <v>64.959999999999994</v>
      </c>
      <c r="D322" s="98">
        <f t="shared" si="14"/>
        <v>221.95000000000005</v>
      </c>
      <c r="E322" s="98">
        <f t="shared" si="15"/>
        <v>16190.23</v>
      </c>
      <c r="J322" s="7">
        <v>296</v>
      </c>
      <c r="K322" s="98">
        <f t="shared" si="10"/>
        <v>284.2</v>
      </c>
      <c r="L322" s="98">
        <f t="shared" si="11"/>
        <v>124.56</v>
      </c>
      <c r="M322" s="98">
        <f t="shared" si="16"/>
        <v>159.63999999999999</v>
      </c>
      <c r="N322" s="98">
        <f t="shared" si="17"/>
        <v>26771.680000000004</v>
      </c>
    </row>
    <row r="323" spans="1:14" ht="14.25" customHeight="1" x14ac:dyDescent="0.35">
      <c r="A323" s="7">
        <v>297</v>
      </c>
      <c r="B323" s="98">
        <f t="shared" si="12"/>
        <v>286.91000000000003</v>
      </c>
      <c r="C323" s="98">
        <f t="shared" si="13"/>
        <v>64.09</v>
      </c>
      <c r="D323" s="98">
        <f t="shared" si="14"/>
        <v>222.82000000000002</v>
      </c>
      <c r="E323" s="98">
        <f t="shared" si="15"/>
        <v>15967.41</v>
      </c>
      <c r="J323" s="7">
        <v>297</v>
      </c>
      <c r="K323" s="98">
        <f t="shared" si="10"/>
        <v>284.2</v>
      </c>
      <c r="L323" s="98">
        <f t="shared" si="11"/>
        <v>123.82</v>
      </c>
      <c r="M323" s="98">
        <f t="shared" si="16"/>
        <v>160.38</v>
      </c>
      <c r="N323" s="98">
        <f t="shared" si="17"/>
        <v>26611.300000000003</v>
      </c>
    </row>
    <row r="324" spans="1:14" ht="14.25" customHeight="1" x14ac:dyDescent="0.35">
      <c r="A324" s="7">
        <v>298</v>
      </c>
      <c r="B324" s="98">
        <f t="shared" si="12"/>
        <v>286.91000000000003</v>
      </c>
      <c r="C324" s="98">
        <f t="shared" si="13"/>
        <v>63.2</v>
      </c>
      <c r="D324" s="98">
        <f t="shared" si="14"/>
        <v>223.71000000000004</v>
      </c>
      <c r="E324" s="98">
        <f t="shared" si="15"/>
        <v>15743.7</v>
      </c>
      <c r="J324" s="7">
        <v>298</v>
      </c>
      <c r="K324" s="98">
        <f t="shared" si="10"/>
        <v>284.2</v>
      </c>
      <c r="L324" s="98">
        <f t="shared" si="11"/>
        <v>123.08</v>
      </c>
      <c r="M324" s="98">
        <f t="shared" si="16"/>
        <v>161.12</v>
      </c>
      <c r="N324" s="98">
        <f t="shared" si="17"/>
        <v>26450.180000000004</v>
      </c>
    </row>
    <row r="325" spans="1:14" ht="14.25" customHeight="1" x14ac:dyDescent="0.35">
      <c r="A325" s="7">
        <v>299</v>
      </c>
      <c r="B325" s="98">
        <f t="shared" si="12"/>
        <v>286.91000000000003</v>
      </c>
      <c r="C325" s="98">
        <f t="shared" si="13"/>
        <v>62.32</v>
      </c>
      <c r="D325" s="98">
        <f t="shared" si="14"/>
        <v>224.59000000000003</v>
      </c>
      <c r="E325" s="98">
        <f t="shared" si="15"/>
        <v>15519.11</v>
      </c>
      <c r="J325" s="7">
        <v>299</v>
      </c>
      <c r="K325" s="98">
        <f t="shared" si="10"/>
        <v>284.2</v>
      </c>
      <c r="L325" s="98">
        <f t="shared" si="11"/>
        <v>122.33</v>
      </c>
      <c r="M325" s="98">
        <f t="shared" si="16"/>
        <v>161.87</v>
      </c>
      <c r="N325" s="98">
        <f t="shared" si="17"/>
        <v>26288.310000000005</v>
      </c>
    </row>
    <row r="326" spans="1:14" ht="14.25" customHeight="1" x14ac:dyDescent="0.35">
      <c r="A326" s="7">
        <v>300</v>
      </c>
      <c r="B326" s="98">
        <f t="shared" si="12"/>
        <v>286.91000000000003</v>
      </c>
      <c r="C326" s="98">
        <f t="shared" si="13"/>
        <v>61.43</v>
      </c>
      <c r="D326" s="98">
        <f t="shared" si="14"/>
        <v>225.48000000000002</v>
      </c>
      <c r="E326" s="98">
        <f t="shared" si="15"/>
        <v>15293.630000000001</v>
      </c>
      <c r="J326" s="7">
        <v>300</v>
      </c>
      <c r="K326" s="98">
        <f t="shared" si="10"/>
        <v>284.2</v>
      </c>
      <c r="L326" s="98">
        <f t="shared" si="11"/>
        <v>121.58</v>
      </c>
      <c r="M326" s="98">
        <f t="shared" si="16"/>
        <v>162.62</v>
      </c>
      <c r="N326" s="98">
        <f t="shared" si="17"/>
        <v>26125.690000000006</v>
      </c>
    </row>
    <row r="327" spans="1:14" ht="14.25" customHeight="1" x14ac:dyDescent="0.35">
      <c r="A327" s="7">
        <v>301</v>
      </c>
      <c r="B327" s="98">
        <f t="shared" si="12"/>
        <v>286.91000000000003</v>
      </c>
      <c r="C327" s="98">
        <f t="shared" si="13"/>
        <v>60.54</v>
      </c>
      <c r="D327" s="98">
        <f t="shared" si="14"/>
        <v>226.37000000000003</v>
      </c>
      <c r="E327" s="98">
        <f t="shared" si="15"/>
        <v>15067.26</v>
      </c>
      <c r="J327" s="7">
        <v>301</v>
      </c>
      <c r="K327" s="98">
        <f t="shared" si="10"/>
        <v>284.2</v>
      </c>
      <c r="L327" s="98">
        <f t="shared" si="11"/>
        <v>120.83</v>
      </c>
      <c r="M327" s="98">
        <f t="shared" si="16"/>
        <v>163.37</v>
      </c>
      <c r="N327" s="98">
        <f t="shared" si="17"/>
        <v>25962.320000000007</v>
      </c>
    </row>
    <row r="328" spans="1:14" ht="14.25" customHeight="1" x14ac:dyDescent="0.35">
      <c r="A328" s="7">
        <v>302</v>
      </c>
      <c r="B328" s="98">
        <f t="shared" si="12"/>
        <v>286.91000000000003</v>
      </c>
      <c r="C328" s="98">
        <f t="shared" si="13"/>
        <v>59.64</v>
      </c>
      <c r="D328" s="98">
        <f t="shared" si="14"/>
        <v>227.27000000000004</v>
      </c>
      <c r="E328" s="98">
        <f t="shared" si="15"/>
        <v>14839.99</v>
      </c>
      <c r="J328" s="7">
        <v>302</v>
      </c>
      <c r="K328" s="98">
        <f t="shared" si="10"/>
        <v>284.2</v>
      </c>
      <c r="L328" s="98">
        <f t="shared" si="11"/>
        <v>120.08</v>
      </c>
      <c r="M328" s="98">
        <f t="shared" si="16"/>
        <v>164.12</v>
      </c>
      <c r="N328" s="98">
        <f t="shared" si="17"/>
        <v>25798.200000000008</v>
      </c>
    </row>
    <row r="329" spans="1:14" ht="14.25" customHeight="1" x14ac:dyDescent="0.35">
      <c r="A329" s="7">
        <v>303</v>
      </c>
      <c r="B329" s="98">
        <f t="shared" si="12"/>
        <v>286.91000000000003</v>
      </c>
      <c r="C329" s="98">
        <f t="shared" si="13"/>
        <v>58.74</v>
      </c>
      <c r="D329" s="98">
        <f t="shared" si="14"/>
        <v>228.17000000000002</v>
      </c>
      <c r="E329" s="98">
        <f t="shared" si="15"/>
        <v>14611.82</v>
      </c>
      <c r="J329" s="7">
        <v>303</v>
      </c>
      <c r="K329" s="98">
        <f t="shared" si="10"/>
        <v>284.2</v>
      </c>
      <c r="L329" s="98">
        <f t="shared" si="11"/>
        <v>119.32</v>
      </c>
      <c r="M329" s="98">
        <f t="shared" si="16"/>
        <v>164.88</v>
      </c>
      <c r="N329" s="98">
        <f t="shared" si="17"/>
        <v>25633.320000000007</v>
      </c>
    </row>
    <row r="330" spans="1:14" ht="14.25" customHeight="1" x14ac:dyDescent="0.35">
      <c r="A330" s="7">
        <v>304</v>
      </c>
      <c r="B330" s="98">
        <f t="shared" si="12"/>
        <v>286.91000000000003</v>
      </c>
      <c r="C330" s="98">
        <f t="shared" si="13"/>
        <v>57.84</v>
      </c>
      <c r="D330" s="98">
        <f t="shared" si="14"/>
        <v>229.07000000000002</v>
      </c>
      <c r="E330" s="98">
        <f t="shared" si="15"/>
        <v>14382.75</v>
      </c>
      <c r="J330" s="7">
        <v>304</v>
      </c>
      <c r="K330" s="98">
        <f t="shared" si="10"/>
        <v>284.2</v>
      </c>
      <c r="L330" s="98">
        <f t="shared" si="11"/>
        <v>118.55</v>
      </c>
      <c r="M330" s="98">
        <f t="shared" si="16"/>
        <v>165.64999999999998</v>
      </c>
      <c r="N330" s="98">
        <f t="shared" si="17"/>
        <v>25467.670000000006</v>
      </c>
    </row>
    <row r="331" spans="1:14" ht="14.25" customHeight="1" x14ac:dyDescent="0.35">
      <c r="A331" s="7">
        <v>305</v>
      </c>
      <c r="B331" s="98">
        <f t="shared" si="12"/>
        <v>286.91000000000003</v>
      </c>
      <c r="C331" s="98">
        <f t="shared" si="13"/>
        <v>56.93</v>
      </c>
      <c r="D331" s="98">
        <f t="shared" si="14"/>
        <v>229.98000000000002</v>
      </c>
      <c r="E331" s="98">
        <f t="shared" si="15"/>
        <v>14152.77</v>
      </c>
      <c r="J331" s="7">
        <v>305</v>
      </c>
      <c r="K331" s="98">
        <f t="shared" si="10"/>
        <v>284.2</v>
      </c>
      <c r="L331" s="98">
        <f t="shared" si="11"/>
        <v>117.79</v>
      </c>
      <c r="M331" s="98">
        <f t="shared" si="16"/>
        <v>166.40999999999997</v>
      </c>
      <c r="N331" s="98">
        <f t="shared" si="17"/>
        <v>25301.260000000006</v>
      </c>
    </row>
    <row r="332" spans="1:14" ht="14.25" customHeight="1" x14ac:dyDescent="0.35">
      <c r="A332" s="7">
        <v>306</v>
      </c>
      <c r="B332" s="98">
        <f t="shared" si="12"/>
        <v>286.91000000000003</v>
      </c>
      <c r="C332" s="98">
        <f t="shared" si="13"/>
        <v>56.02</v>
      </c>
      <c r="D332" s="98">
        <f t="shared" si="14"/>
        <v>230.89000000000001</v>
      </c>
      <c r="E332" s="98">
        <f t="shared" si="15"/>
        <v>13921.880000000001</v>
      </c>
      <c r="J332" s="7">
        <v>306</v>
      </c>
      <c r="K332" s="98">
        <f t="shared" si="10"/>
        <v>284.2</v>
      </c>
      <c r="L332" s="98">
        <f t="shared" si="11"/>
        <v>117.02</v>
      </c>
      <c r="M332" s="98">
        <f t="shared" si="16"/>
        <v>167.18</v>
      </c>
      <c r="N332" s="98">
        <f t="shared" si="17"/>
        <v>25134.080000000005</v>
      </c>
    </row>
    <row r="333" spans="1:14" ht="14.25" customHeight="1" x14ac:dyDescent="0.35">
      <c r="A333" s="7">
        <v>307</v>
      </c>
      <c r="B333" s="98">
        <f t="shared" si="12"/>
        <v>286.91000000000003</v>
      </c>
      <c r="C333" s="98">
        <f t="shared" si="13"/>
        <v>55.11</v>
      </c>
      <c r="D333" s="98">
        <f t="shared" si="14"/>
        <v>231.8</v>
      </c>
      <c r="E333" s="98">
        <f t="shared" si="15"/>
        <v>13690.080000000002</v>
      </c>
      <c r="J333" s="7">
        <v>307</v>
      </c>
      <c r="K333" s="98">
        <f t="shared" si="10"/>
        <v>284.2</v>
      </c>
      <c r="L333" s="98">
        <f t="shared" si="11"/>
        <v>116.25</v>
      </c>
      <c r="M333" s="98">
        <f t="shared" si="16"/>
        <v>167.95</v>
      </c>
      <c r="N333" s="98">
        <f t="shared" si="17"/>
        <v>24966.130000000005</v>
      </c>
    </row>
    <row r="334" spans="1:14" ht="14.25" customHeight="1" x14ac:dyDescent="0.35">
      <c r="A334" s="7">
        <v>308</v>
      </c>
      <c r="B334" s="98">
        <f t="shared" si="12"/>
        <v>286.91000000000003</v>
      </c>
      <c r="C334" s="98">
        <f t="shared" si="13"/>
        <v>54.19</v>
      </c>
      <c r="D334" s="98">
        <f t="shared" si="14"/>
        <v>232.72000000000003</v>
      </c>
      <c r="E334" s="98">
        <f t="shared" si="15"/>
        <v>13457.360000000002</v>
      </c>
      <c r="J334" s="7">
        <v>308</v>
      </c>
      <c r="K334" s="98">
        <f t="shared" si="10"/>
        <v>284.2</v>
      </c>
      <c r="L334" s="98">
        <f t="shared" si="11"/>
        <v>115.47</v>
      </c>
      <c r="M334" s="98">
        <f t="shared" si="16"/>
        <v>168.73</v>
      </c>
      <c r="N334" s="98">
        <f t="shared" si="17"/>
        <v>24797.400000000005</v>
      </c>
    </row>
    <row r="335" spans="1:14" ht="14.25" customHeight="1" x14ac:dyDescent="0.35">
      <c r="A335" s="7">
        <v>309</v>
      </c>
      <c r="B335" s="98">
        <f t="shared" si="12"/>
        <v>286.91000000000003</v>
      </c>
      <c r="C335" s="98">
        <f t="shared" si="13"/>
        <v>53.27</v>
      </c>
      <c r="D335" s="98">
        <f t="shared" si="14"/>
        <v>233.64000000000001</v>
      </c>
      <c r="E335" s="98">
        <f t="shared" si="15"/>
        <v>13223.720000000003</v>
      </c>
      <c r="J335" s="7">
        <v>309</v>
      </c>
      <c r="K335" s="98">
        <f t="shared" si="10"/>
        <v>284.2</v>
      </c>
      <c r="L335" s="98">
        <f t="shared" si="11"/>
        <v>114.69</v>
      </c>
      <c r="M335" s="98">
        <f t="shared" si="16"/>
        <v>169.51</v>
      </c>
      <c r="N335" s="98">
        <f t="shared" si="17"/>
        <v>24627.890000000007</v>
      </c>
    </row>
    <row r="336" spans="1:14" ht="14.25" customHeight="1" x14ac:dyDescent="0.35">
      <c r="A336" s="7">
        <v>310</v>
      </c>
      <c r="B336" s="98">
        <f t="shared" si="12"/>
        <v>286.91000000000003</v>
      </c>
      <c r="C336" s="98">
        <f t="shared" si="13"/>
        <v>52.34</v>
      </c>
      <c r="D336" s="98">
        <f t="shared" si="14"/>
        <v>234.57000000000002</v>
      </c>
      <c r="E336" s="98">
        <f t="shared" si="15"/>
        <v>12989.150000000003</v>
      </c>
      <c r="J336" s="7">
        <v>310</v>
      </c>
      <c r="K336" s="98">
        <f t="shared" si="10"/>
        <v>284.2</v>
      </c>
      <c r="L336" s="98">
        <f t="shared" si="11"/>
        <v>113.9</v>
      </c>
      <c r="M336" s="98">
        <f t="shared" si="16"/>
        <v>170.29999999999998</v>
      </c>
      <c r="N336" s="98">
        <f t="shared" si="17"/>
        <v>24457.590000000007</v>
      </c>
    </row>
    <row r="337" spans="1:14" ht="14.25" customHeight="1" x14ac:dyDescent="0.35">
      <c r="A337" s="7">
        <v>311</v>
      </c>
      <c r="B337" s="98">
        <f t="shared" si="12"/>
        <v>286.91000000000003</v>
      </c>
      <c r="C337" s="98">
        <f t="shared" si="13"/>
        <v>51.42</v>
      </c>
      <c r="D337" s="98">
        <f t="shared" si="14"/>
        <v>235.49</v>
      </c>
      <c r="E337" s="98">
        <f t="shared" si="15"/>
        <v>12753.660000000003</v>
      </c>
      <c r="J337" s="7">
        <v>311</v>
      </c>
      <c r="K337" s="98">
        <f t="shared" si="10"/>
        <v>284.2</v>
      </c>
      <c r="L337" s="98">
        <f t="shared" si="11"/>
        <v>113.12</v>
      </c>
      <c r="M337" s="98">
        <f t="shared" si="16"/>
        <v>171.07999999999998</v>
      </c>
      <c r="N337" s="98">
        <f t="shared" si="17"/>
        <v>24286.510000000006</v>
      </c>
    </row>
    <row r="338" spans="1:14" ht="14.25" customHeight="1" x14ac:dyDescent="0.35">
      <c r="A338" s="7">
        <v>312</v>
      </c>
      <c r="B338" s="98">
        <f t="shared" si="12"/>
        <v>286.91000000000003</v>
      </c>
      <c r="C338" s="98">
        <f t="shared" si="13"/>
        <v>50.48</v>
      </c>
      <c r="D338" s="98">
        <f t="shared" si="14"/>
        <v>236.43000000000004</v>
      </c>
      <c r="E338" s="98">
        <f t="shared" si="15"/>
        <v>12517.230000000003</v>
      </c>
      <c r="J338" s="7">
        <v>312</v>
      </c>
      <c r="K338" s="98">
        <f t="shared" si="10"/>
        <v>284.2</v>
      </c>
      <c r="L338" s="98">
        <f t="shared" si="11"/>
        <v>112.33</v>
      </c>
      <c r="M338" s="98">
        <f t="shared" si="16"/>
        <v>171.87</v>
      </c>
      <c r="N338" s="98">
        <f t="shared" si="17"/>
        <v>24114.640000000007</v>
      </c>
    </row>
    <row r="339" spans="1:14" ht="14.25" customHeight="1" x14ac:dyDescent="0.35">
      <c r="A339" s="7">
        <v>313</v>
      </c>
      <c r="B339" s="98">
        <f t="shared" si="12"/>
        <v>286.91000000000003</v>
      </c>
      <c r="C339" s="98">
        <f t="shared" si="13"/>
        <v>49.55</v>
      </c>
      <c r="D339" s="98">
        <f t="shared" si="14"/>
        <v>237.36</v>
      </c>
      <c r="E339" s="98">
        <f t="shared" si="15"/>
        <v>12279.870000000003</v>
      </c>
      <c r="J339" s="7">
        <v>313</v>
      </c>
      <c r="K339" s="98">
        <f t="shared" si="10"/>
        <v>284.2</v>
      </c>
      <c r="L339" s="98">
        <f t="shared" si="11"/>
        <v>111.53</v>
      </c>
      <c r="M339" s="98">
        <f t="shared" si="16"/>
        <v>172.67</v>
      </c>
      <c r="N339" s="98">
        <f t="shared" si="17"/>
        <v>23941.970000000008</v>
      </c>
    </row>
    <row r="340" spans="1:14" ht="14.25" customHeight="1" x14ac:dyDescent="0.35">
      <c r="A340" s="7">
        <v>314</v>
      </c>
      <c r="B340" s="98">
        <f t="shared" si="12"/>
        <v>286.91000000000003</v>
      </c>
      <c r="C340" s="98">
        <f t="shared" si="13"/>
        <v>48.61</v>
      </c>
      <c r="D340" s="98">
        <f t="shared" si="14"/>
        <v>238.3</v>
      </c>
      <c r="E340" s="98">
        <f t="shared" si="15"/>
        <v>12041.570000000003</v>
      </c>
      <c r="J340" s="7">
        <v>314</v>
      </c>
      <c r="K340" s="98">
        <f t="shared" si="10"/>
        <v>284.2</v>
      </c>
      <c r="L340" s="98">
        <f t="shared" si="11"/>
        <v>110.73</v>
      </c>
      <c r="M340" s="98">
        <f t="shared" si="16"/>
        <v>173.46999999999997</v>
      </c>
      <c r="N340" s="98">
        <f t="shared" si="17"/>
        <v>23768.500000000007</v>
      </c>
    </row>
    <row r="341" spans="1:14" ht="14.25" customHeight="1" x14ac:dyDescent="0.35">
      <c r="A341" s="7">
        <v>315</v>
      </c>
      <c r="B341" s="98">
        <f t="shared" si="12"/>
        <v>286.91000000000003</v>
      </c>
      <c r="C341" s="98">
        <f t="shared" si="13"/>
        <v>47.66</v>
      </c>
      <c r="D341" s="98">
        <f t="shared" si="14"/>
        <v>239.25000000000003</v>
      </c>
      <c r="E341" s="98">
        <f t="shared" si="15"/>
        <v>11802.320000000003</v>
      </c>
      <c r="J341" s="7">
        <v>315</v>
      </c>
      <c r="K341" s="98">
        <f t="shared" si="10"/>
        <v>284.2</v>
      </c>
      <c r="L341" s="98">
        <f t="shared" si="11"/>
        <v>109.93</v>
      </c>
      <c r="M341" s="98">
        <f t="shared" si="16"/>
        <v>174.26999999999998</v>
      </c>
      <c r="N341" s="98">
        <f t="shared" si="17"/>
        <v>23594.230000000007</v>
      </c>
    </row>
    <row r="342" spans="1:14" ht="14.25" customHeight="1" x14ac:dyDescent="0.35">
      <c r="A342" s="7">
        <v>316</v>
      </c>
      <c r="B342" s="98">
        <f t="shared" si="12"/>
        <v>286.91000000000003</v>
      </c>
      <c r="C342" s="98">
        <f t="shared" si="13"/>
        <v>46.72</v>
      </c>
      <c r="D342" s="98">
        <f t="shared" si="14"/>
        <v>240.19000000000003</v>
      </c>
      <c r="E342" s="98">
        <f t="shared" si="15"/>
        <v>11562.130000000003</v>
      </c>
      <c r="J342" s="7">
        <v>316</v>
      </c>
      <c r="K342" s="98">
        <f t="shared" si="10"/>
        <v>284.2</v>
      </c>
      <c r="L342" s="98">
        <f t="shared" si="11"/>
        <v>109.12</v>
      </c>
      <c r="M342" s="98">
        <f t="shared" si="16"/>
        <v>175.07999999999998</v>
      </c>
      <c r="N342" s="98">
        <f t="shared" si="17"/>
        <v>23419.150000000005</v>
      </c>
    </row>
    <row r="343" spans="1:14" ht="14.25" customHeight="1" x14ac:dyDescent="0.35">
      <c r="A343" s="7">
        <v>317</v>
      </c>
      <c r="B343" s="98">
        <f t="shared" si="12"/>
        <v>286.91000000000003</v>
      </c>
      <c r="C343" s="98">
        <f t="shared" si="13"/>
        <v>45.77</v>
      </c>
      <c r="D343" s="98">
        <f t="shared" si="14"/>
        <v>241.14000000000001</v>
      </c>
      <c r="E343" s="98">
        <f t="shared" si="15"/>
        <v>11320.990000000003</v>
      </c>
      <c r="J343" s="7">
        <v>317</v>
      </c>
      <c r="K343" s="98">
        <f t="shared" si="10"/>
        <v>284.2</v>
      </c>
      <c r="L343" s="98">
        <f t="shared" si="11"/>
        <v>108.31</v>
      </c>
      <c r="M343" s="98">
        <f t="shared" si="16"/>
        <v>175.89</v>
      </c>
      <c r="N343" s="98">
        <f t="shared" si="17"/>
        <v>23243.260000000006</v>
      </c>
    </row>
    <row r="344" spans="1:14" ht="14.25" customHeight="1" x14ac:dyDescent="0.35">
      <c r="A344" s="7">
        <v>318</v>
      </c>
      <c r="B344" s="98">
        <f t="shared" si="12"/>
        <v>286.91000000000003</v>
      </c>
      <c r="C344" s="98">
        <f t="shared" si="13"/>
        <v>44.81</v>
      </c>
      <c r="D344" s="98">
        <f t="shared" si="14"/>
        <v>242.10000000000002</v>
      </c>
      <c r="E344" s="98">
        <f t="shared" si="15"/>
        <v>11078.890000000003</v>
      </c>
      <c r="J344" s="7">
        <v>318</v>
      </c>
      <c r="K344" s="98">
        <f t="shared" si="10"/>
        <v>284.2</v>
      </c>
      <c r="L344" s="98">
        <f t="shared" si="11"/>
        <v>107.5</v>
      </c>
      <c r="M344" s="98">
        <f t="shared" si="16"/>
        <v>176.7</v>
      </c>
      <c r="N344" s="98">
        <f t="shared" si="17"/>
        <v>23066.560000000005</v>
      </c>
    </row>
    <row r="345" spans="1:14" ht="14.25" customHeight="1" x14ac:dyDescent="0.35">
      <c r="A345" s="7">
        <v>319</v>
      </c>
      <c r="B345" s="98">
        <f t="shared" si="12"/>
        <v>286.91000000000003</v>
      </c>
      <c r="C345" s="98">
        <f t="shared" si="13"/>
        <v>43.85</v>
      </c>
      <c r="D345" s="98">
        <f t="shared" si="14"/>
        <v>243.06000000000003</v>
      </c>
      <c r="E345" s="98">
        <f t="shared" si="15"/>
        <v>10835.830000000004</v>
      </c>
      <c r="J345" s="7">
        <v>319</v>
      </c>
      <c r="K345" s="98">
        <f t="shared" si="10"/>
        <v>284.2</v>
      </c>
      <c r="L345" s="98">
        <f t="shared" si="11"/>
        <v>106.68</v>
      </c>
      <c r="M345" s="98">
        <f t="shared" si="16"/>
        <v>177.51999999999998</v>
      </c>
      <c r="N345" s="98">
        <f t="shared" si="17"/>
        <v>22889.040000000005</v>
      </c>
    </row>
    <row r="346" spans="1:14" ht="14.25" customHeight="1" x14ac:dyDescent="0.35">
      <c r="A346" s="7">
        <v>320</v>
      </c>
      <c r="B346" s="98">
        <f t="shared" si="12"/>
        <v>286.91000000000003</v>
      </c>
      <c r="C346" s="98">
        <f t="shared" si="13"/>
        <v>42.89</v>
      </c>
      <c r="D346" s="98">
        <f t="shared" si="14"/>
        <v>244.02000000000004</v>
      </c>
      <c r="E346" s="98">
        <f t="shared" si="15"/>
        <v>10591.810000000003</v>
      </c>
      <c r="J346" s="7">
        <v>320</v>
      </c>
      <c r="K346" s="98">
        <f t="shared" si="10"/>
        <v>284.2</v>
      </c>
      <c r="L346" s="98">
        <f t="shared" si="11"/>
        <v>105.86</v>
      </c>
      <c r="M346" s="98">
        <f t="shared" si="16"/>
        <v>178.33999999999997</v>
      </c>
      <c r="N346" s="98">
        <f t="shared" si="17"/>
        <v>22710.700000000004</v>
      </c>
    </row>
    <row r="347" spans="1:14" ht="14.25" customHeight="1" x14ac:dyDescent="0.35">
      <c r="A347" s="7">
        <v>321</v>
      </c>
      <c r="B347" s="98">
        <f t="shared" si="12"/>
        <v>286.91000000000003</v>
      </c>
      <c r="C347" s="98">
        <f t="shared" si="13"/>
        <v>41.93</v>
      </c>
      <c r="D347" s="98">
        <f t="shared" si="14"/>
        <v>244.98000000000002</v>
      </c>
      <c r="E347" s="98">
        <f t="shared" si="15"/>
        <v>10346.830000000004</v>
      </c>
      <c r="J347" s="7">
        <v>321</v>
      </c>
      <c r="K347" s="98">
        <f t="shared" si="10"/>
        <v>284.2</v>
      </c>
      <c r="L347" s="98">
        <f t="shared" si="11"/>
        <v>105.04</v>
      </c>
      <c r="M347" s="98">
        <f t="shared" si="16"/>
        <v>179.15999999999997</v>
      </c>
      <c r="N347" s="98">
        <f t="shared" si="17"/>
        <v>22531.540000000005</v>
      </c>
    </row>
    <row r="348" spans="1:14" ht="14.25" customHeight="1" x14ac:dyDescent="0.35">
      <c r="A348" s="7">
        <v>322</v>
      </c>
      <c r="B348" s="98">
        <f t="shared" si="12"/>
        <v>286.91000000000003</v>
      </c>
      <c r="C348" s="98">
        <f t="shared" si="13"/>
        <v>40.96</v>
      </c>
      <c r="D348" s="98">
        <f t="shared" si="14"/>
        <v>245.95000000000002</v>
      </c>
      <c r="E348" s="98">
        <f t="shared" si="15"/>
        <v>10100.880000000003</v>
      </c>
      <c r="J348" s="7">
        <v>322</v>
      </c>
      <c r="K348" s="98">
        <f t="shared" si="10"/>
        <v>284.2</v>
      </c>
      <c r="L348" s="98">
        <f t="shared" si="11"/>
        <v>104.21</v>
      </c>
      <c r="M348" s="98">
        <f t="shared" si="16"/>
        <v>179.99</v>
      </c>
      <c r="N348" s="98">
        <f t="shared" si="17"/>
        <v>22351.550000000003</v>
      </c>
    </row>
    <row r="349" spans="1:14" ht="14.25" customHeight="1" x14ac:dyDescent="0.35">
      <c r="A349" s="7">
        <v>323</v>
      </c>
      <c r="B349" s="98">
        <f t="shared" si="12"/>
        <v>286.91000000000003</v>
      </c>
      <c r="C349" s="98">
        <f t="shared" si="13"/>
        <v>39.979999999999997</v>
      </c>
      <c r="D349" s="98">
        <f t="shared" si="14"/>
        <v>246.93000000000004</v>
      </c>
      <c r="E349" s="98">
        <f t="shared" si="15"/>
        <v>9853.9500000000025</v>
      </c>
      <c r="J349" s="7">
        <v>323</v>
      </c>
      <c r="K349" s="98">
        <f t="shared" si="10"/>
        <v>284.2</v>
      </c>
      <c r="L349" s="98">
        <f t="shared" si="11"/>
        <v>103.38</v>
      </c>
      <c r="M349" s="98">
        <f t="shared" si="16"/>
        <v>180.82</v>
      </c>
      <c r="N349" s="98">
        <f t="shared" si="17"/>
        <v>22170.730000000003</v>
      </c>
    </row>
    <row r="350" spans="1:14" ht="14.25" customHeight="1" x14ac:dyDescent="0.35">
      <c r="A350" s="7">
        <v>324</v>
      </c>
      <c r="B350" s="98">
        <f t="shared" si="12"/>
        <v>286.91000000000003</v>
      </c>
      <c r="C350" s="98">
        <f t="shared" si="13"/>
        <v>39.01</v>
      </c>
      <c r="D350" s="98">
        <f t="shared" si="14"/>
        <v>247.90000000000003</v>
      </c>
      <c r="E350" s="98">
        <f t="shared" si="15"/>
        <v>9606.0500000000029</v>
      </c>
      <c r="J350" s="7">
        <v>324</v>
      </c>
      <c r="K350" s="98">
        <f t="shared" si="10"/>
        <v>284.2</v>
      </c>
      <c r="L350" s="98">
        <f t="shared" si="11"/>
        <v>102.54</v>
      </c>
      <c r="M350" s="98">
        <f t="shared" si="16"/>
        <v>181.65999999999997</v>
      </c>
      <c r="N350" s="98">
        <f t="shared" si="17"/>
        <v>21989.070000000003</v>
      </c>
    </row>
    <row r="351" spans="1:14" ht="14.25" customHeight="1" x14ac:dyDescent="0.35">
      <c r="A351" s="7">
        <v>325</v>
      </c>
      <c r="B351" s="98">
        <f t="shared" si="12"/>
        <v>286.91000000000003</v>
      </c>
      <c r="C351" s="98">
        <f t="shared" si="13"/>
        <v>38.020000000000003</v>
      </c>
      <c r="D351" s="98">
        <f t="shared" si="14"/>
        <v>248.89000000000001</v>
      </c>
      <c r="E351" s="98">
        <f t="shared" si="15"/>
        <v>9357.1600000000035</v>
      </c>
      <c r="J351" s="7">
        <v>325</v>
      </c>
      <c r="K351" s="98">
        <f t="shared" si="10"/>
        <v>284.2</v>
      </c>
      <c r="L351" s="98">
        <f t="shared" si="11"/>
        <v>101.7</v>
      </c>
      <c r="M351" s="98">
        <f t="shared" si="16"/>
        <v>182.5</v>
      </c>
      <c r="N351" s="98">
        <f t="shared" si="17"/>
        <v>21806.570000000003</v>
      </c>
    </row>
    <row r="352" spans="1:14" ht="14.25" customHeight="1" x14ac:dyDescent="0.35">
      <c r="A352" s="7">
        <v>326</v>
      </c>
      <c r="B352" s="98">
        <f t="shared" si="12"/>
        <v>286.91000000000003</v>
      </c>
      <c r="C352" s="98">
        <f t="shared" si="13"/>
        <v>37.04</v>
      </c>
      <c r="D352" s="98">
        <f t="shared" si="14"/>
        <v>249.87000000000003</v>
      </c>
      <c r="E352" s="98">
        <f t="shared" si="15"/>
        <v>9107.2900000000027</v>
      </c>
      <c r="J352" s="7">
        <v>326</v>
      </c>
      <c r="K352" s="98">
        <f t="shared" si="10"/>
        <v>284.2</v>
      </c>
      <c r="L352" s="98">
        <f t="shared" si="11"/>
        <v>100.86</v>
      </c>
      <c r="M352" s="98">
        <f t="shared" si="16"/>
        <v>183.33999999999997</v>
      </c>
      <c r="N352" s="98">
        <f t="shared" si="17"/>
        <v>21623.230000000003</v>
      </c>
    </row>
    <row r="353" spans="1:14" ht="14.25" customHeight="1" x14ac:dyDescent="0.35">
      <c r="A353" s="7">
        <v>327</v>
      </c>
      <c r="B353" s="98">
        <f t="shared" si="12"/>
        <v>286.91000000000003</v>
      </c>
      <c r="C353" s="98">
        <f t="shared" si="13"/>
        <v>36.049999999999997</v>
      </c>
      <c r="D353" s="98">
        <f t="shared" si="14"/>
        <v>250.86</v>
      </c>
      <c r="E353" s="98">
        <f t="shared" si="15"/>
        <v>8856.4300000000021</v>
      </c>
      <c r="J353" s="7">
        <v>327</v>
      </c>
      <c r="K353" s="98">
        <f t="shared" si="10"/>
        <v>284.2</v>
      </c>
      <c r="L353" s="98">
        <f t="shared" si="11"/>
        <v>100.01</v>
      </c>
      <c r="M353" s="98">
        <f t="shared" si="16"/>
        <v>184.19</v>
      </c>
      <c r="N353" s="98">
        <f t="shared" si="17"/>
        <v>21439.040000000005</v>
      </c>
    </row>
    <row r="354" spans="1:14" ht="14.25" customHeight="1" x14ac:dyDescent="0.35">
      <c r="A354" s="7">
        <v>328</v>
      </c>
      <c r="B354" s="98">
        <f t="shared" si="12"/>
        <v>286.91000000000003</v>
      </c>
      <c r="C354" s="98">
        <f t="shared" si="13"/>
        <v>35.06</v>
      </c>
      <c r="D354" s="98">
        <f t="shared" si="14"/>
        <v>251.85000000000002</v>
      </c>
      <c r="E354" s="98">
        <f t="shared" si="15"/>
        <v>8604.5800000000017</v>
      </c>
      <c r="J354" s="7">
        <v>328</v>
      </c>
      <c r="K354" s="98">
        <f t="shared" si="10"/>
        <v>284.2</v>
      </c>
      <c r="L354" s="98">
        <f t="shared" si="11"/>
        <v>99.16</v>
      </c>
      <c r="M354" s="98">
        <f t="shared" si="16"/>
        <v>185.04</v>
      </c>
      <c r="N354" s="98">
        <f t="shared" si="17"/>
        <v>21254.000000000004</v>
      </c>
    </row>
    <row r="355" spans="1:14" ht="14.25" customHeight="1" x14ac:dyDescent="0.35">
      <c r="A355" s="7">
        <v>329</v>
      </c>
      <c r="B355" s="98">
        <f t="shared" si="12"/>
        <v>286.91000000000003</v>
      </c>
      <c r="C355" s="98">
        <f t="shared" si="13"/>
        <v>34.06</v>
      </c>
      <c r="D355" s="98">
        <f t="shared" si="14"/>
        <v>252.85000000000002</v>
      </c>
      <c r="E355" s="98">
        <f t="shared" si="15"/>
        <v>8351.7300000000014</v>
      </c>
      <c r="J355" s="7">
        <v>329</v>
      </c>
      <c r="K355" s="98">
        <f t="shared" si="10"/>
        <v>284.2</v>
      </c>
      <c r="L355" s="98">
        <f t="shared" si="11"/>
        <v>98.3</v>
      </c>
      <c r="M355" s="98">
        <f t="shared" si="16"/>
        <v>185.89999999999998</v>
      </c>
      <c r="N355" s="98">
        <f t="shared" si="17"/>
        <v>21068.100000000002</v>
      </c>
    </row>
    <row r="356" spans="1:14" ht="14.25" customHeight="1" x14ac:dyDescent="0.35">
      <c r="A356" s="7">
        <v>330</v>
      </c>
      <c r="B356" s="98">
        <f t="shared" si="12"/>
        <v>286.91000000000003</v>
      </c>
      <c r="C356" s="98">
        <f t="shared" si="13"/>
        <v>33.06</v>
      </c>
      <c r="D356" s="98">
        <f t="shared" si="14"/>
        <v>253.85000000000002</v>
      </c>
      <c r="E356" s="98">
        <f t="shared" si="15"/>
        <v>8097.880000000001</v>
      </c>
      <c r="J356" s="7">
        <v>330</v>
      </c>
      <c r="K356" s="98">
        <f t="shared" si="10"/>
        <v>284.2</v>
      </c>
      <c r="L356" s="98">
        <f t="shared" si="11"/>
        <v>97.44</v>
      </c>
      <c r="M356" s="98">
        <f t="shared" si="16"/>
        <v>186.76</v>
      </c>
      <c r="N356" s="98">
        <f t="shared" si="17"/>
        <v>20881.340000000004</v>
      </c>
    </row>
    <row r="357" spans="1:14" ht="14.25" customHeight="1" x14ac:dyDescent="0.35">
      <c r="A357" s="7">
        <v>331</v>
      </c>
      <c r="B357" s="98">
        <f t="shared" si="12"/>
        <v>286.91000000000003</v>
      </c>
      <c r="C357" s="98">
        <f t="shared" si="13"/>
        <v>32.049999999999997</v>
      </c>
      <c r="D357" s="98">
        <f t="shared" si="14"/>
        <v>254.86</v>
      </c>
      <c r="E357" s="98">
        <f t="shared" si="15"/>
        <v>7843.0200000000013</v>
      </c>
      <c r="J357" s="7">
        <v>331</v>
      </c>
      <c r="K357" s="98">
        <f t="shared" si="10"/>
        <v>284.2</v>
      </c>
      <c r="L357" s="98">
        <f t="shared" si="11"/>
        <v>96.58</v>
      </c>
      <c r="M357" s="98">
        <f t="shared" si="16"/>
        <v>187.62</v>
      </c>
      <c r="N357" s="98">
        <f t="shared" si="17"/>
        <v>20693.720000000005</v>
      </c>
    </row>
    <row r="358" spans="1:14" ht="14.25" customHeight="1" x14ac:dyDescent="0.35">
      <c r="A358" s="7">
        <v>332</v>
      </c>
      <c r="B358" s="98">
        <f t="shared" si="12"/>
        <v>286.91000000000003</v>
      </c>
      <c r="C358" s="98">
        <f t="shared" si="13"/>
        <v>31.05</v>
      </c>
      <c r="D358" s="98">
        <f t="shared" si="14"/>
        <v>255.86</v>
      </c>
      <c r="E358" s="98">
        <f t="shared" si="15"/>
        <v>7587.1600000000017</v>
      </c>
      <c r="J358" s="7">
        <v>332</v>
      </c>
      <c r="K358" s="98">
        <f t="shared" si="10"/>
        <v>284.2</v>
      </c>
      <c r="L358" s="98">
        <f t="shared" si="11"/>
        <v>95.71</v>
      </c>
      <c r="M358" s="98">
        <f t="shared" si="16"/>
        <v>188.49</v>
      </c>
      <c r="N358" s="98">
        <f t="shared" si="17"/>
        <v>20505.230000000003</v>
      </c>
    </row>
    <row r="359" spans="1:14" ht="14.25" customHeight="1" x14ac:dyDescent="0.35">
      <c r="A359" s="7">
        <v>333</v>
      </c>
      <c r="B359" s="98">
        <f t="shared" si="12"/>
        <v>286.91000000000003</v>
      </c>
      <c r="C359" s="98">
        <f t="shared" si="13"/>
        <v>30.03</v>
      </c>
      <c r="D359" s="98">
        <f t="shared" si="14"/>
        <v>256.88</v>
      </c>
      <c r="E359" s="98">
        <f t="shared" si="15"/>
        <v>7330.2800000000016</v>
      </c>
      <c r="J359" s="7">
        <v>333</v>
      </c>
      <c r="K359" s="98">
        <f t="shared" si="10"/>
        <v>284.2</v>
      </c>
      <c r="L359" s="98">
        <f t="shared" si="11"/>
        <v>94.84</v>
      </c>
      <c r="M359" s="98">
        <f t="shared" si="16"/>
        <v>189.35999999999999</v>
      </c>
      <c r="N359" s="98">
        <f t="shared" si="17"/>
        <v>20315.870000000003</v>
      </c>
    </row>
    <row r="360" spans="1:14" ht="14.25" customHeight="1" x14ac:dyDescent="0.35">
      <c r="A360" s="7">
        <v>334</v>
      </c>
      <c r="B360" s="98">
        <f t="shared" si="12"/>
        <v>286.91000000000003</v>
      </c>
      <c r="C360" s="98">
        <f t="shared" si="13"/>
        <v>29.02</v>
      </c>
      <c r="D360" s="98">
        <f t="shared" si="14"/>
        <v>257.89000000000004</v>
      </c>
      <c r="E360" s="98">
        <f t="shared" si="15"/>
        <v>7072.3900000000012</v>
      </c>
      <c r="J360" s="7">
        <v>334</v>
      </c>
      <c r="K360" s="98">
        <f t="shared" si="10"/>
        <v>284.2</v>
      </c>
      <c r="L360" s="98">
        <f t="shared" si="11"/>
        <v>93.96</v>
      </c>
      <c r="M360" s="98">
        <f t="shared" si="16"/>
        <v>190.24</v>
      </c>
      <c r="N360" s="98">
        <f t="shared" si="17"/>
        <v>20125.63</v>
      </c>
    </row>
    <row r="361" spans="1:14" ht="14.25" customHeight="1" x14ac:dyDescent="0.35">
      <c r="A361" s="7">
        <v>335</v>
      </c>
      <c r="B361" s="98">
        <f t="shared" si="12"/>
        <v>286.91000000000003</v>
      </c>
      <c r="C361" s="98">
        <f t="shared" si="13"/>
        <v>27.99</v>
      </c>
      <c r="D361" s="98">
        <f t="shared" si="14"/>
        <v>258.92</v>
      </c>
      <c r="E361" s="98">
        <f t="shared" si="15"/>
        <v>6813.4700000000012</v>
      </c>
      <c r="J361" s="7">
        <v>335</v>
      </c>
      <c r="K361" s="98">
        <f t="shared" si="10"/>
        <v>284.2</v>
      </c>
      <c r="L361" s="98">
        <f t="shared" si="11"/>
        <v>93.08</v>
      </c>
      <c r="M361" s="98">
        <f t="shared" si="16"/>
        <v>191.12</v>
      </c>
      <c r="N361" s="98">
        <f t="shared" si="17"/>
        <v>19934.510000000002</v>
      </c>
    </row>
    <row r="362" spans="1:14" ht="14.25" customHeight="1" x14ac:dyDescent="0.35">
      <c r="A362" s="7">
        <v>336</v>
      </c>
      <c r="B362" s="98">
        <f t="shared" si="12"/>
        <v>286.91000000000003</v>
      </c>
      <c r="C362" s="98">
        <f t="shared" si="13"/>
        <v>26.97</v>
      </c>
      <c r="D362" s="98">
        <f t="shared" si="14"/>
        <v>259.94000000000005</v>
      </c>
      <c r="E362" s="98">
        <f t="shared" si="15"/>
        <v>6553.5300000000007</v>
      </c>
      <c r="J362" s="7">
        <v>336</v>
      </c>
      <c r="K362" s="98">
        <f t="shared" si="10"/>
        <v>284.2</v>
      </c>
      <c r="L362" s="98">
        <f t="shared" si="11"/>
        <v>92.2</v>
      </c>
      <c r="M362" s="98">
        <f t="shared" si="16"/>
        <v>192</v>
      </c>
      <c r="N362" s="98">
        <f t="shared" si="17"/>
        <v>19742.510000000002</v>
      </c>
    </row>
    <row r="363" spans="1:14" ht="14.25" customHeight="1" x14ac:dyDescent="0.35">
      <c r="A363" s="7">
        <v>337</v>
      </c>
      <c r="B363" s="98">
        <f t="shared" si="12"/>
        <v>286.91000000000003</v>
      </c>
      <c r="C363" s="98">
        <f t="shared" si="13"/>
        <v>25.94</v>
      </c>
      <c r="D363" s="98">
        <f t="shared" si="14"/>
        <v>260.97000000000003</v>
      </c>
      <c r="E363" s="98">
        <f t="shared" si="15"/>
        <v>6292.56</v>
      </c>
      <c r="J363" s="7">
        <v>337</v>
      </c>
      <c r="K363" s="98">
        <f t="shared" si="10"/>
        <v>284.2</v>
      </c>
      <c r="L363" s="98">
        <f t="shared" si="11"/>
        <v>91.31</v>
      </c>
      <c r="M363" s="98">
        <f t="shared" si="16"/>
        <v>192.89</v>
      </c>
      <c r="N363" s="98">
        <f t="shared" si="17"/>
        <v>19549.620000000003</v>
      </c>
    </row>
    <row r="364" spans="1:14" ht="14.25" customHeight="1" x14ac:dyDescent="0.35">
      <c r="A364" s="7">
        <v>338</v>
      </c>
      <c r="B364" s="98">
        <f t="shared" si="12"/>
        <v>286.91000000000003</v>
      </c>
      <c r="C364" s="98">
        <f t="shared" si="13"/>
        <v>24.91</v>
      </c>
      <c r="D364" s="98">
        <f t="shared" si="14"/>
        <v>262</v>
      </c>
      <c r="E364" s="98">
        <f t="shared" si="15"/>
        <v>6030.56</v>
      </c>
      <c r="J364" s="7">
        <v>338</v>
      </c>
      <c r="K364" s="98">
        <f t="shared" si="10"/>
        <v>284.2</v>
      </c>
      <c r="L364" s="98">
        <f t="shared" si="11"/>
        <v>90.42</v>
      </c>
      <c r="M364" s="98">
        <f t="shared" si="16"/>
        <v>193.77999999999997</v>
      </c>
      <c r="N364" s="98">
        <f t="shared" si="17"/>
        <v>19355.840000000004</v>
      </c>
    </row>
    <row r="365" spans="1:14" ht="14.25" customHeight="1" x14ac:dyDescent="0.35">
      <c r="A365" s="7">
        <v>339</v>
      </c>
      <c r="B365" s="98">
        <f t="shared" si="12"/>
        <v>286.91000000000003</v>
      </c>
      <c r="C365" s="98">
        <f t="shared" si="13"/>
        <v>23.87</v>
      </c>
      <c r="D365" s="98">
        <f t="shared" si="14"/>
        <v>263.04000000000002</v>
      </c>
      <c r="E365" s="98">
        <f t="shared" si="15"/>
        <v>5767.52</v>
      </c>
      <c r="J365" s="7">
        <v>339</v>
      </c>
      <c r="K365" s="98">
        <f t="shared" si="10"/>
        <v>284.2</v>
      </c>
      <c r="L365" s="98">
        <f t="shared" si="11"/>
        <v>89.52</v>
      </c>
      <c r="M365" s="98">
        <f t="shared" si="16"/>
        <v>194.68</v>
      </c>
      <c r="N365" s="98">
        <f t="shared" si="17"/>
        <v>19161.160000000003</v>
      </c>
    </row>
    <row r="366" spans="1:14" ht="14.25" customHeight="1" x14ac:dyDescent="0.35">
      <c r="A366" s="7">
        <v>340</v>
      </c>
      <c r="B366" s="98">
        <f t="shared" si="12"/>
        <v>286.91000000000003</v>
      </c>
      <c r="C366" s="98">
        <f t="shared" si="13"/>
        <v>22.83</v>
      </c>
      <c r="D366" s="98">
        <f t="shared" si="14"/>
        <v>264.08000000000004</v>
      </c>
      <c r="E366" s="98">
        <f t="shared" si="15"/>
        <v>5503.4400000000005</v>
      </c>
      <c r="J366" s="7">
        <v>340</v>
      </c>
      <c r="K366" s="98">
        <f t="shared" ref="K366:K445" si="18">-$Q$120</f>
        <v>284.2</v>
      </c>
      <c r="L366" s="98">
        <f t="shared" ref="L366:L446" si="19">ROUND(N365*$Q$116,2)</f>
        <v>88.62</v>
      </c>
      <c r="M366" s="98">
        <f t="shared" si="16"/>
        <v>195.57999999999998</v>
      </c>
      <c r="N366" s="98">
        <f t="shared" si="17"/>
        <v>18965.580000000002</v>
      </c>
    </row>
    <row r="367" spans="1:14" ht="14.25" customHeight="1" x14ac:dyDescent="0.35">
      <c r="A367" s="7">
        <v>341</v>
      </c>
      <c r="B367" s="98">
        <f t="shared" si="12"/>
        <v>286.91000000000003</v>
      </c>
      <c r="C367" s="98">
        <f t="shared" si="13"/>
        <v>21.78</v>
      </c>
      <c r="D367" s="98">
        <f t="shared" si="14"/>
        <v>265.13</v>
      </c>
      <c r="E367" s="98">
        <f t="shared" si="15"/>
        <v>5238.3100000000004</v>
      </c>
      <c r="J367" s="7">
        <v>341</v>
      </c>
      <c r="K367" s="98">
        <f t="shared" si="18"/>
        <v>284.2</v>
      </c>
      <c r="L367" s="98">
        <f t="shared" si="19"/>
        <v>87.72</v>
      </c>
      <c r="M367" s="98">
        <f t="shared" si="16"/>
        <v>196.48</v>
      </c>
      <c r="N367" s="98">
        <f t="shared" si="17"/>
        <v>18769.100000000002</v>
      </c>
    </row>
    <row r="368" spans="1:14" ht="14.25" customHeight="1" x14ac:dyDescent="0.35">
      <c r="A368" s="7">
        <v>342</v>
      </c>
      <c r="B368" s="98">
        <f t="shared" si="12"/>
        <v>286.91000000000003</v>
      </c>
      <c r="C368" s="98">
        <f t="shared" si="13"/>
        <v>20.73</v>
      </c>
      <c r="D368" s="98">
        <f t="shared" si="14"/>
        <v>266.18</v>
      </c>
      <c r="E368" s="98">
        <f t="shared" si="15"/>
        <v>4972.13</v>
      </c>
      <c r="J368" s="7">
        <v>342</v>
      </c>
      <c r="K368" s="98">
        <f t="shared" si="18"/>
        <v>284.2</v>
      </c>
      <c r="L368" s="98">
        <f t="shared" si="19"/>
        <v>86.81</v>
      </c>
      <c r="M368" s="98">
        <f t="shared" si="16"/>
        <v>197.39</v>
      </c>
      <c r="N368" s="98">
        <f t="shared" si="17"/>
        <v>18571.710000000003</v>
      </c>
    </row>
    <row r="369" spans="1:14" ht="14.25" customHeight="1" x14ac:dyDescent="0.35">
      <c r="A369" s="7">
        <v>343</v>
      </c>
      <c r="B369" s="98">
        <f t="shared" si="12"/>
        <v>286.91000000000003</v>
      </c>
      <c r="C369" s="98">
        <f t="shared" si="13"/>
        <v>19.68</v>
      </c>
      <c r="D369" s="98">
        <f t="shared" si="14"/>
        <v>267.23</v>
      </c>
      <c r="E369" s="98">
        <f t="shared" si="15"/>
        <v>4704.8999999999996</v>
      </c>
      <c r="J369" s="7">
        <v>343</v>
      </c>
      <c r="K369" s="98">
        <f t="shared" si="18"/>
        <v>284.2</v>
      </c>
      <c r="L369" s="98">
        <f t="shared" si="19"/>
        <v>85.89</v>
      </c>
      <c r="M369" s="98">
        <f t="shared" si="16"/>
        <v>198.31</v>
      </c>
      <c r="N369" s="98">
        <f t="shared" si="17"/>
        <v>18373.400000000001</v>
      </c>
    </row>
    <row r="370" spans="1:14" ht="14.25" customHeight="1" x14ac:dyDescent="0.35">
      <c r="A370" s="7">
        <v>344</v>
      </c>
      <c r="B370" s="98">
        <f t="shared" si="12"/>
        <v>286.91000000000003</v>
      </c>
      <c r="C370" s="98">
        <f t="shared" si="13"/>
        <v>18.62</v>
      </c>
      <c r="D370" s="98">
        <f t="shared" si="14"/>
        <v>268.29000000000002</v>
      </c>
      <c r="E370" s="98">
        <f t="shared" si="15"/>
        <v>4436.6099999999997</v>
      </c>
      <c r="J370" s="7">
        <v>344</v>
      </c>
      <c r="K370" s="98">
        <f t="shared" si="18"/>
        <v>284.2</v>
      </c>
      <c r="L370" s="98">
        <f t="shared" si="19"/>
        <v>84.98</v>
      </c>
      <c r="M370" s="98">
        <f t="shared" si="16"/>
        <v>199.21999999999997</v>
      </c>
      <c r="N370" s="98">
        <f t="shared" si="17"/>
        <v>18174.18</v>
      </c>
    </row>
    <row r="371" spans="1:14" ht="14.25" customHeight="1" x14ac:dyDescent="0.35">
      <c r="A371" s="7">
        <v>345</v>
      </c>
      <c r="B371" s="98">
        <f t="shared" si="12"/>
        <v>286.91000000000003</v>
      </c>
      <c r="C371" s="98">
        <f t="shared" si="13"/>
        <v>17.559999999999999</v>
      </c>
      <c r="D371" s="98">
        <f t="shared" si="14"/>
        <v>269.35000000000002</v>
      </c>
      <c r="E371" s="98">
        <f t="shared" si="15"/>
        <v>4167.2599999999993</v>
      </c>
      <c r="J371" s="7">
        <v>345</v>
      </c>
      <c r="K371" s="98">
        <f t="shared" si="18"/>
        <v>284.2</v>
      </c>
      <c r="L371" s="98">
        <f t="shared" si="19"/>
        <v>84.06</v>
      </c>
      <c r="M371" s="98">
        <f t="shared" si="16"/>
        <v>200.14</v>
      </c>
      <c r="N371" s="98">
        <f t="shared" si="17"/>
        <v>17974.04</v>
      </c>
    </row>
    <row r="372" spans="1:14" ht="14.25" customHeight="1" x14ac:dyDescent="0.35">
      <c r="A372" s="7">
        <v>346</v>
      </c>
      <c r="B372" s="98">
        <f t="shared" si="12"/>
        <v>286.91000000000003</v>
      </c>
      <c r="C372" s="98">
        <f t="shared" si="13"/>
        <v>16.5</v>
      </c>
      <c r="D372" s="98">
        <f t="shared" si="14"/>
        <v>270.41000000000003</v>
      </c>
      <c r="E372" s="98">
        <f t="shared" si="15"/>
        <v>3896.8499999999995</v>
      </c>
      <c r="J372" s="7">
        <v>346</v>
      </c>
      <c r="K372" s="98">
        <f t="shared" si="18"/>
        <v>284.2</v>
      </c>
      <c r="L372" s="98">
        <f t="shared" si="19"/>
        <v>83.13</v>
      </c>
      <c r="M372" s="98">
        <f t="shared" si="16"/>
        <v>201.07</v>
      </c>
      <c r="N372" s="98">
        <f t="shared" si="17"/>
        <v>17772.97</v>
      </c>
    </row>
    <row r="373" spans="1:14" ht="14.25" customHeight="1" x14ac:dyDescent="0.35">
      <c r="A373" s="7">
        <v>347</v>
      </c>
      <c r="B373" s="98">
        <f t="shared" si="12"/>
        <v>286.91000000000003</v>
      </c>
      <c r="C373" s="98">
        <f t="shared" si="13"/>
        <v>15.43</v>
      </c>
      <c r="D373" s="98">
        <f t="shared" si="14"/>
        <v>271.48</v>
      </c>
      <c r="E373" s="98">
        <f t="shared" si="15"/>
        <v>3625.3699999999994</v>
      </c>
      <c r="J373" s="7">
        <v>347</v>
      </c>
      <c r="K373" s="98">
        <f t="shared" si="18"/>
        <v>284.2</v>
      </c>
      <c r="L373" s="98">
        <f t="shared" si="19"/>
        <v>82.2</v>
      </c>
      <c r="M373" s="98">
        <f t="shared" si="16"/>
        <v>202</v>
      </c>
      <c r="N373" s="98">
        <f t="shared" si="17"/>
        <v>17570.97</v>
      </c>
    </row>
    <row r="374" spans="1:14" ht="14.25" customHeight="1" x14ac:dyDescent="0.35">
      <c r="A374" s="7">
        <v>348</v>
      </c>
      <c r="B374" s="98">
        <f t="shared" si="12"/>
        <v>286.91000000000003</v>
      </c>
      <c r="C374" s="98">
        <f t="shared" si="13"/>
        <v>14.35</v>
      </c>
      <c r="D374" s="98">
        <f t="shared" si="14"/>
        <v>272.56</v>
      </c>
      <c r="E374" s="98">
        <f t="shared" si="15"/>
        <v>3352.8099999999995</v>
      </c>
      <c r="J374" s="7">
        <v>348</v>
      </c>
      <c r="K374" s="98">
        <f t="shared" si="18"/>
        <v>284.2</v>
      </c>
      <c r="L374" s="98">
        <f t="shared" si="19"/>
        <v>81.27</v>
      </c>
      <c r="M374" s="98">
        <f t="shared" si="16"/>
        <v>202.93</v>
      </c>
      <c r="N374" s="98">
        <f t="shared" si="17"/>
        <v>17368.04</v>
      </c>
    </row>
    <row r="375" spans="1:14" ht="14.25" customHeight="1" x14ac:dyDescent="0.35">
      <c r="A375" s="7">
        <v>349</v>
      </c>
      <c r="B375" s="98">
        <f t="shared" si="12"/>
        <v>286.91000000000003</v>
      </c>
      <c r="C375" s="98">
        <f t="shared" si="13"/>
        <v>13.27</v>
      </c>
      <c r="D375" s="98">
        <f t="shared" si="14"/>
        <v>273.64000000000004</v>
      </c>
      <c r="E375" s="98">
        <f t="shared" si="15"/>
        <v>3079.1699999999996</v>
      </c>
      <c r="J375" s="7">
        <v>349</v>
      </c>
      <c r="K375" s="98">
        <f t="shared" si="18"/>
        <v>284.2</v>
      </c>
      <c r="L375" s="98">
        <f t="shared" si="19"/>
        <v>80.33</v>
      </c>
      <c r="M375" s="98">
        <f t="shared" si="16"/>
        <v>203.87</v>
      </c>
      <c r="N375" s="98">
        <f t="shared" si="17"/>
        <v>17164.170000000002</v>
      </c>
    </row>
    <row r="376" spans="1:14" ht="14.25" customHeight="1" x14ac:dyDescent="0.35">
      <c r="A376" s="7">
        <v>350</v>
      </c>
      <c r="B376" s="98">
        <f t="shared" si="12"/>
        <v>286.91000000000003</v>
      </c>
      <c r="C376" s="98">
        <f t="shared" si="13"/>
        <v>12.19</v>
      </c>
      <c r="D376" s="98">
        <f t="shared" si="14"/>
        <v>274.72000000000003</v>
      </c>
      <c r="E376" s="98">
        <f t="shared" si="15"/>
        <v>2804.45</v>
      </c>
      <c r="J376" s="7">
        <v>350</v>
      </c>
      <c r="K376" s="98">
        <f t="shared" si="18"/>
        <v>284.2</v>
      </c>
      <c r="L376" s="98">
        <f t="shared" si="19"/>
        <v>79.38</v>
      </c>
      <c r="M376" s="98">
        <f t="shared" si="16"/>
        <v>204.82</v>
      </c>
      <c r="N376" s="98">
        <f t="shared" si="17"/>
        <v>16959.350000000002</v>
      </c>
    </row>
    <row r="377" spans="1:14" ht="14.25" customHeight="1" x14ac:dyDescent="0.35">
      <c r="A377" s="7">
        <v>351</v>
      </c>
      <c r="B377" s="98">
        <f t="shared" si="12"/>
        <v>286.91000000000003</v>
      </c>
      <c r="C377" s="98">
        <f t="shared" si="13"/>
        <v>11.1</v>
      </c>
      <c r="D377" s="98">
        <f t="shared" si="14"/>
        <v>275.81</v>
      </c>
      <c r="E377" s="98">
        <f t="shared" si="15"/>
        <v>2528.64</v>
      </c>
      <c r="J377" s="7">
        <v>351</v>
      </c>
      <c r="K377" s="98">
        <f t="shared" si="18"/>
        <v>284.2</v>
      </c>
      <c r="L377" s="98">
        <f t="shared" si="19"/>
        <v>78.44</v>
      </c>
      <c r="M377" s="98">
        <f t="shared" si="16"/>
        <v>205.76</v>
      </c>
      <c r="N377" s="98">
        <f t="shared" si="17"/>
        <v>16753.590000000004</v>
      </c>
    </row>
    <row r="378" spans="1:14" ht="14.25" customHeight="1" x14ac:dyDescent="0.35">
      <c r="A378" s="7">
        <v>352</v>
      </c>
      <c r="B378" s="98">
        <f t="shared" si="12"/>
        <v>286.91000000000003</v>
      </c>
      <c r="C378" s="98">
        <f t="shared" si="13"/>
        <v>10.01</v>
      </c>
      <c r="D378" s="98">
        <f t="shared" si="14"/>
        <v>276.90000000000003</v>
      </c>
      <c r="E378" s="98">
        <f t="shared" si="15"/>
        <v>2251.7399999999998</v>
      </c>
      <c r="J378" s="7">
        <v>352</v>
      </c>
      <c r="K378" s="98">
        <f t="shared" si="18"/>
        <v>284.2</v>
      </c>
      <c r="L378" s="98">
        <f t="shared" si="19"/>
        <v>77.489999999999995</v>
      </c>
      <c r="M378" s="98">
        <f t="shared" si="16"/>
        <v>206.70999999999998</v>
      </c>
      <c r="N378" s="98">
        <f t="shared" si="17"/>
        <v>16546.880000000005</v>
      </c>
    </row>
    <row r="379" spans="1:14" ht="14.25" customHeight="1" x14ac:dyDescent="0.35">
      <c r="A379" s="7">
        <v>353</v>
      </c>
      <c r="B379" s="98">
        <f t="shared" si="12"/>
        <v>286.91000000000003</v>
      </c>
      <c r="C379" s="98">
        <f t="shared" si="13"/>
        <v>8.91</v>
      </c>
      <c r="D379" s="98">
        <f t="shared" si="14"/>
        <v>278</v>
      </c>
      <c r="E379" s="98">
        <f t="shared" si="15"/>
        <v>1973.7399999999998</v>
      </c>
      <c r="J379" s="7">
        <v>353</v>
      </c>
      <c r="K379" s="98">
        <f t="shared" si="18"/>
        <v>284.2</v>
      </c>
      <c r="L379" s="98">
        <f t="shared" si="19"/>
        <v>76.53</v>
      </c>
      <c r="M379" s="98">
        <f t="shared" si="16"/>
        <v>207.67</v>
      </c>
      <c r="N379" s="98">
        <f t="shared" si="17"/>
        <v>16339.210000000005</v>
      </c>
    </row>
    <row r="380" spans="1:14" ht="14.25" customHeight="1" x14ac:dyDescent="0.35">
      <c r="A380" s="7">
        <v>354</v>
      </c>
      <c r="B380" s="98">
        <f t="shared" si="12"/>
        <v>286.91000000000003</v>
      </c>
      <c r="C380" s="98">
        <f t="shared" si="13"/>
        <v>7.81</v>
      </c>
      <c r="D380" s="98">
        <f t="shared" si="14"/>
        <v>279.10000000000002</v>
      </c>
      <c r="E380" s="98">
        <f t="shared" si="15"/>
        <v>1694.6399999999999</v>
      </c>
      <c r="J380" s="7">
        <v>354</v>
      </c>
      <c r="K380" s="98">
        <f t="shared" si="18"/>
        <v>284.2</v>
      </c>
      <c r="L380" s="98">
        <f t="shared" si="19"/>
        <v>75.569999999999993</v>
      </c>
      <c r="M380" s="98">
        <f t="shared" si="16"/>
        <v>208.63</v>
      </c>
      <c r="N380" s="98">
        <f t="shared" si="17"/>
        <v>16130.580000000005</v>
      </c>
    </row>
    <row r="381" spans="1:14" ht="14.25" customHeight="1" x14ac:dyDescent="0.35">
      <c r="A381" s="7">
        <v>355</v>
      </c>
      <c r="B381" s="98">
        <f t="shared" si="12"/>
        <v>286.91000000000003</v>
      </c>
      <c r="C381" s="98">
        <f t="shared" si="13"/>
        <v>6.71</v>
      </c>
      <c r="D381" s="98">
        <f t="shared" si="14"/>
        <v>280.20000000000005</v>
      </c>
      <c r="E381" s="98">
        <f t="shared" si="15"/>
        <v>1414.4399999999998</v>
      </c>
      <c r="J381" s="7">
        <v>355</v>
      </c>
      <c r="K381" s="98">
        <f t="shared" si="18"/>
        <v>284.2</v>
      </c>
      <c r="L381" s="98">
        <f t="shared" si="19"/>
        <v>74.599999999999994</v>
      </c>
      <c r="M381" s="98">
        <f t="shared" si="16"/>
        <v>209.6</v>
      </c>
      <c r="N381" s="98">
        <f t="shared" si="17"/>
        <v>15920.980000000005</v>
      </c>
    </row>
    <row r="382" spans="1:14" ht="14.25" customHeight="1" x14ac:dyDescent="0.35">
      <c r="A382" s="7">
        <v>356</v>
      </c>
      <c r="B382" s="98">
        <f t="shared" si="12"/>
        <v>286.91000000000003</v>
      </c>
      <c r="C382" s="98">
        <f t="shared" si="13"/>
        <v>5.6</v>
      </c>
      <c r="D382" s="98">
        <f t="shared" si="14"/>
        <v>281.31</v>
      </c>
      <c r="E382" s="98">
        <f t="shared" si="15"/>
        <v>1133.1299999999999</v>
      </c>
      <c r="J382" s="7">
        <v>356</v>
      </c>
      <c r="K382" s="98">
        <f t="shared" si="18"/>
        <v>284.2</v>
      </c>
      <c r="L382" s="98">
        <f t="shared" si="19"/>
        <v>73.63</v>
      </c>
      <c r="M382" s="98">
        <f t="shared" si="16"/>
        <v>210.57</v>
      </c>
      <c r="N382" s="98">
        <f t="shared" si="17"/>
        <v>15710.410000000005</v>
      </c>
    </row>
    <row r="383" spans="1:14" ht="14.25" customHeight="1" x14ac:dyDescent="0.35">
      <c r="A383" s="7">
        <v>357</v>
      </c>
      <c r="B383" s="98">
        <f t="shared" si="12"/>
        <v>286.91000000000003</v>
      </c>
      <c r="C383" s="98">
        <f t="shared" si="13"/>
        <v>4.49</v>
      </c>
      <c r="D383" s="98">
        <f t="shared" si="14"/>
        <v>282.42</v>
      </c>
      <c r="E383" s="98">
        <f t="shared" si="15"/>
        <v>850.70999999999981</v>
      </c>
      <c r="J383" s="7">
        <v>357</v>
      </c>
      <c r="K383" s="98">
        <f t="shared" si="18"/>
        <v>284.2</v>
      </c>
      <c r="L383" s="98">
        <f t="shared" si="19"/>
        <v>72.66</v>
      </c>
      <c r="M383" s="98">
        <f t="shared" si="16"/>
        <v>211.54</v>
      </c>
      <c r="N383" s="98">
        <f t="shared" si="17"/>
        <v>15498.870000000004</v>
      </c>
    </row>
    <row r="384" spans="1:14" ht="14.25" customHeight="1" x14ac:dyDescent="0.35">
      <c r="A384" s="7">
        <v>358</v>
      </c>
      <c r="B384" s="98">
        <f t="shared" si="12"/>
        <v>286.91000000000003</v>
      </c>
      <c r="C384" s="98">
        <f t="shared" si="13"/>
        <v>3.37</v>
      </c>
      <c r="D384" s="98">
        <f t="shared" si="14"/>
        <v>283.54000000000002</v>
      </c>
      <c r="E384" s="98">
        <f t="shared" si="15"/>
        <v>567.16999999999985</v>
      </c>
      <c r="J384" s="7">
        <v>358</v>
      </c>
      <c r="K384" s="98">
        <f t="shared" si="18"/>
        <v>284.2</v>
      </c>
      <c r="L384" s="98">
        <f t="shared" si="19"/>
        <v>71.680000000000007</v>
      </c>
      <c r="M384" s="98">
        <f t="shared" si="16"/>
        <v>212.51999999999998</v>
      </c>
      <c r="N384" s="98">
        <f t="shared" si="17"/>
        <v>15286.350000000004</v>
      </c>
    </row>
    <row r="385" spans="1:14" ht="14.25" customHeight="1" x14ac:dyDescent="0.35">
      <c r="A385" s="7">
        <v>359</v>
      </c>
      <c r="B385" s="98">
        <f t="shared" si="12"/>
        <v>286.91000000000003</v>
      </c>
      <c r="C385" s="98">
        <f t="shared" si="13"/>
        <v>2.25</v>
      </c>
      <c r="D385" s="98">
        <f t="shared" si="14"/>
        <v>284.66000000000003</v>
      </c>
      <c r="E385" s="98">
        <f t="shared" si="15"/>
        <v>282.50999999999982</v>
      </c>
      <c r="J385" s="7">
        <v>359</v>
      </c>
      <c r="K385" s="98">
        <f t="shared" si="18"/>
        <v>284.2</v>
      </c>
      <c r="L385" s="98">
        <f t="shared" si="19"/>
        <v>70.7</v>
      </c>
      <c r="M385" s="98">
        <f t="shared" si="16"/>
        <v>213.5</v>
      </c>
      <c r="N385" s="98">
        <f t="shared" si="17"/>
        <v>15072.850000000004</v>
      </c>
    </row>
    <row r="386" spans="1:14" ht="14.25" customHeight="1" x14ac:dyDescent="0.35">
      <c r="A386" s="7">
        <v>360</v>
      </c>
      <c r="B386" s="98">
        <f>C386+D386</f>
        <v>283.62999999999982</v>
      </c>
      <c r="C386" s="98">
        <f t="shared" si="13"/>
        <v>1.1200000000000001</v>
      </c>
      <c r="D386" s="98">
        <f>E385</f>
        <v>282.50999999999982</v>
      </c>
      <c r="E386" s="98">
        <f t="shared" si="15"/>
        <v>0</v>
      </c>
      <c r="J386" s="7">
        <v>360</v>
      </c>
      <c r="K386" s="98">
        <f t="shared" si="18"/>
        <v>284.2</v>
      </c>
      <c r="L386" s="98">
        <f t="shared" si="19"/>
        <v>69.709999999999994</v>
      </c>
      <c r="M386" s="98">
        <f t="shared" si="16"/>
        <v>214.49</v>
      </c>
      <c r="N386" s="98">
        <f t="shared" si="17"/>
        <v>14858.360000000004</v>
      </c>
    </row>
    <row r="387" spans="1:14" ht="14.25" customHeight="1" x14ac:dyDescent="0.35">
      <c r="A387" s="12"/>
      <c r="B387" s="109">
        <f t="shared" ref="B387:D387" si="20">SUM(B25:B386)</f>
        <v>103284.32000000084</v>
      </c>
      <c r="C387" s="109">
        <f t="shared" si="20"/>
        <v>48284.320000000007</v>
      </c>
      <c r="D387" s="109">
        <f t="shared" si="20"/>
        <v>54999.999999999993</v>
      </c>
      <c r="E387" s="110"/>
      <c r="J387" s="7">
        <v>361</v>
      </c>
      <c r="K387" s="98">
        <f t="shared" si="18"/>
        <v>284.2</v>
      </c>
      <c r="L387" s="98">
        <f t="shared" si="19"/>
        <v>68.72</v>
      </c>
      <c r="M387" s="98">
        <f t="shared" si="16"/>
        <v>215.48</v>
      </c>
      <c r="N387" s="98">
        <f t="shared" si="17"/>
        <v>14642.880000000005</v>
      </c>
    </row>
    <row r="388" spans="1:14" ht="14.25" customHeight="1" x14ac:dyDescent="0.35">
      <c r="A388" s="12"/>
      <c r="B388" s="110"/>
      <c r="C388" s="110"/>
      <c r="D388" s="110"/>
      <c r="E388" s="110"/>
      <c r="J388" s="7">
        <v>362</v>
      </c>
      <c r="K388" s="98">
        <f t="shared" si="18"/>
        <v>284.2</v>
      </c>
      <c r="L388" s="98">
        <f t="shared" si="19"/>
        <v>67.72</v>
      </c>
      <c r="M388" s="98">
        <f t="shared" si="16"/>
        <v>216.48</v>
      </c>
      <c r="N388" s="98">
        <f t="shared" si="17"/>
        <v>14426.400000000005</v>
      </c>
    </row>
    <row r="389" spans="1:14" ht="14.25" customHeight="1" x14ac:dyDescent="0.35">
      <c r="A389" s="12"/>
      <c r="B389" s="110"/>
      <c r="C389" s="110"/>
      <c r="D389" s="110"/>
      <c r="E389" s="110"/>
      <c r="J389" s="7">
        <v>363</v>
      </c>
      <c r="K389" s="98">
        <f t="shared" si="18"/>
        <v>284.2</v>
      </c>
      <c r="L389" s="98">
        <f t="shared" si="19"/>
        <v>66.72</v>
      </c>
      <c r="M389" s="98">
        <f t="shared" si="16"/>
        <v>217.48</v>
      </c>
      <c r="N389" s="98">
        <f t="shared" si="17"/>
        <v>14208.920000000006</v>
      </c>
    </row>
    <row r="390" spans="1:14" ht="14.25" customHeight="1" x14ac:dyDescent="0.35">
      <c r="A390" s="12"/>
      <c r="B390" s="110"/>
      <c r="C390" s="110"/>
      <c r="D390" s="110"/>
      <c r="E390" s="110"/>
      <c r="J390" s="7">
        <v>364</v>
      </c>
      <c r="K390" s="98">
        <f t="shared" si="18"/>
        <v>284.2</v>
      </c>
      <c r="L390" s="98">
        <f t="shared" si="19"/>
        <v>65.72</v>
      </c>
      <c r="M390" s="98">
        <f t="shared" si="16"/>
        <v>218.48</v>
      </c>
      <c r="N390" s="98">
        <f t="shared" si="17"/>
        <v>13990.440000000006</v>
      </c>
    </row>
    <row r="391" spans="1:14" ht="14.25" customHeight="1" x14ac:dyDescent="0.35">
      <c r="A391" s="12"/>
      <c r="B391" s="110"/>
      <c r="C391" s="110"/>
      <c r="D391" s="110"/>
      <c r="E391" s="110"/>
      <c r="J391" s="7">
        <v>365</v>
      </c>
      <c r="K391" s="98">
        <f t="shared" si="18"/>
        <v>284.2</v>
      </c>
      <c r="L391" s="98">
        <f t="shared" si="19"/>
        <v>64.709999999999994</v>
      </c>
      <c r="M391" s="98">
        <f t="shared" si="16"/>
        <v>219.49</v>
      </c>
      <c r="N391" s="98">
        <f t="shared" si="17"/>
        <v>13770.950000000006</v>
      </c>
    </row>
    <row r="392" spans="1:14" ht="14.25" customHeight="1" x14ac:dyDescent="0.35">
      <c r="A392" s="12"/>
      <c r="B392" s="110"/>
      <c r="C392" s="110"/>
      <c r="D392" s="110"/>
      <c r="E392" s="110"/>
      <c r="J392" s="7">
        <v>366</v>
      </c>
      <c r="K392" s="98">
        <f t="shared" si="18"/>
        <v>284.2</v>
      </c>
      <c r="L392" s="98">
        <f t="shared" si="19"/>
        <v>63.69</v>
      </c>
      <c r="M392" s="98">
        <f t="shared" si="16"/>
        <v>220.51</v>
      </c>
      <c r="N392" s="98">
        <f t="shared" si="17"/>
        <v>13550.440000000006</v>
      </c>
    </row>
    <row r="393" spans="1:14" ht="14.25" customHeight="1" x14ac:dyDescent="0.35">
      <c r="A393" s="12"/>
      <c r="B393" s="110"/>
      <c r="C393" s="110"/>
      <c r="D393" s="110"/>
      <c r="E393" s="110"/>
      <c r="J393" s="7">
        <v>367</v>
      </c>
      <c r="K393" s="98">
        <f t="shared" si="18"/>
        <v>284.2</v>
      </c>
      <c r="L393" s="98">
        <f t="shared" si="19"/>
        <v>62.67</v>
      </c>
      <c r="M393" s="98">
        <f t="shared" si="16"/>
        <v>221.52999999999997</v>
      </c>
      <c r="N393" s="98">
        <f t="shared" si="17"/>
        <v>13328.910000000005</v>
      </c>
    </row>
    <row r="394" spans="1:14" ht="14.25" customHeight="1" x14ac:dyDescent="0.35">
      <c r="A394" s="12"/>
      <c r="B394" s="110"/>
      <c r="C394" s="110"/>
      <c r="D394" s="110"/>
      <c r="E394" s="110"/>
      <c r="J394" s="7">
        <v>368</v>
      </c>
      <c r="K394" s="98">
        <f t="shared" si="18"/>
        <v>284.2</v>
      </c>
      <c r="L394" s="98">
        <f t="shared" si="19"/>
        <v>61.65</v>
      </c>
      <c r="M394" s="98">
        <f t="shared" si="16"/>
        <v>222.54999999999998</v>
      </c>
      <c r="N394" s="98">
        <f t="shared" si="17"/>
        <v>13106.360000000006</v>
      </c>
    </row>
    <row r="395" spans="1:14" ht="14.25" customHeight="1" x14ac:dyDescent="0.35">
      <c r="A395" s="12"/>
      <c r="B395" s="110"/>
      <c r="C395" s="110"/>
      <c r="D395" s="110"/>
      <c r="E395" s="110"/>
      <c r="J395" s="7">
        <v>369</v>
      </c>
      <c r="K395" s="98">
        <f t="shared" si="18"/>
        <v>284.2</v>
      </c>
      <c r="L395" s="98">
        <f t="shared" si="19"/>
        <v>60.62</v>
      </c>
      <c r="M395" s="98">
        <f t="shared" si="16"/>
        <v>223.57999999999998</v>
      </c>
      <c r="N395" s="98">
        <f t="shared" si="17"/>
        <v>12882.780000000006</v>
      </c>
    </row>
    <row r="396" spans="1:14" ht="14.25" customHeight="1" x14ac:dyDescent="0.35">
      <c r="A396" s="12"/>
      <c r="B396" s="110"/>
      <c r="C396" s="110"/>
      <c r="D396" s="110"/>
      <c r="E396" s="110"/>
      <c r="J396" s="7">
        <v>370</v>
      </c>
      <c r="K396" s="98">
        <f t="shared" si="18"/>
        <v>284.2</v>
      </c>
      <c r="L396" s="98">
        <f t="shared" si="19"/>
        <v>59.58</v>
      </c>
      <c r="M396" s="98">
        <f t="shared" si="16"/>
        <v>224.62</v>
      </c>
      <c r="N396" s="98">
        <f t="shared" si="17"/>
        <v>12658.160000000005</v>
      </c>
    </row>
    <row r="397" spans="1:14" ht="14.25" customHeight="1" x14ac:dyDescent="0.35">
      <c r="A397" s="12"/>
      <c r="B397" s="110"/>
      <c r="C397" s="110"/>
      <c r="D397" s="110"/>
      <c r="E397" s="110"/>
      <c r="J397" s="7">
        <v>371</v>
      </c>
      <c r="K397" s="98">
        <f t="shared" si="18"/>
        <v>284.2</v>
      </c>
      <c r="L397" s="98">
        <f t="shared" si="19"/>
        <v>58.54</v>
      </c>
      <c r="M397" s="98">
        <f t="shared" si="16"/>
        <v>225.66</v>
      </c>
      <c r="N397" s="98">
        <f t="shared" si="17"/>
        <v>12432.500000000005</v>
      </c>
    </row>
    <row r="398" spans="1:14" ht="14.25" customHeight="1" x14ac:dyDescent="0.35">
      <c r="A398" s="12"/>
      <c r="B398" s="110"/>
      <c r="C398" s="110"/>
      <c r="D398" s="110"/>
      <c r="E398" s="110"/>
      <c r="J398" s="7">
        <v>372</v>
      </c>
      <c r="K398" s="98">
        <f t="shared" si="18"/>
        <v>284.2</v>
      </c>
      <c r="L398" s="98">
        <f t="shared" si="19"/>
        <v>57.5</v>
      </c>
      <c r="M398" s="98">
        <f t="shared" si="16"/>
        <v>226.7</v>
      </c>
      <c r="N398" s="98">
        <f t="shared" si="17"/>
        <v>12205.800000000005</v>
      </c>
    </row>
    <row r="399" spans="1:14" ht="14.25" customHeight="1" x14ac:dyDescent="0.35">
      <c r="A399" s="12"/>
      <c r="B399" s="110"/>
      <c r="C399" s="110"/>
      <c r="D399" s="110"/>
      <c r="E399" s="110"/>
      <c r="J399" s="7">
        <v>373</v>
      </c>
      <c r="K399" s="98">
        <f t="shared" si="18"/>
        <v>284.2</v>
      </c>
      <c r="L399" s="98">
        <f t="shared" si="19"/>
        <v>56.45</v>
      </c>
      <c r="M399" s="98">
        <f t="shared" si="16"/>
        <v>227.75</v>
      </c>
      <c r="N399" s="98">
        <f t="shared" si="17"/>
        <v>11978.050000000005</v>
      </c>
    </row>
    <row r="400" spans="1:14" ht="14.25" customHeight="1" x14ac:dyDescent="0.35">
      <c r="A400" s="12"/>
      <c r="B400" s="110"/>
      <c r="C400" s="110"/>
      <c r="D400" s="110"/>
      <c r="E400" s="110"/>
      <c r="J400" s="7">
        <v>374</v>
      </c>
      <c r="K400" s="98">
        <f t="shared" si="18"/>
        <v>284.2</v>
      </c>
      <c r="L400" s="98">
        <f t="shared" si="19"/>
        <v>55.4</v>
      </c>
      <c r="M400" s="98">
        <f t="shared" si="16"/>
        <v>228.79999999999998</v>
      </c>
      <c r="N400" s="98">
        <f t="shared" si="17"/>
        <v>11749.250000000005</v>
      </c>
    </row>
    <row r="401" spans="1:14" ht="14.25" customHeight="1" x14ac:dyDescent="0.35">
      <c r="A401" s="12"/>
      <c r="B401" s="110"/>
      <c r="C401" s="110"/>
      <c r="D401" s="110"/>
      <c r="E401" s="110"/>
      <c r="J401" s="7">
        <v>375</v>
      </c>
      <c r="K401" s="98">
        <f t="shared" si="18"/>
        <v>284.2</v>
      </c>
      <c r="L401" s="98">
        <f t="shared" si="19"/>
        <v>54.34</v>
      </c>
      <c r="M401" s="98">
        <f t="shared" si="16"/>
        <v>229.85999999999999</v>
      </c>
      <c r="N401" s="98">
        <f t="shared" si="17"/>
        <v>11519.390000000005</v>
      </c>
    </row>
    <row r="402" spans="1:14" ht="14.25" customHeight="1" x14ac:dyDescent="0.35">
      <c r="A402" s="12"/>
      <c r="B402" s="110"/>
      <c r="C402" s="110"/>
      <c r="D402" s="110"/>
      <c r="E402" s="110"/>
      <c r="J402" s="7">
        <v>376</v>
      </c>
      <c r="K402" s="98">
        <f t="shared" si="18"/>
        <v>284.2</v>
      </c>
      <c r="L402" s="98">
        <f t="shared" si="19"/>
        <v>53.28</v>
      </c>
      <c r="M402" s="98">
        <f t="shared" si="16"/>
        <v>230.92</v>
      </c>
      <c r="N402" s="98">
        <f t="shared" si="17"/>
        <v>11288.470000000005</v>
      </c>
    </row>
    <row r="403" spans="1:14" ht="14.25" customHeight="1" x14ac:dyDescent="0.35">
      <c r="A403" s="12"/>
      <c r="B403" s="110"/>
      <c r="C403" s="110"/>
      <c r="D403" s="110"/>
      <c r="E403" s="110"/>
      <c r="J403" s="7">
        <v>377</v>
      </c>
      <c r="K403" s="98">
        <f t="shared" si="18"/>
        <v>284.2</v>
      </c>
      <c r="L403" s="98">
        <f t="shared" si="19"/>
        <v>52.21</v>
      </c>
      <c r="M403" s="98">
        <f t="shared" si="16"/>
        <v>231.98999999999998</v>
      </c>
      <c r="N403" s="98">
        <f t="shared" si="17"/>
        <v>11056.480000000005</v>
      </c>
    </row>
    <row r="404" spans="1:14" ht="14.25" customHeight="1" x14ac:dyDescent="0.35">
      <c r="A404" s="12"/>
      <c r="B404" s="110"/>
      <c r="C404" s="110"/>
      <c r="D404" s="110"/>
      <c r="E404" s="110"/>
      <c r="J404" s="7">
        <v>378</v>
      </c>
      <c r="K404" s="98">
        <f t="shared" si="18"/>
        <v>284.2</v>
      </c>
      <c r="L404" s="98">
        <f t="shared" si="19"/>
        <v>51.14</v>
      </c>
      <c r="M404" s="98">
        <f t="shared" si="16"/>
        <v>233.06</v>
      </c>
      <c r="N404" s="98">
        <f t="shared" si="17"/>
        <v>10823.420000000006</v>
      </c>
    </row>
    <row r="405" spans="1:14" ht="14.25" customHeight="1" x14ac:dyDescent="0.35">
      <c r="A405" s="12"/>
      <c r="B405" s="110"/>
      <c r="C405" s="110"/>
      <c r="D405" s="110"/>
      <c r="E405" s="110"/>
      <c r="J405" s="7">
        <v>379</v>
      </c>
      <c r="K405" s="98">
        <f t="shared" si="18"/>
        <v>284.2</v>
      </c>
      <c r="L405" s="98">
        <f t="shared" si="19"/>
        <v>50.06</v>
      </c>
      <c r="M405" s="98">
        <f t="shared" si="16"/>
        <v>234.14</v>
      </c>
      <c r="N405" s="98">
        <f t="shared" si="17"/>
        <v>10589.280000000006</v>
      </c>
    </row>
    <row r="406" spans="1:14" ht="14.25" customHeight="1" x14ac:dyDescent="0.35">
      <c r="A406" s="12"/>
      <c r="B406" s="110"/>
      <c r="C406" s="110"/>
      <c r="D406" s="110"/>
      <c r="E406" s="110"/>
      <c r="J406" s="7">
        <v>380</v>
      </c>
      <c r="K406" s="98">
        <f t="shared" si="18"/>
        <v>284.2</v>
      </c>
      <c r="L406" s="98">
        <f t="shared" si="19"/>
        <v>48.98</v>
      </c>
      <c r="M406" s="98">
        <f t="shared" si="16"/>
        <v>235.22</v>
      </c>
      <c r="N406" s="98">
        <f t="shared" si="17"/>
        <v>10354.060000000007</v>
      </c>
    </row>
    <row r="407" spans="1:14" ht="14.25" customHeight="1" x14ac:dyDescent="0.35">
      <c r="A407" s="12"/>
      <c r="B407" s="110"/>
      <c r="C407" s="110"/>
      <c r="D407" s="110"/>
      <c r="E407" s="110"/>
      <c r="J407" s="7">
        <v>381</v>
      </c>
      <c r="K407" s="98">
        <f t="shared" si="18"/>
        <v>284.2</v>
      </c>
      <c r="L407" s="98">
        <f t="shared" si="19"/>
        <v>47.89</v>
      </c>
      <c r="M407" s="98">
        <f t="shared" si="16"/>
        <v>236.31</v>
      </c>
      <c r="N407" s="98">
        <f t="shared" si="17"/>
        <v>10117.750000000007</v>
      </c>
    </row>
    <row r="408" spans="1:14" ht="14.25" customHeight="1" x14ac:dyDescent="0.35">
      <c r="A408" s="12"/>
      <c r="B408" s="110"/>
      <c r="C408" s="110"/>
      <c r="D408" s="110"/>
      <c r="E408" s="110"/>
      <c r="J408" s="7">
        <v>382</v>
      </c>
      <c r="K408" s="98">
        <f t="shared" si="18"/>
        <v>284.2</v>
      </c>
      <c r="L408" s="98">
        <f t="shared" si="19"/>
        <v>46.79</v>
      </c>
      <c r="M408" s="98">
        <f t="shared" si="16"/>
        <v>237.41</v>
      </c>
      <c r="N408" s="98">
        <f t="shared" si="17"/>
        <v>9880.3400000000074</v>
      </c>
    </row>
    <row r="409" spans="1:14" ht="14.25" customHeight="1" x14ac:dyDescent="0.35">
      <c r="A409" s="12"/>
      <c r="B409" s="110"/>
      <c r="C409" s="110"/>
      <c r="D409" s="110"/>
      <c r="E409" s="110"/>
      <c r="J409" s="7">
        <v>383</v>
      </c>
      <c r="K409" s="98">
        <f t="shared" si="18"/>
        <v>284.2</v>
      </c>
      <c r="L409" s="98">
        <f t="shared" si="19"/>
        <v>45.7</v>
      </c>
      <c r="M409" s="98">
        <f t="shared" si="16"/>
        <v>238.5</v>
      </c>
      <c r="N409" s="98">
        <f t="shared" si="17"/>
        <v>9641.8400000000074</v>
      </c>
    </row>
    <row r="410" spans="1:14" ht="14.25" customHeight="1" x14ac:dyDescent="0.35">
      <c r="A410" s="12"/>
      <c r="B410" s="110"/>
      <c r="C410" s="110"/>
      <c r="D410" s="110"/>
      <c r="E410" s="110"/>
      <c r="J410" s="7">
        <v>384</v>
      </c>
      <c r="K410" s="98">
        <f t="shared" si="18"/>
        <v>284.2</v>
      </c>
      <c r="L410" s="98">
        <f t="shared" si="19"/>
        <v>44.59</v>
      </c>
      <c r="M410" s="98">
        <f t="shared" si="16"/>
        <v>239.60999999999999</v>
      </c>
      <c r="N410" s="98">
        <f t="shared" si="17"/>
        <v>9402.2300000000068</v>
      </c>
    </row>
    <row r="411" spans="1:14" ht="14.25" customHeight="1" x14ac:dyDescent="0.35">
      <c r="A411" s="12"/>
      <c r="B411" s="110"/>
      <c r="C411" s="110"/>
      <c r="D411" s="110"/>
      <c r="E411" s="110"/>
      <c r="J411" s="7">
        <v>385</v>
      </c>
      <c r="K411" s="98">
        <f t="shared" si="18"/>
        <v>284.2</v>
      </c>
      <c r="L411" s="98">
        <f t="shared" si="19"/>
        <v>43.49</v>
      </c>
      <c r="M411" s="98">
        <f t="shared" si="16"/>
        <v>240.70999999999998</v>
      </c>
      <c r="N411" s="98">
        <f t="shared" si="17"/>
        <v>9161.5200000000077</v>
      </c>
    </row>
    <row r="412" spans="1:14" ht="14.25" customHeight="1" x14ac:dyDescent="0.35">
      <c r="A412" s="12"/>
      <c r="B412" s="110"/>
      <c r="C412" s="110"/>
      <c r="D412" s="110"/>
      <c r="E412" s="110"/>
      <c r="J412" s="7">
        <v>386</v>
      </c>
      <c r="K412" s="98">
        <f t="shared" si="18"/>
        <v>284.2</v>
      </c>
      <c r="L412" s="98">
        <f t="shared" si="19"/>
        <v>42.37</v>
      </c>
      <c r="M412" s="98">
        <f t="shared" si="16"/>
        <v>241.82999999999998</v>
      </c>
      <c r="N412" s="98">
        <f t="shared" si="17"/>
        <v>8919.6900000000078</v>
      </c>
    </row>
    <row r="413" spans="1:14" ht="14.25" customHeight="1" x14ac:dyDescent="0.35">
      <c r="A413" s="12"/>
      <c r="B413" s="110"/>
      <c r="C413" s="110"/>
      <c r="D413" s="110"/>
      <c r="E413" s="110"/>
      <c r="J413" s="7">
        <v>387</v>
      </c>
      <c r="K413" s="98">
        <f t="shared" si="18"/>
        <v>284.2</v>
      </c>
      <c r="L413" s="98">
        <f t="shared" si="19"/>
        <v>41.25</v>
      </c>
      <c r="M413" s="98">
        <f t="shared" si="16"/>
        <v>242.95</v>
      </c>
      <c r="N413" s="98">
        <f t="shared" si="17"/>
        <v>8676.7400000000071</v>
      </c>
    </row>
    <row r="414" spans="1:14" ht="14.25" customHeight="1" x14ac:dyDescent="0.35">
      <c r="A414" s="12"/>
      <c r="B414" s="110"/>
      <c r="C414" s="110"/>
      <c r="D414" s="110"/>
      <c r="E414" s="110"/>
      <c r="J414" s="7">
        <v>388</v>
      </c>
      <c r="K414" s="98">
        <f t="shared" si="18"/>
        <v>284.2</v>
      </c>
      <c r="L414" s="98">
        <f t="shared" si="19"/>
        <v>40.130000000000003</v>
      </c>
      <c r="M414" s="98">
        <f t="shared" si="16"/>
        <v>244.07</v>
      </c>
      <c r="N414" s="98">
        <f t="shared" si="17"/>
        <v>8432.6700000000073</v>
      </c>
    </row>
    <row r="415" spans="1:14" ht="14.25" customHeight="1" x14ac:dyDescent="0.35">
      <c r="A415" s="12"/>
      <c r="B415" s="110"/>
      <c r="C415" s="110"/>
      <c r="D415" s="110"/>
      <c r="E415" s="110"/>
      <c r="J415" s="7">
        <v>389</v>
      </c>
      <c r="K415" s="98">
        <f t="shared" si="18"/>
        <v>284.2</v>
      </c>
      <c r="L415" s="98">
        <f t="shared" si="19"/>
        <v>39</v>
      </c>
      <c r="M415" s="98">
        <f t="shared" si="16"/>
        <v>245.2</v>
      </c>
      <c r="N415" s="98">
        <f t="shared" si="17"/>
        <v>8187.4700000000075</v>
      </c>
    </row>
    <row r="416" spans="1:14" ht="14.25" customHeight="1" x14ac:dyDescent="0.35">
      <c r="A416" s="12"/>
      <c r="B416" s="110"/>
      <c r="C416" s="110"/>
      <c r="D416" s="110"/>
      <c r="E416" s="110"/>
      <c r="J416" s="7">
        <v>390</v>
      </c>
      <c r="K416" s="98">
        <f t="shared" si="18"/>
        <v>284.2</v>
      </c>
      <c r="L416" s="98">
        <f t="shared" si="19"/>
        <v>37.869999999999997</v>
      </c>
      <c r="M416" s="98">
        <f t="shared" si="16"/>
        <v>246.32999999999998</v>
      </c>
      <c r="N416" s="98">
        <f t="shared" si="17"/>
        <v>7941.1400000000076</v>
      </c>
    </row>
    <row r="417" spans="1:14" ht="14.25" customHeight="1" x14ac:dyDescent="0.35">
      <c r="A417" s="12"/>
      <c r="B417" s="110"/>
      <c r="C417" s="110"/>
      <c r="D417" s="110"/>
      <c r="E417" s="110"/>
      <c r="J417" s="7">
        <v>391</v>
      </c>
      <c r="K417" s="98">
        <f t="shared" si="18"/>
        <v>284.2</v>
      </c>
      <c r="L417" s="98">
        <f t="shared" si="19"/>
        <v>36.729999999999997</v>
      </c>
      <c r="M417" s="98">
        <f t="shared" si="16"/>
        <v>247.47</v>
      </c>
      <c r="N417" s="98">
        <f t="shared" si="17"/>
        <v>7693.6700000000073</v>
      </c>
    </row>
    <row r="418" spans="1:14" ht="14.25" customHeight="1" x14ac:dyDescent="0.35">
      <c r="A418" s="12"/>
      <c r="B418" s="110"/>
      <c r="C418" s="110"/>
      <c r="D418" s="110"/>
      <c r="E418" s="110"/>
      <c r="J418" s="7">
        <v>392</v>
      </c>
      <c r="K418" s="98">
        <f t="shared" si="18"/>
        <v>284.2</v>
      </c>
      <c r="L418" s="98">
        <f t="shared" si="19"/>
        <v>35.58</v>
      </c>
      <c r="M418" s="98">
        <f t="shared" si="16"/>
        <v>248.62</v>
      </c>
      <c r="N418" s="98">
        <f t="shared" si="17"/>
        <v>7445.0500000000075</v>
      </c>
    </row>
    <row r="419" spans="1:14" ht="14.25" customHeight="1" x14ac:dyDescent="0.35">
      <c r="A419" s="12"/>
      <c r="B419" s="110"/>
      <c r="C419" s="110"/>
      <c r="D419" s="110"/>
      <c r="E419" s="110"/>
      <c r="J419" s="7">
        <v>393</v>
      </c>
      <c r="K419" s="98">
        <f t="shared" si="18"/>
        <v>284.2</v>
      </c>
      <c r="L419" s="98">
        <f t="shared" si="19"/>
        <v>34.43</v>
      </c>
      <c r="M419" s="98">
        <f t="shared" si="16"/>
        <v>249.76999999999998</v>
      </c>
      <c r="N419" s="98">
        <f t="shared" si="17"/>
        <v>7195.2800000000079</v>
      </c>
    </row>
    <row r="420" spans="1:14" ht="14.25" customHeight="1" x14ac:dyDescent="0.35">
      <c r="A420" s="12"/>
      <c r="B420" s="110"/>
      <c r="C420" s="110"/>
      <c r="D420" s="110"/>
      <c r="E420" s="110"/>
      <c r="J420" s="7">
        <v>394</v>
      </c>
      <c r="K420" s="98">
        <f t="shared" si="18"/>
        <v>284.2</v>
      </c>
      <c r="L420" s="98">
        <f t="shared" si="19"/>
        <v>33.28</v>
      </c>
      <c r="M420" s="98">
        <f t="shared" si="16"/>
        <v>250.92</v>
      </c>
      <c r="N420" s="98">
        <f t="shared" si="17"/>
        <v>6944.3600000000079</v>
      </c>
    </row>
    <row r="421" spans="1:14" ht="14.25" customHeight="1" x14ac:dyDescent="0.35">
      <c r="A421" s="12"/>
      <c r="B421" s="110"/>
      <c r="C421" s="110"/>
      <c r="D421" s="110"/>
      <c r="E421" s="110"/>
      <c r="J421" s="7">
        <v>395</v>
      </c>
      <c r="K421" s="98">
        <f t="shared" si="18"/>
        <v>284.2</v>
      </c>
      <c r="L421" s="98">
        <f t="shared" si="19"/>
        <v>32.119999999999997</v>
      </c>
      <c r="M421" s="98">
        <f t="shared" si="16"/>
        <v>252.07999999999998</v>
      </c>
      <c r="N421" s="98">
        <f t="shared" si="17"/>
        <v>6692.2800000000079</v>
      </c>
    </row>
    <row r="422" spans="1:14" ht="14.25" customHeight="1" x14ac:dyDescent="0.35">
      <c r="A422" s="12"/>
      <c r="B422" s="110"/>
      <c r="C422" s="110"/>
      <c r="D422" s="110"/>
      <c r="E422" s="110"/>
      <c r="J422" s="7">
        <v>396</v>
      </c>
      <c r="K422" s="98">
        <f t="shared" si="18"/>
        <v>284.2</v>
      </c>
      <c r="L422" s="98">
        <f t="shared" si="19"/>
        <v>30.95</v>
      </c>
      <c r="M422" s="98">
        <f t="shared" si="16"/>
        <v>253.25</v>
      </c>
      <c r="N422" s="98">
        <f t="shared" si="17"/>
        <v>6439.0300000000079</v>
      </c>
    </row>
    <row r="423" spans="1:14" ht="14.25" customHeight="1" x14ac:dyDescent="0.35">
      <c r="A423" s="12"/>
      <c r="B423" s="110"/>
      <c r="C423" s="110"/>
      <c r="D423" s="110"/>
      <c r="E423" s="110"/>
      <c r="J423" s="7">
        <v>397</v>
      </c>
      <c r="K423" s="98">
        <f t="shared" si="18"/>
        <v>284.2</v>
      </c>
      <c r="L423" s="98">
        <f t="shared" si="19"/>
        <v>29.78</v>
      </c>
      <c r="M423" s="98">
        <f t="shared" si="16"/>
        <v>254.42</v>
      </c>
      <c r="N423" s="98">
        <f t="shared" si="17"/>
        <v>6184.6100000000079</v>
      </c>
    </row>
    <row r="424" spans="1:14" ht="14.25" customHeight="1" x14ac:dyDescent="0.35">
      <c r="A424" s="12"/>
      <c r="B424" s="110"/>
      <c r="C424" s="110"/>
      <c r="D424" s="110"/>
      <c r="E424" s="110"/>
      <c r="J424" s="7">
        <v>398</v>
      </c>
      <c r="K424" s="98">
        <f t="shared" si="18"/>
        <v>284.2</v>
      </c>
      <c r="L424" s="98">
        <f t="shared" si="19"/>
        <v>28.6</v>
      </c>
      <c r="M424" s="98">
        <f t="shared" si="16"/>
        <v>255.6</v>
      </c>
      <c r="N424" s="98">
        <f t="shared" si="17"/>
        <v>5929.0100000000075</v>
      </c>
    </row>
    <row r="425" spans="1:14" ht="14.25" customHeight="1" x14ac:dyDescent="0.35">
      <c r="A425" s="12"/>
      <c r="B425" s="110"/>
      <c r="C425" s="110"/>
      <c r="D425" s="110"/>
      <c r="E425" s="110"/>
      <c r="J425" s="7">
        <v>399</v>
      </c>
      <c r="K425" s="98">
        <f t="shared" si="18"/>
        <v>284.2</v>
      </c>
      <c r="L425" s="98">
        <f t="shared" si="19"/>
        <v>27.42</v>
      </c>
      <c r="M425" s="98">
        <f t="shared" si="16"/>
        <v>256.77999999999997</v>
      </c>
      <c r="N425" s="98">
        <f t="shared" si="17"/>
        <v>5672.2300000000077</v>
      </c>
    </row>
    <row r="426" spans="1:14" ht="14.25" customHeight="1" x14ac:dyDescent="0.35">
      <c r="A426" s="12"/>
      <c r="B426" s="110"/>
      <c r="C426" s="110"/>
      <c r="D426" s="110"/>
      <c r="E426" s="110"/>
      <c r="J426" s="7">
        <v>400</v>
      </c>
      <c r="K426" s="98">
        <f t="shared" si="18"/>
        <v>284.2</v>
      </c>
      <c r="L426" s="98">
        <f t="shared" si="19"/>
        <v>26.23</v>
      </c>
      <c r="M426" s="98">
        <f t="shared" si="16"/>
        <v>257.96999999999997</v>
      </c>
      <c r="N426" s="98">
        <f t="shared" si="17"/>
        <v>5414.2600000000075</v>
      </c>
    </row>
    <row r="427" spans="1:14" ht="14.25" customHeight="1" x14ac:dyDescent="0.35">
      <c r="A427" s="12"/>
      <c r="B427" s="110"/>
      <c r="C427" s="110"/>
      <c r="D427" s="110"/>
      <c r="E427" s="110"/>
      <c r="J427" s="7">
        <v>401</v>
      </c>
      <c r="K427" s="98">
        <f t="shared" si="18"/>
        <v>284.2</v>
      </c>
      <c r="L427" s="98">
        <f t="shared" si="19"/>
        <v>25.04</v>
      </c>
      <c r="M427" s="98">
        <f t="shared" si="16"/>
        <v>259.15999999999997</v>
      </c>
      <c r="N427" s="98">
        <f t="shared" si="17"/>
        <v>5155.1000000000076</v>
      </c>
    </row>
    <row r="428" spans="1:14" ht="14.25" customHeight="1" x14ac:dyDescent="0.35">
      <c r="A428" s="12"/>
      <c r="B428" s="110"/>
      <c r="C428" s="110"/>
      <c r="D428" s="110"/>
      <c r="E428" s="110"/>
      <c r="J428" s="7">
        <v>402</v>
      </c>
      <c r="K428" s="98">
        <f t="shared" si="18"/>
        <v>284.2</v>
      </c>
      <c r="L428" s="98">
        <f t="shared" si="19"/>
        <v>23.84</v>
      </c>
      <c r="M428" s="98">
        <f t="shared" si="16"/>
        <v>260.36</v>
      </c>
      <c r="N428" s="98">
        <f t="shared" si="17"/>
        <v>4894.740000000008</v>
      </c>
    </row>
    <row r="429" spans="1:14" ht="14.25" customHeight="1" x14ac:dyDescent="0.35">
      <c r="A429" s="12"/>
      <c r="B429" s="110"/>
      <c r="C429" s="110"/>
      <c r="D429" s="110"/>
      <c r="E429" s="110"/>
      <c r="J429" s="7">
        <v>403</v>
      </c>
      <c r="K429" s="98">
        <f t="shared" si="18"/>
        <v>284.2</v>
      </c>
      <c r="L429" s="98">
        <f t="shared" si="19"/>
        <v>22.64</v>
      </c>
      <c r="M429" s="98">
        <f t="shared" si="16"/>
        <v>261.56</v>
      </c>
      <c r="N429" s="98">
        <f t="shared" si="17"/>
        <v>4633.1800000000076</v>
      </c>
    </row>
    <row r="430" spans="1:14" ht="14.25" customHeight="1" x14ac:dyDescent="0.35">
      <c r="A430" s="12"/>
      <c r="B430" s="110"/>
      <c r="C430" s="110"/>
      <c r="D430" s="110"/>
      <c r="E430" s="110"/>
      <c r="J430" s="7">
        <v>404</v>
      </c>
      <c r="K430" s="98">
        <f t="shared" si="18"/>
        <v>284.2</v>
      </c>
      <c r="L430" s="98">
        <f t="shared" si="19"/>
        <v>21.43</v>
      </c>
      <c r="M430" s="98">
        <f t="shared" si="16"/>
        <v>262.77</v>
      </c>
      <c r="N430" s="98">
        <f t="shared" si="17"/>
        <v>4370.4100000000071</v>
      </c>
    </row>
    <row r="431" spans="1:14" ht="14.25" customHeight="1" x14ac:dyDescent="0.35">
      <c r="A431" s="12"/>
      <c r="B431" s="110"/>
      <c r="C431" s="110"/>
      <c r="D431" s="110"/>
      <c r="E431" s="110"/>
      <c r="J431" s="7">
        <v>405</v>
      </c>
      <c r="K431" s="98">
        <f t="shared" si="18"/>
        <v>284.2</v>
      </c>
      <c r="L431" s="98">
        <f t="shared" si="19"/>
        <v>20.21</v>
      </c>
      <c r="M431" s="98">
        <f t="shared" si="16"/>
        <v>263.99</v>
      </c>
      <c r="N431" s="98">
        <f t="shared" si="17"/>
        <v>4106.4200000000073</v>
      </c>
    </row>
    <row r="432" spans="1:14" ht="14.25" customHeight="1" x14ac:dyDescent="0.35">
      <c r="A432" s="12"/>
      <c r="B432" s="110"/>
      <c r="C432" s="110"/>
      <c r="D432" s="110"/>
      <c r="E432" s="110"/>
      <c r="J432" s="7">
        <v>406</v>
      </c>
      <c r="K432" s="98">
        <f t="shared" si="18"/>
        <v>284.2</v>
      </c>
      <c r="L432" s="98">
        <f t="shared" si="19"/>
        <v>18.989999999999998</v>
      </c>
      <c r="M432" s="98">
        <f t="shared" si="16"/>
        <v>265.20999999999998</v>
      </c>
      <c r="N432" s="98">
        <f t="shared" si="17"/>
        <v>3841.2100000000073</v>
      </c>
    </row>
    <row r="433" spans="1:15" ht="14.25" customHeight="1" x14ac:dyDescent="0.35">
      <c r="A433" s="12"/>
      <c r="B433" s="110"/>
      <c r="C433" s="110"/>
      <c r="D433" s="110"/>
      <c r="E433" s="110"/>
      <c r="J433" s="7">
        <v>407</v>
      </c>
      <c r="K433" s="98">
        <f t="shared" si="18"/>
        <v>284.2</v>
      </c>
      <c r="L433" s="98">
        <f t="shared" si="19"/>
        <v>17.77</v>
      </c>
      <c r="M433" s="98">
        <f t="shared" si="16"/>
        <v>266.43</v>
      </c>
      <c r="N433" s="98">
        <f t="shared" si="17"/>
        <v>3574.7800000000075</v>
      </c>
    </row>
    <row r="434" spans="1:15" ht="14.25" customHeight="1" x14ac:dyDescent="0.35">
      <c r="A434" s="12"/>
      <c r="B434" s="110"/>
      <c r="C434" s="110"/>
      <c r="D434" s="110"/>
      <c r="E434" s="110"/>
      <c r="J434" s="7">
        <v>408</v>
      </c>
      <c r="K434" s="98">
        <f t="shared" si="18"/>
        <v>284.2</v>
      </c>
      <c r="L434" s="98">
        <f t="shared" si="19"/>
        <v>16.53</v>
      </c>
      <c r="M434" s="98">
        <f t="shared" si="16"/>
        <v>267.66999999999996</v>
      </c>
      <c r="N434" s="98">
        <f t="shared" si="17"/>
        <v>3307.1100000000074</v>
      </c>
    </row>
    <row r="435" spans="1:15" ht="14.25" customHeight="1" x14ac:dyDescent="0.35">
      <c r="A435" s="12"/>
      <c r="B435" s="110"/>
      <c r="C435" s="110"/>
      <c r="D435" s="110"/>
      <c r="E435" s="110"/>
      <c r="J435" s="7">
        <v>409</v>
      </c>
      <c r="K435" s="98">
        <f t="shared" si="18"/>
        <v>284.2</v>
      </c>
      <c r="L435" s="98">
        <f t="shared" si="19"/>
        <v>15.3</v>
      </c>
      <c r="M435" s="98">
        <f t="shared" si="16"/>
        <v>268.89999999999998</v>
      </c>
      <c r="N435" s="98">
        <f t="shared" si="17"/>
        <v>3038.2100000000073</v>
      </c>
    </row>
    <row r="436" spans="1:15" ht="14.25" customHeight="1" x14ac:dyDescent="0.35">
      <c r="A436" s="12"/>
      <c r="B436" s="110"/>
      <c r="C436" s="110"/>
      <c r="D436" s="110"/>
      <c r="E436" s="110"/>
      <c r="J436" s="7">
        <v>410</v>
      </c>
      <c r="K436" s="98">
        <f t="shared" si="18"/>
        <v>284.2</v>
      </c>
      <c r="L436" s="98">
        <f t="shared" si="19"/>
        <v>14.05</v>
      </c>
      <c r="M436" s="98">
        <f t="shared" si="16"/>
        <v>270.14999999999998</v>
      </c>
      <c r="N436" s="98">
        <f t="shared" si="17"/>
        <v>2768.0600000000072</v>
      </c>
    </row>
    <row r="437" spans="1:15" ht="14.25" customHeight="1" x14ac:dyDescent="0.35">
      <c r="A437" s="12"/>
      <c r="B437" s="110"/>
      <c r="C437" s="110"/>
      <c r="D437" s="110"/>
      <c r="E437" s="110"/>
      <c r="J437" s="7">
        <v>411</v>
      </c>
      <c r="K437" s="98">
        <f t="shared" si="18"/>
        <v>284.2</v>
      </c>
      <c r="L437" s="98">
        <f t="shared" si="19"/>
        <v>12.8</v>
      </c>
      <c r="M437" s="98">
        <f t="shared" si="16"/>
        <v>271.39999999999998</v>
      </c>
      <c r="N437" s="98">
        <f t="shared" si="17"/>
        <v>2496.6600000000071</v>
      </c>
    </row>
    <row r="438" spans="1:15" ht="14.25" customHeight="1" x14ac:dyDescent="0.35">
      <c r="A438" s="12"/>
      <c r="B438" s="110"/>
      <c r="C438" s="110"/>
      <c r="D438" s="110"/>
      <c r="E438" s="110"/>
      <c r="J438" s="7">
        <v>412</v>
      </c>
      <c r="K438" s="98">
        <f t="shared" si="18"/>
        <v>284.2</v>
      </c>
      <c r="L438" s="98">
        <f t="shared" si="19"/>
        <v>11.55</v>
      </c>
      <c r="M438" s="98">
        <f t="shared" si="16"/>
        <v>272.64999999999998</v>
      </c>
      <c r="N438" s="98">
        <f t="shared" si="17"/>
        <v>2224.010000000007</v>
      </c>
    </row>
    <row r="439" spans="1:15" ht="14.25" customHeight="1" x14ac:dyDescent="0.35">
      <c r="A439" s="12"/>
      <c r="B439" s="110"/>
      <c r="C439" s="110"/>
      <c r="D439" s="110"/>
      <c r="E439" s="110"/>
      <c r="J439" s="7">
        <v>413</v>
      </c>
      <c r="K439" s="98">
        <f t="shared" si="18"/>
        <v>284.2</v>
      </c>
      <c r="L439" s="98">
        <f t="shared" si="19"/>
        <v>10.29</v>
      </c>
      <c r="M439" s="98">
        <f t="shared" si="16"/>
        <v>273.90999999999997</v>
      </c>
      <c r="N439" s="98">
        <f t="shared" si="17"/>
        <v>1950.1000000000072</v>
      </c>
    </row>
    <row r="440" spans="1:15" ht="14.25" customHeight="1" x14ac:dyDescent="0.35">
      <c r="A440" s="12"/>
      <c r="B440" s="110"/>
      <c r="C440" s="110"/>
      <c r="D440" s="110"/>
      <c r="E440" s="110"/>
      <c r="J440" s="7">
        <v>414</v>
      </c>
      <c r="K440" s="98">
        <f t="shared" si="18"/>
        <v>284.2</v>
      </c>
      <c r="L440" s="98">
        <f t="shared" si="19"/>
        <v>9.02</v>
      </c>
      <c r="M440" s="98">
        <f t="shared" si="16"/>
        <v>275.18</v>
      </c>
      <c r="N440" s="98">
        <f t="shared" si="17"/>
        <v>1674.9200000000071</v>
      </c>
    </row>
    <row r="441" spans="1:15" ht="14.25" customHeight="1" x14ac:dyDescent="0.35">
      <c r="A441" s="12"/>
      <c r="B441" s="110"/>
      <c r="C441" s="110"/>
      <c r="D441" s="110"/>
      <c r="E441" s="110"/>
      <c r="J441" s="7">
        <v>415</v>
      </c>
      <c r="K441" s="98">
        <f t="shared" si="18"/>
        <v>284.2</v>
      </c>
      <c r="L441" s="98">
        <f t="shared" si="19"/>
        <v>7.75</v>
      </c>
      <c r="M441" s="98">
        <f t="shared" si="16"/>
        <v>276.45</v>
      </c>
      <c r="N441" s="98">
        <f t="shared" si="17"/>
        <v>1398.4700000000071</v>
      </c>
    </row>
    <row r="442" spans="1:15" ht="14.25" customHeight="1" x14ac:dyDescent="0.35">
      <c r="A442" s="12"/>
      <c r="B442" s="110"/>
      <c r="C442" s="110"/>
      <c r="D442" s="110"/>
      <c r="E442" s="110"/>
      <c r="J442" s="7">
        <v>416</v>
      </c>
      <c r="K442" s="98">
        <f t="shared" si="18"/>
        <v>284.2</v>
      </c>
      <c r="L442" s="98">
        <f t="shared" si="19"/>
        <v>6.47</v>
      </c>
      <c r="M442" s="98">
        <f t="shared" si="16"/>
        <v>277.72999999999996</v>
      </c>
      <c r="N442" s="98">
        <f t="shared" si="17"/>
        <v>1120.7400000000071</v>
      </c>
    </row>
    <row r="443" spans="1:15" ht="14.25" customHeight="1" x14ac:dyDescent="0.35">
      <c r="A443" s="12"/>
      <c r="B443" s="110"/>
      <c r="C443" s="110"/>
      <c r="D443" s="110"/>
      <c r="E443" s="110"/>
      <c r="J443" s="7">
        <v>417</v>
      </c>
      <c r="K443" s="98">
        <f t="shared" si="18"/>
        <v>284.2</v>
      </c>
      <c r="L443" s="98">
        <f t="shared" si="19"/>
        <v>5.18</v>
      </c>
      <c r="M443" s="98">
        <f t="shared" si="16"/>
        <v>279.02</v>
      </c>
      <c r="N443" s="98">
        <f t="shared" si="17"/>
        <v>841.72000000000708</v>
      </c>
    </row>
    <row r="444" spans="1:15" ht="14.25" customHeight="1" x14ac:dyDescent="0.35">
      <c r="A444" s="12"/>
      <c r="B444" s="110"/>
      <c r="C444" s="110"/>
      <c r="D444" s="110"/>
      <c r="E444" s="110"/>
      <c r="J444" s="7">
        <v>418</v>
      </c>
      <c r="K444" s="98">
        <f t="shared" si="18"/>
        <v>284.2</v>
      </c>
      <c r="L444" s="98">
        <f t="shared" si="19"/>
        <v>3.89</v>
      </c>
      <c r="M444" s="98">
        <f t="shared" si="16"/>
        <v>280.31</v>
      </c>
      <c r="N444" s="98">
        <f t="shared" si="17"/>
        <v>561.41000000000713</v>
      </c>
    </row>
    <row r="445" spans="1:15" ht="14.25" customHeight="1" x14ac:dyDescent="0.35">
      <c r="A445" s="12"/>
      <c r="B445" s="110"/>
      <c r="C445" s="110"/>
      <c r="D445" s="110"/>
      <c r="E445" s="110"/>
      <c r="J445" s="7">
        <v>419</v>
      </c>
      <c r="K445" s="98">
        <f t="shared" si="18"/>
        <v>284.2</v>
      </c>
      <c r="L445" s="98">
        <f t="shared" si="19"/>
        <v>2.6</v>
      </c>
      <c r="M445" s="98">
        <f t="shared" si="16"/>
        <v>281.59999999999997</v>
      </c>
      <c r="N445" s="98">
        <f t="shared" si="17"/>
        <v>279.81000000000716</v>
      </c>
    </row>
    <row r="446" spans="1:15" ht="14.25" customHeight="1" x14ac:dyDescent="0.35">
      <c r="A446" s="12"/>
      <c r="B446" s="110"/>
      <c r="C446" s="110"/>
      <c r="D446" s="110"/>
      <c r="E446" s="110"/>
      <c r="J446" s="7">
        <v>420</v>
      </c>
      <c r="K446" s="98">
        <f>L446+M446</f>
        <v>281.10000000000719</v>
      </c>
      <c r="L446" s="98">
        <f t="shared" si="19"/>
        <v>1.29</v>
      </c>
      <c r="M446" s="98">
        <f>N445</f>
        <v>279.81000000000716</v>
      </c>
      <c r="N446" s="98">
        <f t="shared" si="17"/>
        <v>0</v>
      </c>
      <c r="O446" s="49" t="s">
        <v>175</v>
      </c>
    </row>
    <row r="447" spans="1:15" ht="14.25" customHeight="1" x14ac:dyDescent="0.35">
      <c r="B447" s="110"/>
      <c r="C447" s="110"/>
      <c r="D447" s="110"/>
      <c r="K447" s="98">
        <f t="shared" ref="K447:M447" si="21">SUM(K25:K446)</f>
        <v>120334.45999999916</v>
      </c>
      <c r="L447" s="98">
        <f t="shared" si="21"/>
        <v>65334.459999999977</v>
      </c>
      <c r="M447" s="98">
        <f t="shared" si="21"/>
        <v>55000.000000000022</v>
      </c>
    </row>
    <row r="448" spans="1:15" ht="14.25" customHeight="1" x14ac:dyDescent="0.35">
      <c r="K448" s="89"/>
    </row>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A1:I7"/>
    <mergeCell ref="A16:B16"/>
    <mergeCell ref="P67:Q67"/>
    <mergeCell ref="P115:Q115"/>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1000"/>
  <sheetViews>
    <sheetView topLeftCell="A50" workbookViewId="0">
      <selection activeCell="G97" sqref="G97"/>
    </sheetView>
  </sheetViews>
  <sheetFormatPr defaultColWidth="14.453125" defaultRowHeight="15" customHeight="1" x14ac:dyDescent="0.35"/>
  <cols>
    <col min="1" max="1" width="16.453125" customWidth="1"/>
    <col min="2" max="2" width="15.36328125" customWidth="1"/>
    <col min="3" max="3" width="12.6328125" customWidth="1"/>
    <col min="4" max="4" width="13.36328125" customWidth="1"/>
    <col min="5" max="5" width="14.6328125" customWidth="1"/>
    <col min="6" max="6" width="15.36328125" customWidth="1"/>
    <col min="7" max="7" width="17.453125" customWidth="1"/>
    <col min="8" max="8" width="11.6328125" customWidth="1"/>
    <col min="9" max="9" width="8.6328125" customWidth="1"/>
    <col min="10" max="10" width="14.453125" customWidth="1"/>
    <col min="11" max="11" width="13.6328125" customWidth="1"/>
    <col min="12" max="12" width="13.36328125" customWidth="1"/>
    <col min="13" max="13" width="14.36328125" customWidth="1"/>
    <col min="14" max="14" width="15.36328125" customWidth="1"/>
    <col min="15" max="15" width="17.453125" customWidth="1"/>
    <col min="16" max="26" width="8.6328125" customWidth="1"/>
  </cols>
  <sheetData>
    <row r="1" spans="1:13" ht="14.25" customHeight="1" x14ac:dyDescent="0.35">
      <c r="A1" s="213" t="s">
        <v>247</v>
      </c>
      <c r="B1" s="199"/>
      <c r="C1" s="199"/>
      <c r="D1" s="199"/>
      <c r="E1" s="199"/>
      <c r="F1" s="199"/>
      <c r="G1" s="199"/>
      <c r="H1" s="199"/>
      <c r="I1" s="199"/>
      <c r="J1" s="199"/>
      <c r="K1" s="199"/>
      <c r="L1" s="54"/>
      <c r="M1" s="54"/>
    </row>
    <row r="2" spans="1:13" ht="14.25" customHeight="1" x14ac:dyDescent="0.35">
      <c r="A2" s="199"/>
      <c r="B2" s="199"/>
      <c r="C2" s="199"/>
      <c r="D2" s="199"/>
      <c r="E2" s="199"/>
      <c r="F2" s="199"/>
      <c r="G2" s="199"/>
      <c r="H2" s="199"/>
      <c r="I2" s="199"/>
      <c r="J2" s="199"/>
      <c r="K2" s="199"/>
      <c r="L2" s="54"/>
      <c r="M2" s="54"/>
    </row>
    <row r="3" spans="1:13" ht="14.25" customHeight="1" x14ac:dyDescent="0.35">
      <c r="A3" s="199"/>
      <c r="B3" s="199"/>
      <c r="C3" s="199"/>
      <c r="D3" s="199"/>
      <c r="E3" s="199"/>
      <c r="F3" s="199"/>
      <c r="G3" s="199"/>
      <c r="H3" s="199"/>
      <c r="I3" s="199"/>
      <c r="J3" s="199"/>
      <c r="K3" s="199"/>
      <c r="L3" s="54"/>
      <c r="M3" s="54"/>
    </row>
    <row r="4" spans="1:13" ht="14.25" customHeight="1" x14ac:dyDescent="0.35">
      <c r="A4" s="199"/>
      <c r="B4" s="199"/>
      <c r="C4" s="199"/>
      <c r="D4" s="199"/>
      <c r="E4" s="199"/>
      <c r="F4" s="199"/>
      <c r="G4" s="199"/>
      <c r="H4" s="199"/>
      <c r="I4" s="199"/>
      <c r="J4" s="199"/>
      <c r="K4" s="199"/>
      <c r="L4" s="54"/>
      <c r="M4" s="54"/>
    </row>
    <row r="5" spans="1:13" ht="14.25" customHeight="1" x14ac:dyDescent="0.35">
      <c r="A5" s="199"/>
      <c r="B5" s="199"/>
      <c r="C5" s="199"/>
      <c r="D5" s="199"/>
      <c r="E5" s="199"/>
      <c r="F5" s="199"/>
      <c r="G5" s="199"/>
      <c r="H5" s="199"/>
      <c r="I5" s="199"/>
      <c r="J5" s="199"/>
      <c r="K5" s="199"/>
      <c r="L5" s="54"/>
      <c r="M5" s="54"/>
    </row>
    <row r="6" spans="1:13" ht="23.5" customHeight="1" x14ac:dyDescent="0.35">
      <c r="A6" s="199"/>
      <c r="B6" s="199"/>
      <c r="C6" s="199"/>
      <c r="D6" s="199"/>
      <c r="E6" s="199"/>
      <c r="F6" s="199"/>
      <c r="G6" s="199"/>
      <c r="H6" s="199"/>
      <c r="I6" s="199"/>
      <c r="J6" s="199"/>
      <c r="K6" s="199"/>
      <c r="L6" s="54"/>
      <c r="M6" s="54"/>
    </row>
    <row r="7" spans="1:13" ht="16" customHeight="1" x14ac:dyDescent="0.35">
      <c r="A7" s="124" t="s">
        <v>169</v>
      </c>
      <c r="B7" s="54"/>
      <c r="C7" s="54"/>
      <c r="D7" s="54"/>
      <c r="E7" s="54"/>
      <c r="F7" s="54"/>
      <c r="G7" s="54"/>
      <c r="H7" s="54"/>
      <c r="I7" s="54"/>
      <c r="J7" s="54"/>
      <c r="K7" s="54"/>
      <c r="L7" s="54"/>
      <c r="M7" s="54"/>
    </row>
    <row r="8" spans="1:13" ht="14.25" customHeight="1" x14ac:dyDescent="0.35"/>
    <row r="9" spans="1:13" ht="14.25" customHeight="1" x14ac:dyDescent="0.35"/>
    <row r="10" spans="1:13" ht="14.25" customHeight="1" x14ac:dyDescent="0.35">
      <c r="A10" s="46" t="s">
        <v>143</v>
      </c>
      <c r="B10" s="89">
        <v>75000</v>
      </c>
    </row>
    <row r="11" spans="1:13" ht="14.25" customHeight="1" x14ac:dyDescent="0.35">
      <c r="A11" s="46" t="s">
        <v>185</v>
      </c>
      <c r="B11" s="3">
        <v>32</v>
      </c>
    </row>
    <row r="12" spans="1:13" ht="14.25" customHeight="1" x14ac:dyDescent="0.35">
      <c r="A12" s="68" t="s">
        <v>144</v>
      </c>
      <c r="B12" s="111">
        <v>3.5000000000000003E-2</v>
      </c>
    </row>
    <row r="13" spans="1:13" ht="14.25" customHeight="1" x14ac:dyDescent="0.35">
      <c r="A13" s="46" t="s">
        <v>145</v>
      </c>
      <c r="B13" s="111">
        <f>1+B12</f>
        <v>1.0349999999999999</v>
      </c>
    </row>
    <row r="14" spans="1:13" ht="14.25" customHeight="1" x14ac:dyDescent="0.35">
      <c r="A14" s="46" t="s">
        <v>186</v>
      </c>
      <c r="B14" s="55">
        <v>12</v>
      </c>
    </row>
    <row r="15" spans="1:13" ht="14.25" customHeight="1" x14ac:dyDescent="0.35">
      <c r="A15" s="12" t="s">
        <v>187</v>
      </c>
      <c r="B15" s="12"/>
      <c r="C15" s="12"/>
      <c r="D15" s="12"/>
    </row>
    <row r="16" spans="1:13" ht="14.25" customHeight="1" x14ac:dyDescent="0.35">
      <c r="A16" s="46" t="s">
        <v>188</v>
      </c>
      <c r="B16" s="95">
        <f>B12/B14</f>
        <v>2.9166666666666668E-3</v>
      </c>
      <c r="C16" s="46"/>
    </row>
    <row r="17" spans="1:7" ht="14.25" customHeight="1" x14ac:dyDescent="0.35">
      <c r="A17" s="46" t="s">
        <v>189</v>
      </c>
      <c r="B17" s="95">
        <f>1+B16</f>
        <v>1.0029166666666667</v>
      </c>
      <c r="C17" s="46"/>
      <c r="D17" s="55"/>
    </row>
    <row r="18" spans="1:7" ht="14.25" customHeight="1" x14ac:dyDescent="0.35">
      <c r="A18" s="46" t="s">
        <v>190</v>
      </c>
      <c r="B18" s="3">
        <f>B11*B14</f>
        <v>384</v>
      </c>
      <c r="C18" s="46"/>
    </row>
    <row r="19" spans="1:7" ht="14.25" customHeight="1" x14ac:dyDescent="0.35">
      <c r="A19" s="46"/>
      <c r="C19" s="46"/>
    </row>
    <row r="20" spans="1:7" ht="14.25" customHeight="1" x14ac:dyDescent="0.35"/>
    <row r="21" spans="1:7" ht="14.25" customHeight="1" x14ac:dyDescent="0.35">
      <c r="A21" s="46" t="s">
        <v>191</v>
      </c>
      <c r="B21" s="112">
        <f>ROUND(PMT(B16,B18,B10),2)</f>
        <v>-324.95</v>
      </c>
      <c r="E21" s="68"/>
      <c r="F21" s="83"/>
      <c r="G21" s="83"/>
    </row>
    <row r="22" spans="1:7" ht="14.25" customHeight="1" x14ac:dyDescent="0.35">
      <c r="E22" s="68"/>
      <c r="F22" s="83"/>
      <c r="G22" s="83"/>
    </row>
    <row r="23" spans="1:7" ht="14.25" customHeight="1" x14ac:dyDescent="0.35">
      <c r="F23" s="55"/>
    </row>
    <row r="24" spans="1:7" ht="14.25" customHeight="1" x14ac:dyDescent="0.35">
      <c r="A24" s="46" t="s">
        <v>193</v>
      </c>
      <c r="B24" s="89">
        <f>ROUND(B10/B18,2)</f>
        <v>195.31</v>
      </c>
      <c r="C24" s="46"/>
      <c r="E24" s="52"/>
      <c r="F24" s="52"/>
      <c r="G24" s="52"/>
    </row>
    <row r="25" spans="1:7" ht="14.25" customHeight="1" x14ac:dyDescent="0.35">
      <c r="A25" s="46"/>
      <c r="B25" s="83"/>
      <c r="C25" s="46"/>
      <c r="E25" s="52"/>
      <c r="F25" s="52"/>
      <c r="G25" s="52"/>
    </row>
    <row r="26" spans="1:7" ht="14.25" customHeight="1" x14ac:dyDescent="0.35">
      <c r="B26" s="54"/>
      <c r="C26" s="54"/>
      <c r="D26" s="54"/>
      <c r="E26" s="54"/>
      <c r="F26" s="54"/>
      <c r="G26" s="54"/>
    </row>
    <row r="27" spans="1:7" ht="15" customHeight="1" x14ac:dyDescent="0.35">
      <c r="A27" s="3" t="s">
        <v>194</v>
      </c>
      <c r="B27" s="113">
        <f>30%</f>
        <v>0.3</v>
      </c>
      <c r="C27" s="54"/>
      <c r="D27" s="54"/>
      <c r="E27" s="54"/>
      <c r="F27" s="54"/>
      <c r="G27" s="54"/>
    </row>
    <row r="28" spans="1:7" ht="14.25" customHeight="1" x14ac:dyDescent="0.35">
      <c r="A28" s="54"/>
      <c r="B28" s="54"/>
      <c r="C28" s="54"/>
      <c r="D28" s="54"/>
      <c r="E28" s="54"/>
      <c r="F28" s="54"/>
      <c r="G28" s="54"/>
    </row>
    <row r="29" spans="1:7" ht="14.25" customHeight="1" x14ac:dyDescent="0.35">
      <c r="A29" s="54"/>
      <c r="B29" s="54"/>
      <c r="C29" s="54"/>
      <c r="D29" s="54"/>
      <c r="E29" s="54"/>
      <c r="F29" s="54"/>
      <c r="G29" s="54"/>
    </row>
    <row r="30" spans="1:7" ht="14.25" customHeight="1" x14ac:dyDescent="0.35">
      <c r="A30" s="3" t="s">
        <v>195</v>
      </c>
      <c r="B30" s="54"/>
      <c r="C30" s="114">
        <f>F421</f>
        <v>5849.3999999999915</v>
      </c>
      <c r="D30" s="54" t="s">
        <v>196</v>
      </c>
      <c r="E30" s="49" t="s">
        <v>175</v>
      </c>
      <c r="F30" s="54"/>
      <c r="G30" s="54"/>
    </row>
    <row r="31" spans="1:7" ht="14.25" customHeight="1" x14ac:dyDescent="0.35">
      <c r="A31" s="3" t="s">
        <v>197</v>
      </c>
      <c r="B31" s="54"/>
      <c r="C31" s="114">
        <f>N421</f>
        <v>7150.6399999999994</v>
      </c>
      <c r="D31" s="54" t="s">
        <v>196</v>
      </c>
      <c r="E31" s="49" t="s">
        <v>175</v>
      </c>
      <c r="F31" s="54"/>
      <c r="G31" s="54"/>
    </row>
    <row r="32" spans="1:7" ht="14.25" customHeight="1" x14ac:dyDescent="0.35">
      <c r="A32" s="54"/>
      <c r="B32" s="55"/>
    </row>
    <row r="33" spans="1:16" ht="14.25" customHeight="1" x14ac:dyDescent="0.35"/>
    <row r="34" spans="1:16" ht="14.25" customHeight="1" x14ac:dyDescent="0.35">
      <c r="A34" s="3" t="s">
        <v>198</v>
      </c>
      <c r="I34" s="3" t="s">
        <v>199</v>
      </c>
    </row>
    <row r="35" spans="1:16" ht="14.25" customHeight="1" x14ac:dyDescent="0.35">
      <c r="A35" s="7" t="s">
        <v>176</v>
      </c>
      <c r="B35" s="7" t="s">
        <v>174</v>
      </c>
      <c r="C35" s="7" t="s">
        <v>177</v>
      </c>
      <c r="D35" s="7" t="s">
        <v>178</v>
      </c>
      <c r="E35" s="7" t="s">
        <v>179</v>
      </c>
      <c r="F35" s="9" t="s">
        <v>200</v>
      </c>
      <c r="G35" s="9" t="s">
        <v>201</v>
      </c>
      <c r="I35" s="7" t="s">
        <v>176</v>
      </c>
      <c r="J35" s="7" t="s">
        <v>181</v>
      </c>
      <c r="K35" s="7" t="s">
        <v>177</v>
      </c>
      <c r="L35" s="7" t="s">
        <v>158</v>
      </c>
      <c r="M35" s="7" t="s">
        <v>179</v>
      </c>
      <c r="N35" s="9" t="s">
        <v>200</v>
      </c>
      <c r="O35" s="9" t="s">
        <v>201</v>
      </c>
    </row>
    <row r="36" spans="1:16" ht="14.25" customHeight="1" x14ac:dyDescent="0.35">
      <c r="A36" s="7">
        <v>0</v>
      </c>
      <c r="B36" s="98" t="s">
        <v>192</v>
      </c>
      <c r="C36" s="98" t="s">
        <v>192</v>
      </c>
      <c r="D36" s="98" t="s">
        <v>192</v>
      </c>
      <c r="E36" s="99">
        <f>B10</f>
        <v>75000</v>
      </c>
      <c r="F36" s="115"/>
      <c r="G36" s="115"/>
      <c r="I36" s="7">
        <v>0</v>
      </c>
      <c r="J36" s="98" t="s">
        <v>192</v>
      </c>
      <c r="K36" s="98" t="s">
        <v>192</v>
      </c>
      <c r="L36" s="98" t="s">
        <v>192</v>
      </c>
      <c r="M36" s="99">
        <f>B10</f>
        <v>75000</v>
      </c>
      <c r="N36" s="115"/>
      <c r="O36" s="115"/>
    </row>
    <row r="37" spans="1:16" ht="14.25" customHeight="1" x14ac:dyDescent="0.35">
      <c r="A37" s="7">
        <v>1</v>
      </c>
      <c r="B37" s="98">
        <f t="shared" ref="B37:B291" si="0">-$B$21</f>
        <v>324.95</v>
      </c>
      <c r="C37" s="98">
        <f t="shared" ref="C37:C291" si="1">ROUND(E36*$B$16,2)</f>
        <v>218.75</v>
      </c>
      <c r="D37" s="98">
        <f t="shared" ref="D37:D291" si="2">B37-C37</f>
        <v>106.19999999999999</v>
      </c>
      <c r="E37" s="98">
        <f t="shared" ref="E37:E291" si="3">E36-D37</f>
        <v>74893.8</v>
      </c>
      <c r="F37" s="115">
        <f t="shared" ref="F37:F96" si="4">ROUND($B$27*B37,2)</f>
        <v>97.49</v>
      </c>
      <c r="G37" s="116">
        <f t="shared" ref="G37:G291" si="5">B37-F37</f>
        <v>227.45999999999998</v>
      </c>
      <c r="H37" s="49" t="s">
        <v>175</v>
      </c>
      <c r="I37" s="38">
        <v>1</v>
      </c>
      <c r="J37" s="115">
        <f t="shared" ref="J37:J291" si="6">L37+K37</f>
        <v>414.06</v>
      </c>
      <c r="K37" s="115">
        <f t="shared" ref="K37:K291" si="7">ROUND(M36*$B$16,2)</f>
        <v>218.75</v>
      </c>
      <c r="L37" s="115">
        <f t="shared" ref="L37:L291" si="8">$B$24</f>
        <v>195.31</v>
      </c>
      <c r="M37" s="115">
        <f t="shared" ref="M37:M291" si="9">M36-L37</f>
        <v>74804.69</v>
      </c>
      <c r="N37" s="115">
        <f t="shared" ref="N37:N96" si="10">ROUND($B$27*J37,2)</f>
        <v>124.22</v>
      </c>
      <c r="O37" s="116">
        <f t="shared" ref="O37:O291" si="11">J37-N37</f>
        <v>289.84000000000003</v>
      </c>
      <c r="P37" s="49" t="s">
        <v>175</v>
      </c>
    </row>
    <row r="38" spans="1:16" ht="14.25" customHeight="1" x14ac:dyDescent="0.35">
      <c r="A38" s="7">
        <v>2</v>
      </c>
      <c r="B38" s="98">
        <f t="shared" si="0"/>
        <v>324.95</v>
      </c>
      <c r="C38" s="98">
        <f t="shared" si="1"/>
        <v>218.44</v>
      </c>
      <c r="D38" s="98">
        <f t="shared" si="2"/>
        <v>106.50999999999999</v>
      </c>
      <c r="E38" s="98">
        <f t="shared" si="3"/>
        <v>74787.290000000008</v>
      </c>
      <c r="F38" s="115">
        <f t="shared" si="4"/>
        <v>97.49</v>
      </c>
      <c r="G38" s="115">
        <f t="shared" si="5"/>
        <v>227.45999999999998</v>
      </c>
      <c r="I38" s="38">
        <v>2</v>
      </c>
      <c r="J38" s="115">
        <f t="shared" si="6"/>
        <v>413.49</v>
      </c>
      <c r="K38" s="115">
        <f t="shared" si="7"/>
        <v>218.18</v>
      </c>
      <c r="L38" s="115">
        <f t="shared" si="8"/>
        <v>195.31</v>
      </c>
      <c r="M38" s="115">
        <f t="shared" si="9"/>
        <v>74609.38</v>
      </c>
      <c r="N38" s="115">
        <f t="shared" si="10"/>
        <v>124.05</v>
      </c>
      <c r="O38" s="115">
        <f t="shared" si="11"/>
        <v>289.44</v>
      </c>
    </row>
    <row r="39" spans="1:16" ht="14.25" customHeight="1" x14ac:dyDescent="0.35">
      <c r="A39" s="7">
        <v>3</v>
      </c>
      <c r="B39" s="98">
        <f t="shared" si="0"/>
        <v>324.95</v>
      </c>
      <c r="C39" s="98">
        <f t="shared" si="1"/>
        <v>218.13</v>
      </c>
      <c r="D39" s="98">
        <f t="shared" si="2"/>
        <v>106.82</v>
      </c>
      <c r="E39" s="98">
        <f t="shared" si="3"/>
        <v>74680.47</v>
      </c>
      <c r="F39" s="115">
        <f t="shared" si="4"/>
        <v>97.49</v>
      </c>
      <c r="G39" s="115">
        <f t="shared" si="5"/>
        <v>227.45999999999998</v>
      </c>
      <c r="I39" s="38">
        <v>3</v>
      </c>
      <c r="J39" s="115">
        <f t="shared" si="6"/>
        <v>412.92</v>
      </c>
      <c r="K39" s="115">
        <f t="shared" si="7"/>
        <v>217.61</v>
      </c>
      <c r="L39" s="115">
        <f t="shared" si="8"/>
        <v>195.31</v>
      </c>
      <c r="M39" s="115">
        <f t="shared" si="9"/>
        <v>74414.070000000007</v>
      </c>
      <c r="N39" s="115">
        <f t="shared" si="10"/>
        <v>123.88</v>
      </c>
      <c r="O39" s="115">
        <f t="shared" si="11"/>
        <v>289.04000000000002</v>
      </c>
    </row>
    <row r="40" spans="1:16" ht="14.25" customHeight="1" x14ac:dyDescent="0.35">
      <c r="A40" s="7">
        <v>4</v>
      </c>
      <c r="B40" s="98">
        <f t="shared" si="0"/>
        <v>324.95</v>
      </c>
      <c r="C40" s="98">
        <f t="shared" si="1"/>
        <v>217.82</v>
      </c>
      <c r="D40" s="98">
        <f t="shared" si="2"/>
        <v>107.13</v>
      </c>
      <c r="E40" s="98">
        <f t="shared" si="3"/>
        <v>74573.34</v>
      </c>
      <c r="F40" s="115">
        <f t="shared" si="4"/>
        <v>97.49</v>
      </c>
      <c r="G40" s="115">
        <f t="shared" si="5"/>
        <v>227.45999999999998</v>
      </c>
      <c r="I40" s="38">
        <v>4</v>
      </c>
      <c r="J40" s="115">
        <f t="shared" si="6"/>
        <v>412.35</v>
      </c>
      <c r="K40" s="115">
        <f t="shared" si="7"/>
        <v>217.04</v>
      </c>
      <c r="L40" s="115">
        <f t="shared" si="8"/>
        <v>195.31</v>
      </c>
      <c r="M40" s="115">
        <f t="shared" si="9"/>
        <v>74218.760000000009</v>
      </c>
      <c r="N40" s="115">
        <f t="shared" si="10"/>
        <v>123.71</v>
      </c>
      <c r="O40" s="115">
        <f t="shared" si="11"/>
        <v>288.64000000000004</v>
      </c>
    </row>
    <row r="41" spans="1:16" ht="14.25" customHeight="1" x14ac:dyDescent="0.35">
      <c r="A41" s="7">
        <v>5</v>
      </c>
      <c r="B41" s="98">
        <f t="shared" si="0"/>
        <v>324.95</v>
      </c>
      <c r="C41" s="98">
        <f t="shared" si="1"/>
        <v>217.51</v>
      </c>
      <c r="D41" s="98">
        <f t="shared" si="2"/>
        <v>107.44</v>
      </c>
      <c r="E41" s="98">
        <f t="shared" si="3"/>
        <v>74465.899999999994</v>
      </c>
      <c r="F41" s="115">
        <f t="shared" si="4"/>
        <v>97.49</v>
      </c>
      <c r="G41" s="115">
        <f t="shared" si="5"/>
        <v>227.45999999999998</v>
      </c>
      <c r="I41" s="38">
        <v>5</v>
      </c>
      <c r="J41" s="115">
        <f t="shared" si="6"/>
        <v>411.78</v>
      </c>
      <c r="K41" s="115">
        <f t="shared" si="7"/>
        <v>216.47</v>
      </c>
      <c r="L41" s="115">
        <f t="shared" si="8"/>
        <v>195.31</v>
      </c>
      <c r="M41" s="115">
        <f t="shared" si="9"/>
        <v>74023.450000000012</v>
      </c>
      <c r="N41" s="115">
        <f t="shared" si="10"/>
        <v>123.53</v>
      </c>
      <c r="O41" s="115">
        <f t="shared" si="11"/>
        <v>288.25</v>
      </c>
    </row>
    <row r="42" spans="1:16" ht="14.25" customHeight="1" x14ac:dyDescent="0.35">
      <c r="A42" s="7">
        <v>6</v>
      </c>
      <c r="B42" s="98">
        <f t="shared" si="0"/>
        <v>324.95</v>
      </c>
      <c r="C42" s="98">
        <f t="shared" si="1"/>
        <v>217.19</v>
      </c>
      <c r="D42" s="98">
        <f t="shared" si="2"/>
        <v>107.75999999999999</v>
      </c>
      <c r="E42" s="98">
        <f t="shared" si="3"/>
        <v>74358.14</v>
      </c>
      <c r="F42" s="115">
        <f t="shared" si="4"/>
        <v>97.49</v>
      </c>
      <c r="G42" s="115">
        <f t="shared" si="5"/>
        <v>227.45999999999998</v>
      </c>
      <c r="I42" s="38">
        <v>6</v>
      </c>
      <c r="J42" s="115">
        <f t="shared" si="6"/>
        <v>411.21000000000004</v>
      </c>
      <c r="K42" s="115">
        <f t="shared" si="7"/>
        <v>215.9</v>
      </c>
      <c r="L42" s="115">
        <f t="shared" si="8"/>
        <v>195.31</v>
      </c>
      <c r="M42" s="115">
        <f t="shared" si="9"/>
        <v>73828.140000000014</v>
      </c>
      <c r="N42" s="115">
        <f t="shared" si="10"/>
        <v>123.36</v>
      </c>
      <c r="O42" s="115">
        <f t="shared" si="11"/>
        <v>287.85000000000002</v>
      </c>
    </row>
    <row r="43" spans="1:16" ht="14.25" customHeight="1" x14ac:dyDescent="0.35">
      <c r="A43" s="7">
        <v>7</v>
      </c>
      <c r="B43" s="98">
        <f t="shared" si="0"/>
        <v>324.95</v>
      </c>
      <c r="C43" s="98">
        <f t="shared" si="1"/>
        <v>216.88</v>
      </c>
      <c r="D43" s="98">
        <f t="shared" si="2"/>
        <v>108.07</v>
      </c>
      <c r="E43" s="98">
        <f t="shared" si="3"/>
        <v>74250.069999999992</v>
      </c>
      <c r="F43" s="115">
        <f t="shared" si="4"/>
        <v>97.49</v>
      </c>
      <c r="G43" s="115">
        <f t="shared" si="5"/>
        <v>227.45999999999998</v>
      </c>
      <c r="I43" s="38">
        <v>7</v>
      </c>
      <c r="J43" s="115">
        <f t="shared" si="6"/>
        <v>410.64</v>
      </c>
      <c r="K43" s="115">
        <f t="shared" si="7"/>
        <v>215.33</v>
      </c>
      <c r="L43" s="115">
        <f t="shared" si="8"/>
        <v>195.31</v>
      </c>
      <c r="M43" s="115">
        <f t="shared" si="9"/>
        <v>73632.830000000016</v>
      </c>
      <c r="N43" s="115">
        <f t="shared" si="10"/>
        <v>123.19</v>
      </c>
      <c r="O43" s="115">
        <f t="shared" si="11"/>
        <v>287.45</v>
      </c>
    </row>
    <row r="44" spans="1:16" ht="14.25" customHeight="1" x14ac:dyDescent="0.35">
      <c r="A44" s="7">
        <v>8</v>
      </c>
      <c r="B44" s="98">
        <f t="shared" si="0"/>
        <v>324.95</v>
      </c>
      <c r="C44" s="98">
        <f t="shared" si="1"/>
        <v>216.56</v>
      </c>
      <c r="D44" s="98">
        <f t="shared" si="2"/>
        <v>108.38999999999999</v>
      </c>
      <c r="E44" s="98">
        <f t="shared" si="3"/>
        <v>74141.679999999993</v>
      </c>
      <c r="F44" s="115">
        <f t="shared" si="4"/>
        <v>97.49</v>
      </c>
      <c r="G44" s="115">
        <f t="shared" si="5"/>
        <v>227.45999999999998</v>
      </c>
      <c r="I44" s="38">
        <v>8</v>
      </c>
      <c r="J44" s="115">
        <f t="shared" si="6"/>
        <v>410.07</v>
      </c>
      <c r="K44" s="115">
        <f t="shared" si="7"/>
        <v>214.76</v>
      </c>
      <c r="L44" s="115">
        <f t="shared" si="8"/>
        <v>195.31</v>
      </c>
      <c r="M44" s="115">
        <f t="shared" si="9"/>
        <v>73437.520000000019</v>
      </c>
      <c r="N44" s="115">
        <f t="shared" si="10"/>
        <v>123.02</v>
      </c>
      <c r="O44" s="115">
        <f t="shared" si="11"/>
        <v>287.05</v>
      </c>
    </row>
    <row r="45" spans="1:16" ht="14.25" customHeight="1" x14ac:dyDescent="0.35">
      <c r="A45" s="7">
        <v>9</v>
      </c>
      <c r="B45" s="98">
        <f t="shared" si="0"/>
        <v>324.95</v>
      </c>
      <c r="C45" s="98">
        <f t="shared" si="1"/>
        <v>216.25</v>
      </c>
      <c r="D45" s="98">
        <f t="shared" si="2"/>
        <v>108.69999999999999</v>
      </c>
      <c r="E45" s="98">
        <f t="shared" si="3"/>
        <v>74032.98</v>
      </c>
      <c r="F45" s="115">
        <f t="shared" si="4"/>
        <v>97.49</v>
      </c>
      <c r="G45" s="115">
        <f t="shared" si="5"/>
        <v>227.45999999999998</v>
      </c>
      <c r="I45" s="38">
        <v>9</v>
      </c>
      <c r="J45" s="115">
        <f t="shared" si="6"/>
        <v>409.5</v>
      </c>
      <c r="K45" s="115">
        <f t="shared" si="7"/>
        <v>214.19</v>
      </c>
      <c r="L45" s="115">
        <f t="shared" si="8"/>
        <v>195.31</v>
      </c>
      <c r="M45" s="115">
        <f t="shared" si="9"/>
        <v>73242.210000000021</v>
      </c>
      <c r="N45" s="115">
        <f t="shared" si="10"/>
        <v>122.85</v>
      </c>
      <c r="O45" s="115">
        <f t="shared" si="11"/>
        <v>286.64999999999998</v>
      </c>
    </row>
    <row r="46" spans="1:16" ht="14.25" customHeight="1" x14ac:dyDescent="0.35">
      <c r="A46" s="7">
        <v>10</v>
      </c>
      <c r="B46" s="98">
        <f t="shared" si="0"/>
        <v>324.95</v>
      </c>
      <c r="C46" s="98">
        <f t="shared" si="1"/>
        <v>215.93</v>
      </c>
      <c r="D46" s="98">
        <f t="shared" si="2"/>
        <v>109.01999999999998</v>
      </c>
      <c r="E46" s="98">
        <f t="shared" si="3"/>
        <v>73923.959999999992</v>
      </c>
      <c r="F46" s="115">
        <f t="shared" si="4"/>
        <v>97.49</v>
      </c>
      <c r="G46" s="115">
        <f t="shared" si="5"/>
        <v>227.45999999999998</v>
      </c>
      <c r="I46" s="38">
        <v>10</v>
      </c>
      <c r="J46" s="115">
        <f t="shared" si="6"/>
        <v>408.93</v>
      </c>
      <c r="K46" s="115">
        <f t="shared" si="7"/>
        <v>213.62</v>
      </c>
      <c r="L46" s="115">
        <f t="shared" si="8"/>
        <v>195.31</v>
      </c>
      <c r="M46" s="115">
        <f t="shared" si="9"/>
        <v>73046.900000000023</v>
      </c>
      <c r="N46" s="115">
        <f t="shared" si="10"/>
        <v>122.68</v>
      </c>
      <c r="O46" s="115">
        <f t="shared" si="11"/>
        <v>286.25</v>
      </c>
    </row>
    <row r="47" spans="1:16" ht="14.25" customHeight="1" x14ac:dyDescent="0.35">
      <c r="A47" s="7">
        <v>11</v>
      </c>
      <c r="B47" s="98">
        <f t="shared" si="0"/>
        <v>324.95</v>
      </c>
      <c r="C47" s="98">
        <f t="shared" si="1"/>
        <v>215.61</v>
      </c>
      <c r="D47" s="98">
        <f t="shared" si="2"/>
        <v>109.33999999999997</v>
      </c>
      <c r="E47" s="98">
        <f t="shared" si="3"/>
        <v>73814.62</v>
      </c>
      <c r="F47" s="115">
        <f t="shared" si="4"/>
        <v>97.49</v>
      </c>
      <c r="G47" s="115">
        <f t="shared" si="5"/>
        <v>227.45999999999998</v>
      </c>
      <c r="I47" s="38">
        <v>11</v>
      </c>
      <c r="J47" s="115">
        <f t="shared" si="6"/>
        <v>408.36</v>
      </c>
      <c r="K47" s="115">
        <f t="shared" si="7"/>
        <v>213.05</v>
      </c>
      <c r="L47" s="115">
        <f t="shared" si="8"/>
        <v>195.31</v>
      </c>
      <c r="M47" s="115">
        <f t="shared" si="9"/>
        <v>72851.590000000026</v>
      </c>
      <c r="N47" s="115">
        <f t="shared" si="10"/>
        <v>122.51</v>
      </c>
      <c r="O47" s="115">
        <f t="shared" si="11"/>
        <v>285.85000000000002</v>
      </c>
    </row>
    <row r="48" spans="1:16" ht="14.25" customHeight="1" x14ac:dyDescent="0.35">
      <c r="A48" s="7">
        <v>12</v>
      </c>
      <c r="B48" s="98">
        <f t="shared" si="0"/>
        <v>324.95</v>
      </c>
      <c r="C48" s="98">
        <f t="shared" si="1"/>
        <v>215.29</v>
      </c>
      <c r="D48" s="98">
        <f t="shared" si="2"/>
        <v>109.66</v>
      </c>
      <c r="E48" s="98">
        <f t="shared" si="3"/>
        <v>73704.959999999992</v>
      </c>
      <c r="F48" s="115">
        <f t="shared" si="4"/>
        <v>97.49</v>
      </c>
      <c r="G48" s="115">
        <f t="shared" si="5"/>
        <v>227.45999999999998</v>
      </c>
      <c r="I48" s="38">
        <v>12</v>
      </c>
      <c r="J48" s="115">
        <f t="shared" si="6"/>
        <v>407.78999999999996</v>
      </c>
      <c r="K48" s="115">
        <f t="shared" si="7"/>
        <v>212.48</v>
      </c>
      <c r="L48" s="115">
        <f t="shared" si="8"/>
        <v>195.31</v>
      </c>
      <c r="M48" s="115">
        <f t="shared" si="9"/>
        <v>72656.280000000028</v>
      </c>
      <c r="N48" s="115">
        <f t="shared" si="10"/>
        <v>122.34</v>
      </c>
      <c r="O48" s="115">
        <f t="shared" si="11"/>
        <v>285.44999999999993</v>
      </c>
    </row>
    <row r="49" spans="1:15" ht="14.25" customHeight="1" x14ac:dyDescent="0.35">
      <c r="A49" s="7">
        <v>13</v>
      </c>
      <c r="B49" s="98">
        <f t="shared" si="0"/>
        <v>324.95</v>
      </c>
      <c r="C49" s="98">
        <f t="shared" si="1"/>
        <v>214.97</v>
      </c>
      <c r="D49" s="98">
        <f t="shared" si="2"/>
        <v>109.97999999999999</v>
      </c>
      <c r="E49" s="98">
        <f t="shared" si="3"/>
        <v>73594.98</v>
      </c>
      <c r="F49" s="115">
        <f t="shared" si="4"/>
        <v>97.49</v>
      </c>
      <c r="G49" s="115">
        <f t="shared" si="5"/>
        <v>227.45999999999998</v>
      </c>
      <c r="I49" s="38">
        <v>13</v>
      </c>
      <c r="J49" s="115">
        <f t="shared" si="6"/>
        <v>407.22</v>
      </c>
      <c r="K49" s="115">
        <f t="shared" si="7"/>
        <v>211.91</v>
      </c>
      <c r="L49" s="115">
        <f t="shared" si="8"/>
        <v>195.31</v>
      </c>
      <c r="M49" s="115">
        <f t="shared" si="9"/>
        <v>72460.97000000003</v>
      </c>
      <c r="N49" s="115">
        <f t="shared" si="10"/>
        <v>122.17</v>
      </c>
      <c r="O49" s="115">
        <f t="shared" si="11"/>
        <v>285.05</v>
      </c>
    </row>
    <row r="50" spans="1:15" ht="14.25" customHeight="1" x14ac:dyDescent="0.35">
      <c r="A50" s="7">
        <v>14</v>
      </c>
      <c r="B50" s="98">
        <f t="shared" si="0"/>
        <v>324.95</v>
      </c>
      <c r="C50" s="98">
        <f t="shared" si="1"/>
        <v>214.65</v>
      </c>
      <c r="D50" s="98">
        <f t="shared" si="2"/>
        <v>110.29999999999998</v>
      </c>
      <c r="E50" s="98">
        <f t="shared" si="3"/>
        <v>73484.679999999993</v>
      </c>
      <c r="F50" s="115">
        <f t="shared" si="4"/>
        <v>97.49</v>
      </c>
      <c r="G50" s="115">
        <f t="shared" si="5"/>
        <v>227.45999999999998</v>
      </c>
      <c r="I50" s="38">
        <v>14</v>
      </c>
      <c r="J50" s="115">
        <f t="shared" si="6"/>
        <v>406.65</v>
      </c>
      <c r="K50" s="115">
        <f t="shared" si="7"/>
        <v>211.34</v>
      </c>
      <c r="L50" s="115">
        <f t="shared" si="8"/>
        <v>195.31</v>
      </c>
      <c r="M50" s="115">
        <f t="shared" si="9"/>
        <v>72265.660000000033</v>
      </c>
      <c r="N50" s="115">
        <f t="shared" si="10"/>
        <v>122</v>
      </c>
      <c r="O50" s="115">
        <f t="shared" si="11"/>
        <v>284.64999999999998</v>
      </c>
    </row>
    <row r="51" spans="1:15" ht="14.25" customHeight="1" x14ac:dyDescent="0.35">
      <c r="A51" s="7">
        <v>15</v>
      </c>
      <c r="B51" s="98">
        <f t="shared" si="0"/>
        <v>324.95</v>
      </c>
      <c r="C51" s="98">
        <f t="shared" si="1"/>
        <v>214.33</v>
      </c>
      <c r="D51" s="98">
        <f t="shared" si="2"/>
        <v>110.61999999999998</v>
      </c>
      <c r="E51" s="98">
        <f t="shared" si="3"/>
        <v>73374.06</v>
      </c>
      <c r="F51" s="115">
        <f t="shared" si="4"/>
        <v>97.49</v>
      </c>
      <c r="G51" s="115">
        <f t="shared" si="5"/>
        <v>227.45999999999998</v>
      </c>
      <c r="I51" s="38">
        <v>15</v>
      </c>
      <c r="J51" s="115">
        <f t="shared" si="6"/>
        <v>406.08000000000004</v>
      </c>
      <c r="K51" s="115">
        <f t="shared" si="7"/>
        <v>210.77</v>
      </c>
      <c r="L51" s="115">
        <f t="shared" si="8"/>
        <v>195.31</v>
      </c>
      <c r="M51" s="115">
        <f t="shared" si="9"/>
        <v>72070.350000000035</v>
      </c>
      <c r="N51" s="115">
        <f t="shared" si="10"/>
        <v>121.82</v>
      </c>
      <c r="O51" s="115">
        <f t="shared" si="11"/>
        <v>284.26000000000005</v>
      </c>
    </row>
    <row r="52" spans="1:15" ht="14.25" customHeight="1" x14ac:dyDescent="0.35">
      <c r="A52" s="7">
        <v>16</v>
      </c>
      <c r="B52" s="98">
        <f t="shared" si="0"/>
        <v>324.95</v>
      </c>
      <c r="C52" s="98">
        <f t="shared" si="1"/>
        <v>214.01</v>
      </c>
      <c r="D52" s="98">
        <f t="shared" si="2"/>
        <v>110.94</v>
      </c>
      <c r="E52" s="98">
        <f t="shared" si="3"/>
        <v>73263.12</v>
      </c>
      <c r="F52" s="115">
        <f t="shared" si="4"/>
        <v>97.49</v>
      </c>
      <c r="G52" s="115">
        <f t="shared" si="5"/>
        <v>227.45999999999998</v>
      </c>
      <c r="I52" s="38">
        <v>16</v>
      </c>
      <c r="J52" s="115">
        <f t="shared" si="6"/>
        <v>405.52</v>
      </c>
      <c r="K52" s="115">
        <f t="shared" si="7"/>
        <v>210.21</v>
      </c>
      <c r="L52" s="115">
        <f t="shared" si="8"/>
        <v>195.31</v>
      </c>
      <c r="M52" s="115">
        <f t="shared" si="9"/>
        <v>71875.040000000037</v>
      </c>
      <c r="N52" s="115">
        <f t="shared" si="10"/>
        <v>121.66</v>
      </c>
      <c r="O52" s="115">
        <f t="shared" si="11"/>
        <v>283.86</v>
      </c>
    </row>
    <row r="53" spans="1:15" ht="14.25" customHeight="1" x14ac:dyDescent="0.35">
      <c r="A53" s="7">
        <v>17</v>
      </c>
      <c r="B53" s="98">
        <f t="shared" si="0"/>
        <v>324.95</v>
      </c>
      <c r="C53" s="98">
        <f t="shared" si="1"/>
        <v>213.68</v>
      </c>
      <c r="D53" s="98">
        <f t="shared" si="2"/>
        <v>111.26999999999998</v>
      </c>
      <c r="E53" s="98">
        <f t="shared" si="3"/>
        <v>73151.849999999991</v>
      </c>
      <c r="F53" s="115">
        <f t="shared" si="4"/>
        <v>97.49</v>
      </c>
      <c r="G53" s="115">
        <f t="shared" si="5"/>
        <v>227.45999999999998</v>
      </c>
      <c r="I53" s="38">
        <v>17</v>
      </c>
      <c r="J53" s="115">
        <f t="shared" si="6"/>
        <v>404.95</v>
      </c>
      <c r="K53" s="115">
        <f t="shared" si="7"/>
        <v>209.64</v>
      </c>
      <c r="L53" s="115">
        <f t="shared" si="8"/>
        <v>195.31</v>
      </c>
      <c r="M53" s="115">
        <f t="shared" si="9"/>
        <v>71679.73000000004</v>
      </c>
      <c r="N53" s="115">
        <f t="shared" si="10"/>
        <v>121.49</v>
      </c>
      <c r="O53" s="115">
        <f t="shared" si="11"/>
        <v>283.45999999999998</v>
      </c>
    </row>
    <row r="54" spans="1:15" ht="14.25" customHeight="1" x14ac:dyDescent="0.35">
      <c r="A54" s="7">
        <v>18</v>
      </c>
      <c r="B54" s="98">
        <f t="shared" si="0"/>
        <v>324.95</v>
      </c>
      <c r="C54" s="98">
        <f t="shared" si="1"/>
        <v>213.36</v>
      </c>
      <c r="D54" s="98">
        <f t="shared" si="2"/>
        <v>111.58999999999997</v>
      </c>
      <c r="E54" s="98">
        <f t="shared" si="3"/>
        <v>73040.259999999995</v>
      </c>
      <c r="F54" s="115">
        <f t="shared" si="4"/>
        <v>97.49</v>
      </c>
      <c r="G54" s="115">
        <f t="shared" si="5"/>
        <v>227.45999999999998</v>
      </c>
      <c r="I54" s="38">
        <v>18</v>
      </c>
      <c r="J54" s="115">
        <f t="shared" si="6"/>
        <v>404.38</v>
      </c>
      <c r="K54" s="115">
        <f t="shared" si="7"/>
        <v>209.07</v>
      </c>
      <c r="L54" s="115">
        <f t="shared" si="8"/>
        <v>195.31</v>
      </c>
      <c r="M54" s="115">
        <f t="shared" si="9"/>
        <v>71484.420000000042</v>
      </c>
      <c r="N54" s="115">
        <f t="shared" si="10"/>
        <v>121.31</v>
      </c>
      <c r="O54" s="115">
        <f t="shared" si="11"/>
        <v>283.07</v>
      </c>
    </row>
    <row r="55" spans="1:15" ht="14.25" customHeight="1" x14ac:dyDescent="0.35">
      <c r="A55" s="7">
        <v>19</v>
      </c>
      <c r="B55" s="98">
        <f t="shared" si="0"/>
        <v>324.95</v>
      </c>
      <c r="C55" s="98">
        <f t="shared" si="1"/>
        <v>213.03</v>
      </c>
      <c r="D55" s="98">
        <f t="shared" si="2"/>
        <v>111.91999999999999</v>
      </c>
      <c r="E55" s="98">
        <f t="shared" si="3"/>
        <v>72928.34</v>
      </c>
      <c r="F55" s="115">
        <f t="shared" si="4"/>
        <v>97.49</v>
      </c>
      <c r="G55" s="115">
        <f t="shared" si="5"/>
        <v>227.45999999999998</v>
      </c>
      <c r="I55" s="38">
        <v>19</v>
      </c>
      <c r="J55" s="115">
        <f t="shared" si="6"/>
        <v>403.81</v>
      </c>
      <c r="K55" s="115">
        <f t="shared" si="7"/>
        <v>208.5</v>
      </c>
      <c r="L55" s="115">
        <f t="shared" si="8"/>
        <v>195.31</v>
      </c>
      <c r="M55" s="115">
        <f t="shared" si="9"/>
        <v>71289.110000000044</v>
      </c>
      <c r="N55" s="115">
        <f t="shared" si="10"/>
        <v>121.14</v>
      </c>
      <c r="O55" s="115">
        <f t="shared" si="11"/>
        <v>282.67</v>
      </c>
    </row>
    <row r="56" spans="1:15" ht="14.25" customHeight="1" x14ac:dyDescent="0.35">
      <c r="A56" s="7">
        <v>20</v>
      </c>
      <c r="B56" s="98">
        <f t="shared" si="0"/>
        <v>324.95</v>
      </c>
      <c r="C56" s="98">
        <f t="shared" si="1"/>
        <v>212.71</v>
      </c>
      <c r="D56" s="98">
        <f t="shared" si="2"/>
        <v>112.23999999999998</v>
      </c>
      <c r="E56" s="98">
        <f t="shared" si="3"/>
        <v>72816.099999999991</v>
      </c>
      <c r="F56" s="115">
        <f t="shared" si="4"/>
        <v>97.49</v>
      </c>
      <c r="G56" s="115">
        <f t="shared" si="5"/>
        <v>227.45999999999998</v>
      </c>
      <c r="I56" s="38">
        <v>20</v>
      </c>
      <c r="J56" s="115">
        <f t="shared" si="6"/>
        <v>403.24</v>
      </c>
      <c r="K56" s="115">
        <f t="shared" si="7"/>
        <v>207.93</v>
      </c>
      <c r="L56" s="115">
        <f t="shared" si="8"/>
        <v>195.31</v>
      </c>
      <c r="M56" s="115">
        <f t="shared" si="9"/>
        <v>71093.800000000047</v>
      </c>
      <c r="N56" s="115">
        <f t="shared" si="10"/>
        <v>120.97</v>
      </c>
      <c r="O56" s="115">
        <f t="shared" si="11"/>
        <v>282.27</v>
      </c>
    </row>
    <row r="57" spans="1:15" ht="14.25" customHeight="1" x14ac:dyDescent="0.35">
      <c r="A57" s="7">
        <v>21</v>
      </c>
      <c r="B57" s="98">
        <f t="shared" si="0"/>
        <v>324.95</v>
      </c>
      <c r="C57" s="98">
        <f t="shared" si="1"/>
        <v>212.38</v>
      </c>
      <c r="D57" s="98">
        <f t="shared" si="2"/>
        <v>112.57</v>
      </c>
      <c r="E57" s="98">
        <f t="shared" si="3"/>
        <v>72703.529999999984</v>
      </c>
      <c r="F57" s="115">
        <f t="shared" si="4"/>
        <v>97.49</v>
      </c>
      <c r="G57" s="115">
        <f t="shared" si="5"/>
        <v>227.45999999999998</v>
      </c>
      <c r="I57" s="38">
        <v>21</v>
      </c>
      <c r="J57" s="115">
        <f t="shared" si="6"/>
        <v>402.67</v>
      </c>
      <c r="K57" s="115">
        <f t="shared" si="7"/>
        <v>207.36</v>
      </c>
      <c r="L57" s="115">
        <f t="shared" si="8"/>
        <v>195.31</v>
      </c>
      <c r="M57" s="115">
        <f t="shared" si="9"/>
        <v>70898.490000000049</v>
      </c>
      <c r="N57" s="115">
        <f t="shared" si="10"/>
        <v>120.8</v>
      </c>
      <c r="O57" s="115">
        <f t="shared" si="11"/>
        <v>281.87</v>
      </c>
    </row>
    <row r="58" spans="1:15" ht="14.25" customHeight="1" x14ac:dyDescent="0.35">
      <c r="A58" s="7">
        <v>22</v>
      </c>
      <c r="B58" s="98">
        <f t="shared" si="0"/>
        <v>324.95</v>
      </c>
      <c r="C58" s="98">
        <f t="shared" si="1"/>
        <v>212.05</v>
      </c>
      <c r="D58" s="98">
        <f t="shared" si="2"/>
        <v>112.89999999999998</v>
      </c>
      <c r="E58" s="98">
        <f t="shared" si="3"/>
        <v>72590.62999999999</v>
      </c>
      <c r="F58" s="115">
        <f t="shared" si="4"/>
        <v>97.49</v>
      </c>
      <c r="G58" s="115">
        <f t="shared" si="5"/>
        <v>227.45999999999998</v>
      </c>
      <c r="I58" s="38">
        <v>22</v>
      </c>
      <c r="J58" s="115">
        <f t="shared" si="6"/>
        <v>402.1</v>
      </c>
      <c r="K58" s="115">
        <f t="shared" si="7"/>
        <v>206.79</v>
      </c>
      <c r="L58" s="115">
        <f t="shared" si="8"/>
        <v>195.31</v>
      </c>
      <c r="M58" s="115">
        <f t="shared" si="9"/>
        <v>70703.180000000051</v>
      </c>
      <c r="N58" s="115">
        <f t="shared" si="10"/>
        <v>120.63</v>
      </c>
      <c r="O58" s="115">
        <f t="shared" si="11"/>
        <v>281.47000000000003</v>
      </c>
    </row>
    <row r="59" spans="1:15" ht="14.25" customHeight="1" x14ac:dyDescent="0.35">
      <c r="A59" s="7">
        <v>23</v>
      </c>
      <c r="B59" s="98">
        <f t="shared" si="0"/>
        <v>324.95</v>
      </c>
      <c r="C59" s="98">
        <f t="shared" si="1"/>
        <v>211.72</v>
      </c>
      <c r="D59" s="98">
        <f t="shared" si="2"/>
        <v>113.22999999999999</v>
      </c>
      <c r="E59" s="98">
        <f t="shared" si="3"/>
        <v>72477.399999999994</v>
      </c>
      <c r="F59" s="115">
        <f t="shared" si="4"/>
        <v>97.49</v>
      </c>
      <c r="G59" s="115">
        <f t="shared" si="5"/>
        <v>227.45999999999998</v>
      </c>
      <c r="I59" s="38">
        <v>23</v>
      </c>
      <c r="J59" s="115">
        <f t="shared" si="6"/>
        <v>401.53</v>
      </c>
      <c r="K59" s="115">
        <f t="shared" si="7"/>
        <v>206.22</v>
      </c>
      <c r="L59" s="115">
        <f t="shared" si="8"/>
        <v>195.31</v>
      </c>
      <c r="M59" s="115">
        <f t="shared" si="9"/>
        <v>70507.870000000054</v>
      </c>
      <c r="N59" s="115">
        <f t="shared" si="10"/>
        <v>120.46</v>
      </c>
      <c r="O59" s="115">
        <f t="shared" si="11"/>
        <v>281.07</v>
      </c>
    </row>
    <row r="60" spans="1:15" ht="14.25" customHeight="1" x14ac:dyDescent="0.35">
      <c r="A60" s="7">
        <v>24</v>
      </c>
      <c r="B60" s="98">
        <f t="shared" si="0"/>
        <v>324.95</v>
      </c>
      <c r="C60" s="98">
        <f t="shared" si="1"/>
        <v>211.39</v>
      </c>
      <c r="D60" s="98">
        <f t="shared" si="2"/>
        <v>113.56</v>
      </c>
      <c r="E60" s="98">
        <f t="shared" si="3"/>
        <v>72363.839999999997</v>
      </c>
      <c r="F60" s="115">
        <f t="shared" si="4"/>
        <v>97.49</v>
      </c>
      <c r="G60" s="115">
        <f t="shared" si="5"/>
        <v>227.45999999999998</v>
      </c>
      <c r="I60" s="38">
        <v>24</v>
      </c>
      <c r="J60" s="115">
        <f t="shared" si="6"/>
        <v>400.96000000000004</v>
      </c>
      <c r="K60" s="115">
        <f t="shared" si="7"/>
        <v>205.65</v>
      </c>
      <c r="L60" s="115">
        <f t="shared" si="8"/>
        <v>195.31</v>
      </c>
      <c r="M60" s="115">
        <f t="shared" si="9"/>
        <v>70312.560000000056</v>
      </c>
      <c r="N60" s="115">
        <f t="shared" si="10"/>
        <v>120.29</v>
      </c>
      <c r="O60" s="115">
        <f t="shared" si="11"/>
        <v>280.67</v>
      </c>
    </row>
    <row r="61" spans="1:15" ht="14.25" customHeight="1" x14ac:dyDescent="0.35">
      <c r="A61" s="7">
        <v>25</v>
      </c>
      <c r="B61" s="98">
        <f t="shared" si="0"/>
        <v>324.95</v>
      </c>
      <c r="C61" s="98">
        <f t="shared" si="1"/>
        <v>211.06</v>
      </c>
      <c r="D61" s="98">
        <f t="shared" si="2"/>
        <v>113.88999999999999</v>
      </c>
      <c r="E61" s="98">
        <f t="shared" si="3"/>
        <v>72249.95</v>
      </c>
      <c r="F61" s="115">
        <f t="shared" si="4"/>
        <v>97.49</v>
      </c>
      <c r="G61" s="115">
        <f t="shared" si="5"/>
        <v>227.45999999999998</v>
      </c>
      <c r="I61" s="38">
        <v>25</v>
      </c>
      <c r="J61" s="115">
        <f t="shared" si="6"/>
        <v>400.39</v>
      </c>
      <c r="K61" s="115">
        <f t="shared" si="7"/>
        <v>205.08</v>
      </c>
      <c r="L61" s="115">
        <f t="shared" si="8"/>
        <v>195.31</v>
      </c>
      <c r="M61" s="115">
        <f t="shared" si="9"/>
        <v>70117.250000000058</v>
      </c>
      <c r="N61" s="115">
        <f t="shared" si="10"/>
        <v>120.12</v>
      </c>
      <c r="O61" s="115">
        <f t="shared" si="11"/>
        <v>280.27</v>
      </c>
    </row>
    <row r="62" spans="1:15" ht="14.25" customHeight="1" x14ac:dyDescent="0.35">
      <c r="A62" s="7">
        <v>26</v>
      </c>
      <c r="B62" s="98">
        <f t="shared" si="0"/>
        <v>324.95</v>
      </c>
      <c r="C62" s="98">
        <f t="shared" si="1"/>
        <v>210.73</v>
      </c>
      <c r="D62" s="98">
        <f t="shared" si="2"/>
        <v>114.22</v>
      </c>
      <c r="E62" s="98">
        <f t="shared" si="3"/>
        <v>72135.73</v>
      </c>
      <c r="F62" s="115">
        <f t="shared" si="4"/>
        <v>97.49</v>
      </c>
      <c r="G62" s="115">
        <f t="shared" si="5"/>
        <v>227.45999999999998</v>
      </c>
      <c r="I62" s="38">
        <v>26</v>
      </c>
      <c r="J62" s="115">
        <f t="shared" si="6"/>
        <v>399.82</v>
      </c>
      <c r="K62" s="115">
        <f t="shared" si="7"/>
        <v>204.51</v>
      </c>
      <c r="L62" s="115">
        <f t="shared" si="8"/>
        <v>195.31</v>
      </c>
      <c r="M62" s="115">
        <f t="shared" si="9"/>
        <v>69921.940000000061</v>
      </c>
      <c r="N62" s="115">
        <f t="shared" si="10"/>
        <v>119.95</v>
      </c>
      <c r="O62" s="115">
        <f t="shared" si="11"/>
        <v>279.87</v>
      </c>
    </row>
    <row r="63" spans="1:15" ht="14.25" customHeight="1" x14ac:dyDescent="0.35">
      <c r="A63" s="7">
        <v>27</v>
      </c>
      <c r="B63" s="98">
        <f t="shared" si="0"/>
        <v>324.95</v>
      </c>
      <c r="C63" s="98">
        <f t="shared" si="1"/>
        <v>210.4</v>
      </c>
      <c r="D63" s="98">
        <f t="shared" si="2"/>
        <v>114.54999999999998</v>
      </c>
      <c r="E63" s="98">
        <f t="shared" si="3"/>
        <v>72021.179999999993</v>
      </c>
      <c r="F63" s="115">
        <f t="shared" si="4"/>
        <v>97.49</v>
      </c>
      <c r="G63" s="115">
        <f t="shared" si="5"/>
        <v>227.45999999999998</v>
      </c>
      <c r="I63" s="38">
        <v>27</v>
      </c>
      <c r="J63" s="115">
        <f t="shared" si="6"/>
        <v>399.25</v>
      </c>
      <c r="K63" s="115">
        <f t="shared" si="7"/>
        <v>203.94</v>
      </c>
      <c r="L63" s="115">
        <f t="shared" si="8"/>
        <v>195.31</v>
      </c>
      <c r="M63" s="115">
        <f t="shared" si="9"/>
        <v>69726.630000000063</v>
      </c>
      <c r="N63" s="115">
        <f t="shared" si="10"/>
        <v>119.78</v>
      </c>
      <c r="O63" s="115">
        <f t="shared" si="11"/>
        <v>279.47000000000003</v>
      </c>
    </row>
    <row r="64" spans="1:15" ht="14.25" customHeight="1" x14ac:dyDescent="0.35">
      <c r="A64" s="7">
        <v>28</v>
      </c>
      <c r="B64" s="98">
        <f t="shared" si="0"/>
        <v>324.95</v>
      </c>
      <c r="C64" s="98">
        <f t="shared" si="1"/>
        <v>210.06</v>
      </c>
      <c r="D64" s="98">
        <f t="shared" si="2"/>
        <v>114.88999999999999</v>
      </c>
      <c r="E64" s="98">
        <f t="shared" si="3"/>
        <v>71906.289999999994</v>
      </c>
      <c r="F64" s="115">
        <f t="shared" si="4"/>
        <v>97.49</v>
      </c>
      <c r="G64" s="115">
        <f t="shared" si="5"/>
        <v>227.45999999999998</v>
      </c>
      <c r="I64" s="38">
        <v>28</v>
      </c>
      <c r="J64" s="115">
        <f t="shared" si="6"/>
        <v>398.68</v>
      </c>
      <c r="K64" s="115">
        <f t="shared" si="7"/>
        <v>203.37</v>
      </c>
      <c r="L64" s="115">
        <f t="shared" si="8"/>
        <v>195.31</v>
      </c>
      <c r="M64" s="115">
        <f t="shared" si="9"/>
        <v>69531.320000000065</v>
      </c>
      <c r="N64" s="115">
        <f t="shared" si="10"/>
        <v>119.6</v>
      </c>
      <c r="O64" s="115">
        <f t="shared" si="11"/>
        <v>279.08000000000004</v>
      </c>
    </row>
    <row r="65" spans="1:15" ht="14.25" customHeight="1" x14ac:dyDescent="0.35">
      <c r="A65" s="7">
        <v>29</v>
      </c>
      <c r="B65" s="98">
        <f t="shared" si="0"/>
        <v>324.95</v>
      </c>
      <c r="C65" s="98">
        <f t="shared" si="1"/>
        <v>209.73</v>
      </c>
      <c r="D65" s="98">
        <f t="shared" si="2"/>
        <v>115.22</v>
      </c>
      <c r="E65" s="98">
        <f t="shared" si="3"/>
        <v>71791.069999999992</v>
      </c>
      <c r="F65" s="115">
        <f t="shared" si="4"/>
        <v>97.49</v>
      </c>
      <c r="G65" s="115">
        <f t="shared" si="5"/>
        <v>227.45999999999998</v>
      </c>
      <c r="I65" s="38">
        <v>29</v>
      </c>
      <c r="J65" s="115">
        <f t="shared" si="6"/>
        <v>398.11</v>
      </c>
      <c r="K65" s="115">
        <f t="shared" si="7"/>
        <v>202.8</v>
      </c>
      <c r="L65" s="115">
        <f t="shared" si="8"/>
        <v>195.31</v>
      </c>
      <c r="M65" s="115">
        <f t="shared" si="9"/>
        <v>69336.010000000068</v>
      </c>
      <c r="N65" s="115">
        <f t="shared" si="10"/>
        <v>119.43</v>
      </c>
      <c r="O65" s="115">
        <f t="shared" si="11"/>
        <v>278.68</v>
      </c>
    </row>
    <row r="66" spans="1:15" ht="14.25" customHeight="1" x14ac:dyDescent="0.35">
      <c r="A66" s="7">
        <v>30</v>
      </c>
      <c r="B66" s="98">
        <f t="shared" si="0"/>
        <v>324.95</v>
      </c>
      <c r="C66" s="98">
        <f t="shared" si="1"/>
        <v>209.39</v>
      </c>
      <c r="D66" s="98">
        <f t="shared" si="2"/>
        <v>115.56</v>
      </c>
      <c r="E66" s="98">
        <f t="shared" si="3"/>
        <v>71675.509999999995</v>
      </c>
      <c r="F66" s="115">
        <f t="shared" si="4"/>
        <v>97.49</v>
      </c>
      <c r="G66" s="115">
        <f t="shared" si="5"/>
        <v>227.45999999999998</v>
      </c>
      <c r="I66" s="38">
        <v>30</v>
      </c>
      <c r="J66" s="115">
        <f t="shared" si="6"/>
        <v>397.53999999999996</v>
      </c>
      <c r="K66" s="115">
        <f t="shared" si="7"/>
        <v>202.23</v>
      </c>
      <c r="L66" s="115">
        <f t="shared" si="8"/>
        <v>195.31</v>
      </c>
      <c r="M66" s="115">
        <f t="shared" si="9"/>
        <v>69140.70000000007</v>
      </c>
      <c r="N66" s="115">
        <f t="shared" si="10"/>
        <v>119.26</v>
      </c>
      <c r="O66" s="115">
        <f t="shared" si="11"/>
        <v>278.27999999999997</v>
      </c>
    </row>
    <row r="67" spans="1:15" ht="14.25" customHeight="1" x14ac:dyDescent="0.35">
      <c r="A67" s="7">
        <v>31</v>
      </c>
      <c r="B67" s="98">
        <f t="shared" si="0"/>
        <v>324.95</v>
      </c>
      <c r="C67" s="98">
        <f t="shared" si="1"/>
        <v>209.05</v>
      </c>
      <c r="D67" s="98">
        <f t="shared" si="2"/>
        <v>115.89999999999998</v>
      </c>
      <c r="E67" s="98">
        <f t="shared" si="3"/>
        <v>71559.61</v>
      </c>
      <c r="F67" s="115">
        <f t="shared" si="4"/>
        <v>97.49</v>
      </c>
      <c r="G67" s="115">
        <f t="shared" si="5"/>
        <v>227.45999999999998</v>
      </c>
      <c r="I67" s="38">
        <v>31</v>
      </c>
      <c r="J67" s="115">
        <f t="shared" si="6"/>
        <v>396.97</v>
      </c>
      <c r="K67" s="115">
        <f t="shared" si="7"/>
        <v>201.66</v>
      </c>
      <c r="L67" s="115">
        <f t="shared" si="8"/>
        <v>195.31</v>
      </c>
      <c r="M67" s="115">
        <f t="shared" si="9"/>
        <v>68945.390000000072</v>
      </c>
      <c r="N67" s="115">
        <f t="shared" si="10"/>
        <v>119.09</v>
      </c>
      <c r="O67" s="115">
        <f t="shared" si="11"/>
        <v>277.88</v>
      </c>
    </row>
    <row r="68" spans="1:15" ht="14.25" customHeight="1" x14ac:dyDescent="0.35">
      <c r="A68" s="7">
        <v>32</v>
      </c>
      <c r="B68" s="98">
        <f t="shared" si="0"/>
        <v>324.95</v>
      </c>
      <c r="C68" s="98">
        <f t="shared" si="1"/>
        <v>208.72</v>
      </c>
      <c r="D68" s="98">
        <f t="shared" si="2"/>
        <v>116.22999999999999</v>
      </c>
      <c r="E68" s="98">
        <f t="shared" si="3"/>
        <v>71443.38</v>
      </c>
      <c r="F68" s="115">
        <f t="shared" si="4"/>
        <v>97.49</v>
      </c>
      <c r="G68" s="115">
        <f t="shared" si="5"/>
        <v>227.45999999999998</v>
      </c>
      <c r="I68" s="38">
        <v>32</v>
      </c>
      <c r="J68" s="115">
        <f t="shared" si="6"/>
        <v>396.4</v>
      </c>
      <c r="K68" s="115">
        <f t="shared" si="7"/>
        <v>201.09</v>
      </c>
      <c r="L68" s="115">
        <f t="shared" si="8"/>
        <v>195.31</v>
      </c>
      <c r="M68" s="115">
        <f t="shared" si="9"/>
        <v>68750.080000000075</v>
      </c>
      <c r="N68" s="115">
        <f t="shared" si="10"/>
        <v>118.92</v>
      </c>
      <c r="O68" s="115">
        <f t="shared" si="11"/>
        <v>277.47999999999996</v>
      </c>
    </row>
    <row r="69" spans="1:15" ht="14.25" customHeight="1" x14ac:dyDescent="0.35">
      <c r="A69" s="7">
        <v>33</v>
      </c>
      <c r="B69" s="98">
        <f t="shared" si="0"/>
        <v>324.95</v>
      </c>
      <c r="C69" s="98">
        <f t="shared" si="1"/>
        <v>208.38</v>
      </c>
      <c r="D69" s="98">
        <f t="shared" si="2"/>
        <v>116.57</v>
      </c>
      <c r="E69" s="98">
        <f t="shared" si="3"/>
        <v>71326.81</v>
      </c>
      <c r="F69" s="115">
        <f t="shared" si="4"/>
        <v>97.49</v>
      </c>
      <c r="G69" s="115">
        <f t="shared" si="5"/>
        <v>227.45999999999998</v>
      </c>
      <c r="I69" s="38">
        <v>33</v>
      </c>
      <c r="J69" s="115">
        <f t="shared" si="6"/>
        <v>395.83000000000004</v>
      </c>
      <c r="K69" s="115">
        <f t="shared" si="7"/>
        <v>200.52</v>
      </c>
      <c r="L69" s="115">
        <f t="shared" si="8"/>
        <v>195.31</v>
      </c>
      <c r="M69" s="115">
        <f t="shared" si="9"/>
        <v>68554.770000000077</v>
      </c>
      <c r="N69" s="115">
        <f t="shared" si="10"/>
        <v>118.75</v>
      </c>
      <c r="O69" s="115">
        <f t="shared" si="11"/>
        <v>277.08000000000004</v>
      </c>
    </row>
    <row r="70" spans="1:15" ht="14.25" customHeight="1" x14ac:dyDescent="0.35">
      <c r="A70" s="7">
        <v>34</v>
      </c>
      <c r="B70" s="98">
        <f t="shared" si="0"/>
        <v>324.95</v>
      </c>
      <c r="C70" s="98">
        <f t="shared" si="1"/>
        <v>208.04</v>
      </c>
      <c r="D70" s="98">
        <f t="shared" si="2"/>
        <v>116.91</v>
      </c>
      <c r="E70" s="98">
        <f t="shared" si="3"/>
        <v>71209.899999999994</v>
      </c>
      <c r="F70" s="115">
        <f t="shared" si="4"/>
        <v>97.49</v>
      </c>
      <c r="G70" s="115">
        <f t="shared" si="5"/>
        <v>227.45999999999998</v>
      </c>
      <c r="I70" s="38">
        <v>34</v>
      </c>
      <c r="J70" s="115">
        <f t="shared" si="6"/>
        <v>395.26</v>
      </c>
      <c r="K70" s="115">
        <f t="shared" si="7"/>
        <v>199.95</v>
      </c>
      <c r="L70" s="115">
        <f t="shared" si="8"/>
        <v>195.31</v>
      </c>
      <c r="M70" s="115">
        <f t="shared" si="9"/>
        <v>68359.460000000079</v>
      </c>
      <c r="N70" s="115">
        <f t="shared" si="10"/>
        <v>118.58</v>
      </c>
      <c r="O70" s="115">
        <f t="shared" si="11"/>
        <v>276.68</v>
      </c>
    </row>
    <row r="71" spans="1:15" ht="14.25" customHeight="1" x14ac:dyDescent="0.35">
      <c r="A71" s="7">
        <v>35</v>
      </c>
      <c r="B71" s="98">
        <f t="shared" si="0"/>
        <v>324.95</v>
      </c>
      <c r="C71" s="98">
        <f t="shared" si="1"/>
        <v>207.7</v>
      </c>
      <c r="D71" s="98">
        <f t="shared" si="2"/>
        <v>117.25</v>
      </c>
      <c r="E71" s="98">
        <f t="shared" si="3"/>
        <v>71092.649999999994</v>
      </c>
      <c r="F71" s="115">
        <f t="shared" si="4"/>
        <v>97.49</v>
      </c>
      <c r="G71" s="115">
        <f t="shared" si="5"/>
        <v>227.45999999999998</v>
      </c>
      <c r="I71" s="38">
        <v>35</v>
      </c>
      <c r="J71" s="115">
        <f t="shared" si="6"/>
        <v>394.69</v>
      </c>
      <c r="K71" s="115">
        <f t="shared" si="7"/>
        <v>199.38</v>
      </c>
      <c r="L71" s="115">
        <f t="shared" si="8"/>
        <v>195.31</v>
      </c>
      <c r="M71" s="115">
        <f t="shared" si="9"/>
        <v>68164.150000000081</v>
      </c>
      <c r="N71" s="115">
        <f t="shared" si="10"/>
        <v>118.41</v>
      </c>
      <c r="O71" s="115">
        <f t="shared" si="11"/>
        <v>276.27999999999997</v>
      </c>
    </row>
    <row r="72" spans="1:15" ht="14.25" customHeight="1" x14ac:dyDescent="0.35">
      <c r="A72" s="7">
        <v>36</v>
      </c>
      <c r="B72" s="98">
        <f t="shared" si="0"/>
        <v>324.95</v>
      </c>
      <c r="C72" s="98">
        <f t="shared" si="1"/>
        <v>207.35</v>
      </c>
      <c r="D72" s="98">
        <f t="shared" si="2"/>
        <v>117.6</v>
      </c>
      <c r="E72" s="98">
        <f t="shared" si="3"/>
        <v>70975.049999999988</v>
      </c>
      <c r="F72" s="115">
        <f t="shared" si="4"/>
        <v>97.49</v>
      </c>
      <c r="G72" s="115">
        <f t="shared" si="5"/>
        <v>227.45999999999998</v>
      </c>
      <c r="I72" s="38">
        <v>36</v>
      </c>
      <c r="J72" s="115">
        <f t="shared" si="6"/>
        <v>394.12</v>
      </c>
      <c r="K72" s="115">
        <f t="shared" si="7"/>
        <v>198.81</v>
      </c>
      <c r="L72" s="115">
        <f t="shared" si="8"/>
        <v>195.31</v>
      </c>
      <c r="M72" s="115">
        <f t="shared" si="9"/>
        <v>67968.840000000084</v>
      </c>
      <c r="N72" s="115">
        <f t="shared" si="10"/>
        <v>118.24</v>
      </c>
      <c r="O72" s="115">
        <f t="shared" si="11"/>
        <v>275.88</v>
      </c>
    </row>
    <row r="73" spans="1:15" ht="14.25" customHeight="1" x14ac:dyDescent="0.35">
      <c r="A73" s="7">
        <v>37</v>
      </c>
      <c r="B73" s="98">
        <f t="shared" si="0"/>
        <v>324.95</v>
      </c>
      <c r="C73" s="98">
        <f t="shared" si="1"/>
        <v>207.01</v>
      </c>
      <c r="D73" s="98">
        <f t="shared" si="2"/>
        <v>117.94</v>
      </c>
      <c r="E73" s="98">
        <f t="shared" si="3"/>
        <v>70857.109999999986</v>
      </c>
      <c r="F73" s="115">
        <f t="shared" si="4"/>
        <v>97.49</v>
      </c>
      <c r="G73" s="115">
        <f t="shared" si="5"/>
        <v>227.45999999999998</v>
      </c>
      <c r="I73" s="38">
        <v>37</v>
      </c>
      <c r="J73" s="115">
        <f t="shared" si="6"/>
        <v>393.55</v>
      </c>
      <c r="K73" s="115">
        <f t="shared" si="7"/>
        <v>198.24</v>
      </c>
      <c r="L73" s="115">
        <f t="shared" si="8"/>
        <v>195.31</v>
      </c>
      <c r="M73" s="115">
        <f t="shared" si="9"/>
        <v>67773.530000000086</v>
      </c>
      <c r="N73" s="115">
        <f t="shared" si="10"/>
        <v>118.07</v>
      </c>
      <c r="O73" s="115">
        <f t="shared" si="11"/>
        <v>275.48</v>
      </c>
    </row>
    <row r="74" spans="1:15" ht="14.25" customHeight="1" x14ac:dyDescent="0.35">
      <c r="A74" s="7">
        <v>38</v>
      </c>
      <c r="B74" s="98">
        <f t="shared" si="0"/>
        <v>324.95</v>
      </c>
      <c r="C74" s="98">
        <f t="shared" si="1"/>
        <v>206.67</v>
      </c>
      <c r="D74" s="98">
        <f t="shared" si="2"/>
        <v>118.28</v>
      </c>
      <c r="E74" s="98">
        <f t="shared" si="3"/>
        <v>70738.829999999987</v>
      </c>
      <c r="F74" s="115">
        <f t="shared" si="4"/>
        <v>97.49</v>
      </c>
      <c r="G74" s="115">
        <f t="shared" si="5"/>
        <v>227.45999999999998</v>
      </c>
      <c r="I74" s="38">
        <v>38</v>
      </c>
      <c r="J74" s="115">
        <f t="shared" si="6"/>
        <v>392.98</v>
      </c>
      <c r="K74" s="115">
        <f t="shared" si="7"/>
        <v>197.67</v>
      </c>
      <c r="L74" s="115">
        <f t="shared" si="8"/>
        <v>195.31</v>
      </c>
      <c r="M74" s="115">
        <f t="shared" si="9"/>
        <v>67578.220000000088</v>
      </c>
      <c r="N74" s="115">
        <f t="shared" si="10"/>
        <v>117.89</v>
      </c>
      <c r="O74" s="115">
        <f t="shared" si="11"/>
        <v>275.09000000000003</v>
      </c>
    </row>
    <row r="75" spans="1:15" ht="14.25" customHeight="1" x14ac:dyDescent="0.35">
      <c r="A75" s="7">
        <v>39</v>
      </c>
      <c r="B75" s="98">
        <f t="shared" si="0"/>
        <v>324.95</v>
      </c>
      <c r="C75" s="98">
        <f t="shared" si="1"/>
        <v>206.32</v>
      </c>
      <c r="D75" s="98">
        <f t="shared" si="2"/>
        <v>118.63</v>
      </c>
      <c r="E75" s="98">
        <f t="shared" si="3"/>
        <v>70620.199999999983</v>
      </c>
      <c r="F75" s="115">
        <f t="shared" si="4"/>
        <v>97.49</v>
      </c>
      <c r="G75" s="115">
        <f t="shared" si="5"/>
        <v>227.45999999999998</v>
      </c>
      <c r="I75" s="38">
        <v>39</v>
      </c>
      <c r="J75" s="115">
        <f t="shared" si="6"/>
        <v>392.40999999999997</v>
      </c>
      <c r="K75" s="115">
        <f t="shared" si="7"/>
        <v>197.1</v>
      </c>
      <c r="L75" s="115">
        <f t="shared" si="8"/>
        <v>195.31</v>
      </c>
      <c r="M75" s="115">
        <f t="shared" si="9"/>
        <v>67382.910000000091</v>
      </c>
      <c r="N75" s="115">
        <f t="shared" si="10"/>
        <v>117.72</v>
      </c>
      <c r="O75" s="115">
        <f t="shared" si="11"/>
        <v>274.68999999999994</v>
      </c>
    </row>
    <row r="76" spans="1:15" ht="14.25" customHeight="1" x14ac:dyDescent="0.35">
      <c r="A76" s="7">
        <v>40</v>
      </c>
      <c r="B76" s="98">
        <f t="shared" si="0"/>
        <v>324.95</v>
      </c>
      <c r="C76" s="98">
        <f t="shared" si="1"/>
        <v>205.98</v>
      </c>
      <c r="D76" s="98">
        <f t="shared" si="2"/>
        <v>118.97</v>
      </c>
      <c r="E76" s="98">
        <f t="shared" si="3"/>
        <v>70501.229999999981</v>
      </c>
      <c r="F76" s="115">
        <f t="shared" si="4"/>
        <v>97.49</v>
      </c>
      <c r="G76" s="115">
        <f t="shared" si="5"/>
        <v>227.45999999999998</v>
      </c>
      <c r="I76" s="38">
        <v>40</v>
      </c>
      <c r="J76" s="115">
        <f t="shared" si="6"/>
        <v>391.84000000000003</v>
      </c>
      <c r="K76" s="115">
        <f t="shared" si="7"/>
        <v>196.53</v>
      </c>
      <c r="L76" s="115">
        <f t="shared" si="8"/>
        <v>195.31</v>
      </c>
      <c r="M76" s="115">
        <f t="shared" si="9"/>
        <v>67187.600000000093</v>
      </c>
      <c r="N76" s="115">
        <f t="shared" si="10"/>
        <v>117.55</v>
      </c>
      <c r="O76" s="115">
        <f t="shared" si="11"/>
        <v>274.29000000000002</v>
      </c>
    </row>
    <row r="77" spans="1:15" ht="14.25" customHeight="1" x14ac:dyDescent="0.35">
      <c r="A77" s="7">
        <v>41</v>
      </c>
      <c r="B77" s="98">
        <f t="shared" si="0"/>
        <v>324.95</v>
      </c>
      <c r="C77" s="98">
        <f t="shared" si="1"/>
        <v>205.63</v>
      </c>
      <c r="D77" s="98">
        <f t="shared" si="2"/>
        <v>119.32</v>
      </c>
      <c r="E77" s="98">
        <f t="shared" si="3"/>
        <v>70381.909999999974</v>
      </c>
      <c r="F77" s="115">
        <f t="shared" si="4"/>
        <v>97.49</v>
      </c>
      <c r="G77" s="115">
        <f t="shared" si="5"/>
        <v>227.45999999999998</v>
      </c>
      <c r="I77" s="38">
        <v>41</v>
      </c>
      <c r="J77" s="115">
        <f t="shared" si="6"/>
        <v>391.27</v>
      </c>
      <c r="K77" s="115">
        <f t="shared" si="7"/>
        <v>195.96</v>
      </c>
      <c r="L77" s="115">
        <f t="shared" si="8"/>
        <v>195.31</v>
      </c>
      <c r="M77" s="115">
        <f t="shared" si="9"/>
        <v>66992.290000000095</v>
      </c>
      <c r="N77" s="115">
        <f t="shared" si="10"/>
        <v>117.38</v>
      </c>
      <c r="O77" s="115">
        <f t="shared" si="11"/>
        <v>273.89</v>
      </c>
    </row>
    <row r="78" spans="1:15" ht="14.25" customHeight="1" x14ac:dyDescent="0.35">
      <c r="A78" s="7">
        <v>42</v>
      </c>
      <c r="B78" s="98">
        <f t="shared" si="0"/>
        <v>324.95</v>
      </c>
      <c r="C78" s="98">
        <f t="shared" si="1"/>
        <v>205.28</v>
      </c>
      <c r="D78" s="98">
        <f t="shared" si="2"/>
        <v>119.66999999999999</v>
      </c>
      <c r="E78" s="98">
        <f t="shared" si="3"/>
        <v>70262.239999999976</v>
      </c>
      <c r="F78" s="115">
        <f t="shared" si="4"/>
        <v>97.49</v>
      </c>
      <c r="G78" s="115">
        <f t="shared" si="5"/>
        <v>227.45999999999998</v>
      </c>
      <c r="I78" s="38">
        <v>42</v>
      </c>
      <c r="J78" s="115">
        <f t="shared" si="6"/>
        <v>390.7</v>
      </c>
      <c r="K78" s="115">
        <f t="shared" si="7"/>
        <v>195.39</v>
      </c>
      <c r="L78" s="115">
        <f t="shared" si="8"/>
        <v>195.31</v>
      </c>
      <c r="M78" s="115">
        <f t="shared" si="9"/>
        <v>66796.980000000098</v>
      </c>
      <c r="N78" s="115">
        <f t="shared" si="10"/>
        <v>117.21</v>
      </c>
      <c r="O78" s="115">
        <f t="shared" si="11"/>
        <v>273.49</v>
      </c>
    </row>
    <row r="79" spans="1:15" ht="14.25" customHeight="1" x14ac:dyDescent="0.35">
      <c r="A79" s="7">
        <v>43</v>
      </c>
      <c r="B79" s="98">
        <f t="shared" si="0"/>
        <v>324.95</v>
      </c>
      <c r="C79" s="98">
        <f t="shared" si="1"/>
        <v>204.93</v>
      </c>
      <c r="D79" s="98">
        <f t="shared" si="2"/>
        <v>120.01999999999998</v>
      </c>
      <c r="E79" s="98">
        <f t="shared" si="3"/>
        <v>70142.219999999972</v>
      </c>
      <c r="F79" s="115">
        <f t="shared" si="4"/>
        <v>97.49</v>
      </c>
      <c r="G79" s="115">
        <f t="shared" si="5"/>
        <v>227.45999999999998</v>
      </c>
      <c r="I79" s="38">
        <v>43</v>
      </c>
      <c r="J79" s="115">
        <f t="shared" si="6"/>
        <v>390.13</v>
      </c>
      <c r="K79" s="115">
        <f t="shared" si="7"/>
        <v>194.82</v>
      </c>
      <c r="L79" s="115">
        <f t="shared" si="8"/>
        <v>195.31</v>
      </c>
      <c r="M79" s="115">
        <f t="shared" si="9"/>
        <v>66601.6700000001</v>
      </c>
      <c r="N79" s="115">
        <f t="shared" si="10"/>
        <v>117.04</v>
      </c>
      <c r="O79" s="115">
        <f t="shared" si="11"/>
        <v>273.08999999999997</v>
      </c>
    </row>
    <row r="80" spans="1:15" ht="14.25" customHeight="1" x14ac:dyDescent="0.35">
      <c r="A80" s="7">
        <v>44</v>
      </c>
      <c r="B80" s="98">
        <f t="shared" si="0"/>
        <v>324.95</v>
      </c>
      <c r="C80" s="98">
        <f t="shared" si="1"/>
        <v>204.58</v>
      </c>
      <c r="D80" s="98">
        <f t="shared" si="2"/>
        <v>120.36999999999998</v>
      </c>
      <c r="E80" s="98">
        <f t="shared" si="3"/>
        <v>70021.849999999977</v>
      </c>
      <c r="F80" s="115">
        <f t="shared" si="4"/>
        <v>97.49</v>
      </c>
      <c r="G80" s="115">
        <f t="shared" si="5"/>
        <v>227.45999999999998</v>
      </c>
      <c r="I80" s="38">
        <v>44</v>
      </c>
      <c r="J80" s="115">
        <f t="shared" si="6"/>
        <v>389.56</v>
      </c>
      <c r="K80" s="115">
        <f t="shared" si="7"/>
        <v>194.25</v>
      </c>
      <c r="L80" s="115">
        <f t="shared" si="8"/>
        <v>195.31</v>
      </c>
      <c r="M80" s="115">
        <f t="shared" si="9"/>
        <v>66406.360000000102</v>
      </c>
      <c r="N80" s="115">
        <f t="shared" si="10"/>
        <v>116.87</v>
      </c>
      <c r="O80" s="115">
        <f t="shared" si="11"/>
        <v>272.69</v>
      </c>
    </row>
    <row r="81" spans="1:15" ht="14.25" customHeight="1" x14ac:dyDescent="0.35">
      <c r="A81" s="7">
        <v>45</v>
      </c>
      <c r="B81" s="98">
        <f t="shared" si="0"/>
        <v>324.95</v>
      </c>
      <c r="C81" s="98">
        <f t="shared" si="1"/>
        <v>204.23</v>
      </c>
      <c r="D81" s="98">
        <f t="shared" si="2"/>
        <v>120.72</v>
      </c>
      <c r="E81" s="98">
        <f t="shared" si="3"/>
        <v>69901.129999999976</v>
      </c>
      <c r="F81" s="115">
        <f t="shared" si="4"/>
        <v>97.49</v>
      </c>
      <c r="G81" s="115">
        <f t="shared" si="5"/>
        <v>227.45999999999998</v>
      </c>
      <c r="I81" s="38">
        <v>45</v>
      </c>
      <c r="J81" s="115">
        <f t="shared" si="6"/>
        <v>389</v>
      </c>
      <c r="K81" s="115">
        <f t="shared" si="7"/>
        <v>193.69</v>
      </c>
      <c r="L81" s="115">
        <f t="shared" si="8"/>
        <v>195.31</v>
      </c>
      <c r="M81" s="115">
        <f t="shared" si="9"/>
        <v>66211.050000000105</v>
      </c>
      <c r="N81" s="115">
        <f t="shared" si="10"/>
        <v>116.7</v>
      </c>
      <c r="O81" s="115">
        <f t="shared" si="11"/>
        <v>272.3</v>
      </c>
    </row>
    <row r="82" spans="1:15" ht="14.25" customHeight="1" x14ac:dyDescent="0.35">
      <c r="A82" s="7">
        <v>46</v>
      </c>
      <c r="B82" s="98">
        <f t="shared" si="0"/>
        <v>324.95</v>
      </c>
      <c r="C82" s="98">
        <f t="shared" si="1"/>
        <v>203.88</v>
      </c>
      <c r="D82" s="98">
        <f t="shared" si="2"/>
        <v>121.07</v>
      </c>
      <c r="E82" s="98">
        <f t="shared" si="3"/>
        <v>69780.059999999969</v>
      </c>
      <c r="F82" s="115">
        <f t="shared" si="4"/>
        <v>97.49</v>
      </c>
      <c r="G82" s="115">
        <f t="shared" si="5"/>
        <v>227.45999999999998</v>
      </c>
      <c r="I82" s="38">
        <v>46</v>
      </c>
      <c r="J82" s="115">
        <f t="shared" si="6"/>
        <v>388.43</v>
      </c>
      <c r="K82" s="115">
        <f t="shared" si="7"/>
        <v>193.12</v>
      </c>
      <c r="L82" s="115">
        <f t="shared" si="8"/>
        <v>195.31</v>
      </c>
      <c r="M82" s="115">
        <f t="shared" si="9"/>
        <v>66015.740000000107</v>
      </c>
      <c r="N82" s="115">
        <f t="shared" si="10"/>
        <v>116.53</v>
      </c>
      <c r="O82" s="115">
        <f t="shared" si="11"/>
        <v>271.89999999999998</v>
      </c>
    </row>
    <row r="83" spans="1:15" ht="14.25" customHeight="1" x14ac:dyDescent="0.35">
      <c r="A83" s="7">
        <v>47</v>
      </c>
      <c r="B83" s="98">
        <f t="shared" si="0"/>
        <v>324.95</v>
      </c>
      <c r="C83" s="98">
        <f t="shared" si="1"/>
        <v>203.53</v>
      </c>
      <c r="D83" s="98">
        <f t="shared" si="2"/>
        <v>121.41999999999999</v>
      </c>
      <c r="E83" s="98">
        <f t="shared" si="3"/>
        <v>69658.63999999997</v>
      </c>
      <c r="F83" s="115">
        <f t="shared" si="4"/>
        <v>97.49</v>
      </c>
      <c r="G83" s="115">
        <f t="shared" si="5"/>
        <v>227.45999999999998</v>
      </c>
      <c r="I83" s="38">
        <v>47</v>
      </c>
      <c r="J83" s="115">
        <f t="shared" si="6"/>
        <v>387.86</v>
      </c>
      <c r="K83" s="115">
        <f t="shared" si="7"/>
        <v>192.55</v>
      </c>
      <c r="L83" s="115">
        <f t="shared" si="8"/>
        <v>195.31</v>
      </c>
      <c r="M83" s="115">
        <f t="shared" si="9"/>
        <v>65820.430000000109</v>
      </c>
      <c r="N83" s="115">
        <f t="shared" si="10"/>
        <v>116.36</v>
      </c>
      <c r="O83" s="115">
        <f t="shared" si="11"/>
        <v>271.5</v>
      </c>
    </row>
    <row r="84" spans="1:15" ht="14.25" customHeight="1" x14ac:dyDescent="0.35">
      <c r="A84" s="7">
        <v>48</v>
      </c>
      <c r="B84" s="98">
        <f t="shared" si="0"/>
        <v>324.95</v>
      </c>
      <c r="C84" s="98">
        <f t="shared" si="1"/>
        <v>203.17</v>
      </c>
      <c r="D84" s="98">
        <f t="shared" si="2"/>
        <v>121.78</v>
      </c>
      <c r="E84" s="98">
        <f t="shared" si="3"/>
        <v>69536.859999999971</v>
      </c>
      <c r="F84" s="115">
        <f t="shared" si="4"/>
        <v>97.49</v>
      </c>
      <c r="G84" s="115">
        <f t="shared" si="5"/>
        <v>227.45999999999998</v>
      </c>
      <c r="I84" s="38">
        <v>48</v>
      </c>
      <c r="J84" s="115">
        <f t="shared" si="6"/>
        <v>387.28999999999996</v>
      </c>
      <c r="K84" s="115">
        <f t="shared" si="7"/>
        <v>191.98</v>
      </c>
      <c r="L84" s="115">
        <f t="shared" si="8"/>
        <v>195.31</v>
      </c>
      <c r="M84" s="115">
        <f t="shared" si="9"/>
        <v>65625.120000000112</v>
      </c>
      <c r="N84" s="115">
        <f t="shared" si="10"/>
        <v>116.19</v>
      </c>
      <c r="O84" s="115">
        <f t="shared" si="11"/>
        <v>271.09999999999997</v>
      </c>
    </row>
    <row r="85" spans="1:15" ht="14.25" customHeight="1" x14ac:dyDescent="0.35">
      <c r="A85" s="7">
        <v>49</v>
      </c>
      <c r="B85" s="98">
        <f t="shared" si="0"/>
        <v>324.95</v>
      </c>
      <c r="C85" s="98">
        <f t="shared" si="1"/>
        <v>202.82</v>
      </c>
      <c r="D85" s="98">
        <f t="shared" si="2"/>
        <v>122.13</v>
      </c>
      <c r="E85" s="98">
        <f t="shared" si="3"/>
        <v>69414.729999999967</v>
      </c>
      <c r="F85" s="115">
        <f t="shared" si="4"/>
        <v>97.49</v>
      </c>
      <c r="G85" s="115">
        <f t="shared" si="5"/>
        <v>227.45999999999998</v>
      </c>
      <c r="I85" s="38">
        <v>49</v>
      </c>
      <c r="J85" s="115">
        <f t="shared" si="6"/>
        <v>386.72</v>
      </c>
      <c r="K85" s="115">
        <f t="shared" si="7"/>
        <v>191.41</v>
      </c>
      <c r="L85" s="115">
        <f t="shared" si="8"/>
        <v>195.31</v>
      </c>
      <c r="M85" s="115">
        <f t="shared" si="9"/>
        <v>65429.810000000114</v>
      </c>
      <c r="N85" s="115">
        <f t="shared" si="10"/>
        <v>116.02</v>
      </c>
      <c r="O85" s="115">
        <f t="shared" si="11"/>
        <v>270.70000000000005</v>
      </c>
    </row>
    <row r="86" spans="1:15" ht="14.25" customHeight="1" x14ac:dyDescent="0.35">
      <c r="A86" s="7">
        <v>50</v>
      </c>
      <c r="B86" s="98">
        <f t="shared" si="0"/>
        <v>324.95</v>
      </c>
      <c r="C86" s="98">
        <f t="shared" si="1"/>
        <v>202.46</v>
      </c>
      <c r="D86" s="98">
        <f t="shared" si="2"/>
        <v>122.48999999999998</v>
      </c>
      <c r="E86" s="98">
        <f t="shared" si="3"/>
        <v>69292.239999999962</v>
      </c>
      <c r="F86" s="115">
        <f t="shared" si="4"/>
        <v>97.49</v>
      </c>
      <c r="G86" s="115">
        <f t="shared" si="5"/>
        <v>227.45999999999998</v>
      </c>
      <c r="I86" s="38">
        <v>50</v>
      </c>
      <c r="J86" s="115">
        <f t="shared" si="6"/>
        <v>386.15</v>
      </c>
      <c r="K86" s="115">
        <f t="shared" si="7"/>
        <v>190.84</v>
      </c>
      <c r="L86" s="115">
        <f t="shared" si="8"/>
        <v>195.31</v>
      </c>
      <c r="M86" s="115">
        <f t="shared" si="9"/>
        <v>65234.500000000116</v>
      </c>
      <c r="N86" s="115">
        <f t="shared" si="10"/>
        <v>115.85</v>
      </c>
      <c r="O86" s="115">
        <f t="shared" si="11"/>
        <v>270.29999999999995</v>
      </c>
    </row>
    <row r="87" spans="1:15" ht="14.25" customHeight="1" x14ac:dyDescent="0.35">
      <c r="A87" s="7">
        <v>51</v>
      </c>
      <c r="B87" s="98">
        <f t="shared" si="0"/>
        <v>324.95</v>
      </c>
      <c r="C87" s="98">
        <f t="shared" si="1"/>
        <v>202.1</v>
      </c>
      <c r="D87" s="98">
        <f t="shared" si="2"/>
        <v>122.85</v>
      </c>
      <c r="E87" s="98">
        <f t="shared" si="3"/>
        <v>69169.389999999956</v>
      </c>
      <c r="F87" s="115">
        <f t="shared" si="4"/>
        <v>97.49</v>
      </c>
      <c r="G87" s="115">
        <f t="shared" si="5"/>
        <v>227.45999999999998</v>
      </c>
      <c r="I87" s="38">
        <v>51</v>
      </c>
      <c r="J87" s="115">
        <f t="shared" si="6"/>
        <v>385.58000000000004</v>
      </c>
      <c r="K87" s="115">
        <f t="shared" si="7"/>
        <v>190.27</v>
      </c>
      <c r="L87" s="115">
        <f t="shared" si="8"/>
        <v>195.31</v>
      </c>
      <c r="M87" s="115">
        <f t="shared" si="9"/>
        <v>65039.190000000119</v>
      </c>
      <c r="N87" s="115">
        <f t="shared" si="10"/>
        <v>115.67</v>
      </c>
      <c r="O87" s="115">
        <f t="shared" si="11"/>
        <v>269.91000000000003</v>
      </c>
    </row>
    <row r="88" spans="1:15" ht="14.25" customHeight="1" x14ac:dyDescent="0.35">
      <c r="A88" s="7">
        <v>52</v>
      </c>
      <c r="B88" s="98">
        <f t="shared" si="0"/>
        <v>324.95</v>
      </c>
      <c r="C88" s="98">
        <f t="shared" si="1"/>
        <v>201.74</v>
      </c>
      <c r="D88" s="98">
        <f t="shared" si="2"/>
        <v>123.20999999999998</v>
      </c>
      <c r="E88" s="98">
        <f t="shared" si="3"/>
        <v>69046.179999999949</v>
      </c>
      <c r="F88" s="115">
        <f t="shared" si="4"/>
        <v>97.49</v>
      </c>
      <c r="G88" s="115">
        <f t="shared" si="5"/>
        <v>227.45999999999998</v>
      </c>
      <c r="I88" s="38">
        <v>52</v>
      </c>
      <c r="J88" s="115">
        <f t="shared" si="6"/>
        <v>385.01</v>
      </c>
      <c r="K88" s="115">
        <f t="shared" si="7"/>
        <v>189.7</v>
      </c>
      <c r="L88" s="115">
        <f t="shared" si="8"/>
        <v>195.31</v>
      </c>
      <c r="M88" s="115">
        <f t="shared" si="9"/>
        <v>64843.880000000121</v>
      </c>
      <c r="N88" s="115">
        <f t="shared" si="10"/>
        <v>115.5</v>
      </c>
      <c r="O88" s="115">
        <f t="shared" si="11"/>
        <v>269.51</v>
      </c>
    </row>
    <row r="89" spans="1:15" ht="14.25" customHeight="1" x14ac:dyDescent="0.35">
      <c r="A89" s="7">
        <v>53</v>
      </c>
      <c r="B89" s="98">
        <f t="shared" si="0"/>
        <v>324.95</v>
      </c>
      <c r="C89" s="98">
        <f t="shared" si="1"/>
        <v>201.38</v>
      </c>
      <c r="D89" s="98">
        <f t="shared" si="2"/>
        <v>123.57</v>
      </c>
      <c r="E89" s="98">
        <f t="shared" si="3"/>
        <v>68922.609999999942</v>
      </c>
      <c r="F89" s="115">
        <f t="shared" si="4"/>
        <v>97.49</v>
      </c>
      <c r="G89" s="115">
        <f t="shared" si="5"/>
        <v>227.45999999999998</v>
      </c>
      <c r="I89" s="38">
        <v>53</v>
      </c>
      <c r="J89" s="115">
        <f t="shared" si="6"/>
        <v>384.44</v>
      </c>
      <c r="K89" s="115">
        <f t="shared" si="7"/>
        <v>189.13</v>
      </c>
      <c r="L89" s="115">
        <f t="shared" si="8"/>
        <v>195.31</v>
      </c>
      <c r="M89" s="115">
        <f t="shared" si="9"/>
        <v>64648.570000000123</v>
      </c>
      <c r="N89" s="115">
        <f t="shared" si="10"/>
        <v>115.33</v>
      </c>
      <c r="O89" s="115">
        <f t="shared" si="11"/>
        <v>269.11</v>
      </c>
    </row>
    <row r="90" spans="1:15" ht="14.25" customHeight="1" x14ac:dyDescent="0.35">
      <c r="A90" s="7">
        <v>54</v>
      </c>
      <c r="B90" s="98">
        <f t="shared" si="0"/>
        <v>324.95</v>
      </c>
      <c r="C90" s="98">
        <f t="shared" si="1"/>
        <v>201.02</v>
      </c>
      <c r="D90" s="98">
        <f t="shared" si="2"/>
        <v>123.92999999999998</v>
      </c>
      <c r="E90" s="98">
        <f t="shared" si="3"/>
        <v>68798.679999999949</v>
      </c>
      <c r="F90" s="115">
        <f t="shared" si="4"/>
        <v>97.49</v>
      </c>
      <c r="G90" s="115">
        <f t="shared" si="5"/>
        <v>227.45999999999998</v>
      </c>
      <c r="I90" s="38">
        <v>54</v>
      </c>
      <c r="J90" s="115">
        <f t="shared" si="6"/>
        <v>383.87</v>
      </c>
      <c r="K90" s="115">
        <f t="shared" si="7"/>
        <v>188.56</v>
      </c>
      <c r="L90" s="115">
        <f t="shared" si="8"/>
        <v>195.31</v>
      </c>
      <c r="M90" s="115">
        <f t="shared" si="9"/>
        <v>64453.260000000126</v>
      </c>
      <c r="N90" s="115">
        <f t="shared" si="10"/>
        <v>115.16</v>
      </c>
      <c r="O90" s="115">
        <f t="shared" si="11"/>
        <v>268.71000000000004</v>
      </c>
    </row>
    <row r="91" spans="1:15" ht="14.25" customHeight="1" x14ac:dyDescent="0.35">
      <c r="A91" s="7">
        <v>55</v>
      </c>
      <c r="B91" s="98">
        <f t="shared" si="0"/>
        <v>324.95</v>
      </c>
      <c r="C91" s="98">
        <f t="shared" si="1"/>
        <v>200.66</v>
      </c>
      <c r="D91" s="98">
        <f t="shared" si="2"/>
        <v>124.28999999999999</v>
      </c>
      <c r="E91" s="98">
        <f t="shared" si="3"/>
        <v>68674.389999999956</v>
      </c>
      <c r="F91" s="115">
        <f t="shared" si="4"/>
        <v>97.49</v>
      </c>
      <c r="G91" s="115">
        <f t="shared" si="5"/>
        <v>227.45999999999998</v>
      </c>
      <c r="I91" s="38">
        <v>55</v>
      </c>
      <c r="J91" s="115">
        <f t="shared" si="6"/>
        <v>383.3</v>
      </c>
      <c r="K91" s="115">
        <f t="shared" si="7"/>
        <v>187.99</v>
      </c>
      <c r="L91" s="115">
        <f t="shared" si="8"/>
        <v>195.31</v>
      </c>
      <c r="M91" s="115">
        <f t="shared" si="9"/>
        <v>64257.950000000128</v>
      </c>
      <c r="N91" s="115">
        <f t="shared" si="10"/>
        <v>114.99</v>
      </c>
      <c r="O91" s="115">
        <f t="shared" si="11"/>
        <v>268.31</v>
      </c>
    </row>
    <row r="92" spans="1:15" ht="14.25" customHeight="1" x14ac:dyDescent="0.35">
      <c r="A92" s="7">
        <v>56</v>
      </c>
      <c r="B92" s="98">
        <f t="shared" si="0"/>
        <v>324.95</v>
      </c>
      <c r="C92" s="98">
        <f t="shared" si="1"/>
        <v>200.3</v>
      </c>
      <c r="D92" s="98">
        <f t="shared" si="2"/>
        <v>124.64999999999998</v>
      </c>
      <c r="E92" s="98">
        <f t="shared" si="3"/>
        <v>68549.739999999962</v>
      </c>
      <c r="F92" s="115">
        <f t="shared" si="4"/>
        <v>97.49</v>
      </c>
      <c r="G92" s="115">
        <f t="shared" si="5"/>
        <v>227.45999999999998</v>
      </c>
      <c r="I92" s="38">
        <v>56</v>
      </c>
      <c r="J92" s="115">
        <f t="shared" si="6"/>
        <v>382.73</v>
      </c>
      <c r="K92" s="115">
        <f t="shared" si="7"/>
        <v>187.42</v>
      </c>
      <c r="L92" s="115">
        <f t="shared" si="8"/>
        <v>195.31</v>
      </c>
      <c r="M92" s="115">
        <f t="shared" si="9"/>
        <v>64062.64000000013</v>
      </c>
      <c r="N92" s="115">
        <f t="shared" si="10"/>
        <v>114.82</v>
      </c>
      <c r="O92" s="115">
        <f t="shared" si="11"/>
        <v>267.91000000000003</v>
      </c>
    </row>
    <row r="93" spans="1:15" ht="14.25" customHeight="1" x14ac:dyDescent="0.35">
      <c r="A93" s="7">
        <v>57</v>
      </c>
      <c r="B93" s="98">
        <f t="shared" si="0"/>
        <v>324.95</v>
      </c>
      <c r="C93" s="98">
        <f t="shared" si="1"/>
        <v>199.94</v>
      </c>
      <c r="D93" s="98">
        <f t="shared" si="2"/>
        <v>125.00999999999999</v>
      </c>
      <c r="E93" s="98">
        <f t="shared" si="3"/>
        <v>68424.729999999967</v>
      </c>
      <c r="F93" s="115">
        <f t="shared" si="4"/>
        <v>97.49</v>
      </c>
      <c r="G93" s="115">
        <f t="shared" si="5"/>
        <v>227.45999999999998</v>
      </c>
      <c r="I93" s="38">
        <v>57</v>
      </c>
      <c r="J93" s="115">
        <f t="shared" si="6"/>
        <v>382.15999999999997</v>
      </c>
      <c r="K93" s="115">
        <f t="shared" si="7"/>
        <v>186.85</v>
      </c>
      <c r="L93" s="115">
        <f t="shared" si="8"/>
        <v>195.31</v>
      </c>
      <c r="M93" s="115">
        <f t="shared" si="9"/>
        <v>63867.330000000133</v>
      </c>
      <c r="N93" s="115">
        <f t="shared" si="10"/>
        <v>114.65</v>
      </c>
      <c r="O93" s="115">
        <f t="shared" si="11"/>
        <v>267.51</v>
      </c>
    </row>
    <row r="94" spans="1:15" ht="14.25" customHeight="1" x14ac:dyDescent="0.35">
      <c r="A94" s="7">
        <v>58</v>
      </c>
      <c r="B94" s="98">
        <f t="shared" si="0"/>
        <v>324.95</v>
      </c>
      <c r="C94" s="98">
        <f t="shared" si="1"/>
        <v>199.57</v>
      </c>
      <c r="D94" s="98">
        <f t="shared" si="2"/>
        <v>125.38</v>
      </c>
      <c r="E94" s="98">
        <f t="shared" si="3"/>
        <v>68299.349999999962</v>
      </c>
      <c r="F94" s="115">
        <f t="shared" si="4"/>
        <v>97.49</v>
      </c>
      <c r="G94" s="115">
        <f t="shared" si="5"/>
        <v>227.45999999999998</v>
      </c>
      <c r="I94" s="38">
        <v>58</v>
      </c>
      <c r="J94" s="115">
        <f t="shared" si="6"/>
        <v>381.59000000000003</v>
      </c>
      <c r="K94" s="115">
        <f t="shared" si="7"/>
        <v>186.28</v>
      </c>
      <c r="L94" s="115">
        <f t="shared" si="8"/>
        <v>195.31</v>
      </c>
      <c r="M94" s="115">
        <f t="shared" si="9"/>
        <v>63672.020000000135</v>
      </c>
      <c r="N94" s="115">
        <f t="shared" si="10"/>
        <v>114.48</v>
      </c>
      <c r="O94" s="115">
        <f t="shared" si="11"/>
        <v>267.11</v>
      </c>
    </row>
    <row r="95" spans="1:15" ht="14.25" customHeight="1" x14ac:dyDescent="0.35">
      <c r="A95" s="7">
        <v>59</v>
      </c>
      <c r="B95" s="98">
        <f t="shared" si="0"/>
        <v>324.95</v>
      </c>
      <c r="C95" s="98">
        <f t="shared" si="1"/>
        <v>199.21</v>
      </c>
      <c r="D95" s="98">
        <f t="shared" si="2"/>
        <v>125.73999999999998</v>
      </c>
      <c r="E95" s="98">
        <f t="shared" si="3"/>
        <v>68173.609999999957</v>
      </c>
      <c r="F95" s="115">
        <f t="shared" si="4"/>
        <v>97.49</v>
      </c>
      <c r="G95" s="115">
        <f t="shared" si="5"/>
        <v>227.45999999999998</v>
      </c>
      <c r="I95" s="38">
        <v>59</v>
      </c>
      <c r="J95" s="115">
        <f t="shared" si="6"/>
        <v>381.02</v>
      </c>
      <c r="K95" s="115">
        <f t="shared" si="7"/>
        <v>185.71</v>
      </c>
      <c r="L95" s="115">
        <f t="shared" si="8"/>
        <v>195.31</v>
      </c>
      <c r="M95" s="115">
        <f t="shared" si="9"/>
        <v>63476.710000000137</v>
      </c>
      <c r="N95" s="115">
        <f t="shared" si="10"/>
        <v>114.31</v>
      </c>
      <c r="O95" s="115">
        <f t="shared" si="11"/>
        <v>266.70999999999998</v>
      </c>
    </row>
    <row r="96" spans="1:15" ht="14.25" customHeight="1" x14ac:dyDescent="0.35">
      <c r="A96" s="7">
        <v>60</v>
      </c>
      <c r="B96" s="98">
        <f t="shared" si="0"/>
        <v>324.95</v>
      </c>
      <c r="C96" s="98">
        <f t="shared" si="1"/>
        <v>198.84</v>
      </c>
      <c r="D96" s="98">
        <f t="shared" si="2"/>
        <v>126.10999999999999</v>
      </c>
      <c r="E96" s="98">
        <f t="shared" si="3"/>
        <v>68047.499999999956</v>
      </c>
      <c r="F96" s="115">
        <f t="shared" si="4"/>
        <v>97.49</v>
      </c>
      <c r="G96" s="115">
        <f t="shared" si="5"/>
        <v>227.45999999999998</v>
      </c>
      <c r="I96" s="38">
        <v>60</v>
      </c>
      <c r="J96" s="115">
        <f t="shared" si="6"/>
        <v>380.45</v>
      </c>
      <c r="K96" s="115">
        <f t="shared" si="7"/>
        <v>185.14</v>
      </c>
      <c r="L96" s="115">
        <f t="shared" si="8"/>
        <v>195.31</v>
      </c>
      <c r="M96" s="115">
        <f t="shared" si="9"/>
        <v>63281.40000000014</v>
      </c>
      <c r="N96" s="115">
        <f t="shared" si="10"/>
        <v>114.14</v>
      </c>
      <c r="O96" s="115">
        <f t="shared" si="11"/>
        <v>266.31</v>
      </c>
    </row>
    <row r="97" spans="1:16" ht="14.25" customHeight="1" x14ac:dyDescent="0.35">
      <c r="A97" s="7">
        <v>61</v>
      </c>
      <c r="B97" s="98">
        <f t="shared" si="0"/>
        <v>324.95</v>
      </c>
      <c r="C97" s="98">
        <f t="shared" si="1"/>
        <v>198.47</v>
      </c>
      <c r="D97" s="98">
        <f t="shared" si="2"/>
        <v>126.47999999999999</v>
      </c>
      <c r="E97" s="98">
        <f t="shared" si="3"/>
        <v>67921.01999999996</v>
      </c>
      <c r="F97" s="115">
        <v>0</v>
      </c>
      <c r="G97" s="116">
        <f t="shared" si="5"/>
        <v>324.95</v>
      </c>
      <c r="H97" s="49" t="s">
        <v>171</v>
      </c>
      <c r="I97" s="38">
        <v>61</v>
      </c>
      <c r="J97" s="115">
        <f t="shared" si="6"/>
        <v>379.88</v>
      </c>
      <c r="K97" s="115">
        <f t="shared" si="7"/>
        <v>184.57</v>
      </c>
      <c r="L97" s="115">
        <f t="shared" si="8"/>
        <v>195.31</v>
      </c>
      <c r="M97" s="115">
        <f t="shared" si="9"/>
        <v>63086.090000000142</v>
      </c>
      <c r="N97" s="115">
        <v>0</v>
      </c>
      <c r="O97" s="116">
        <f t="shared" si="11"/>
        <v>379.88</v>
      </c>
      <c r="P97" s="49" t="s">
        <v>171</v>
      </c>
    </row>
    <row r="98" spans="1:16" ht="14.25" customHeight="1" x14ac:dyDescent="0.35">
      <c r="A98" s="7">
        <v>62</v>
      </c>
      <c r="B98" s="98">
        <f t="shared" si="0"/>
        <v>324.95</v>
      </c>
      <c r="C98" s="98">
        <f t="shared" si="1"/>
        <v>198.1</v>
      </c>
      <c r="D98" s="98">
        <f t="shared" si="2"/>
        <v>126.85</v>
      </c>
      <c r="E98" s="98">
        <f t="shared" si="3"/>
        <v>67794.169999999955</v>
      </c>
      <c r="F98" s="115">
        <v>0</v>
      </c>
      <c r="G98" s="115">
        <f t="shared" si="5"/>
        <v>324.95</v>
      </c>
      <c r="I98" s="38">
        <v>62</v>
      </c>
      <c r="J98" s="115">
        <f t="shared" si="6"/>
        <v>379.31</v>
      </c>
      <c r="K98" s="115">
        <f t="shared" si="7"/>
        <v>184</v>
      </c>
      <c r="L98" s="115">
        <f t="shared" si="8"/>
        <v>195.31</v>
      </c>
      <c r="M98" s="115">
        <f t="shared" si="9"/>
        <v>62890.780000000144</v>
      </c>
      <c r="N98" s="115">
        <v>0</v>
      </c>
      <c r="O98" s="115">
        <f t="shared" si="11"/>
        <v>379.31</v>
      </c>
    </row>
    <row r="99" spans="1:16" ht="14.25" customHeight="1" x14ac:dyDescent="0.35">
      <c r="A99" s="7">
        <v>63</v>
      </c>
      <c r="B99" s="98">
        <f t="shared" si="0"/>
        <v>324.95</v>
      </c>
      <c r="C99" s="98">
        <f t="shared" si="1"/>
        <v>197.73</v>
      </c>
      <c r="D99" s="98">
        <f t="shared" si="2"/>
        <v>127.22</v>
      </c>
      <c r="E99" s="98">
        <f t="shared" si="3"/>
        <v>67666.949999999953</v>
      </c>
      <c r="F99" s="115">
        <v>0</v>
      </c>
      <c r="G99" s="115">
        <f t="shared" si="5"/>
        <v>324.95</v>
      </c>
      <c r="I99" s="38">
        <v>63</v>
      </c>
      <c r="J99" s="115">
        <f t="shared" si="6"/>
        <v>378.74</v>
      </c>
      <c r="K99" s="115">
        <f t="shared" si="7"/>
        <v>183.43</v>
      </c>
      <c r="L99" s="115">
        <f t="shared" si="8"/>
        <v>195.31</v>
      </c>
      <c r="M99" s="115">
        <f t="shared" si="9"/>
        <v>62695.470000000147</v>
      </c>
      <c r="N99" s="115">
        <v>0</v>
      </c>
      <c r="O99" s="115">
        <f t="shared" si="11"/>
        <v>378.74</v>
      </c>
    </row>
    <row r="100" spans="1:16" ht="14.25" customHeight="1" x14ac:dyDescent="0.35">
      <c r="A100" s="7">
        <v>64</v>
      </c>
      <c r="B100" s="98">
        <f t="shared" si="0"/>
        <v>324.95</v>
      </c>
      <c r="C100" s="98">
        <f t="shared" si="1"/>
        <v>197.36</v>
      </c>
      <c r="D100" s="98">
        <f t="shared" si="2"/>
        <v>127.58999999999997</v>
      </c>
      <c r="E100" s="98">
        <f t="shared" si="3"/>
        <v>67539.359999999957</v>
      </c>
      <c r="F100" s="115">
        <v>0</v>
      </c>
      <c r="G100" s="115">
        <f t="shared" si="5"/>
        <v>324.95</v>
      </c>
      <c r="I100" s="38">
        <v>64</v>
      </c>
      <c r="J100" s="115">
        <f t="shared" si="6"/>
        <v>378.17</v>
      </c>
      <c r="K100" s="115">
        <f t="shared" si="7"/>
        <v>182.86</v>
      </c>
      <c r="L100" s="115">
        <f t="shared" si="8"/>
        <v>195.31</v>
      </c>
      <c r="M100" s="115">
        <f t="shared" si="9"/>
        <v>62500.160000000149</v>
      </c>
      <c r="N100" s="115">
        <v>0</v>
      </c>
      <c r="O100" s="115">
        <f t="shared" si="11"/>
        <v>378.17</v>
      </c>
    </row>
    <row r="101" spans="1:16" ht="14.25" customHeight="1" x14ac:dyDescent="0.35">
      <c r="A101" s="7">
        <v>65</v>
      </c>
      <c r="B101" s="98">
        <f t="shared" si="0"/>
        <v>324.95</v>
      </c>
      <c r="C101" s="98">
        <f t="shared" si="1"/>
        <v>196.99</v>
      </c>
      <c r="D101" s="98">
        <f t="shared" si="2"/>
        <v>127.95999999999998</v>
      </c>
      <c r="E101" s="98">
        <f t="shared" si="3"/>
        <v>67411.399999999951</v>
      </c>
      <c r="F101" s="115">
        <v>0</v>
      </c>
      <c r="G101" s="115">
        <f t="shared" si="5"/>
        <v>324.95</v>
      </c>
      <c r="I101" s="38">
        <v>65</v>
      </c>
      <c r="J101" s="115">
        <f t="shared" si="6"/>
        <v>377.6</v>
      </c>
      <c r="K101" s="115">
        <f t="shared" si="7"/>
        <v>182.29</v>
      </c>
      <c r="L101" s="115">
        <f t="shared" si="8"/>
        <v>195.31</v>
      </c>
      <c r="M101" s="115">
        <f t="shared" si="9"/>
        <v>62304.850000000151</v>
      </c>
      <c r="N101" s="115">
        <v>0</v>
      </c>
      <c r="O101" s="115">
        <f t="shared" si="11"/>
        <v>377.6</v>
      </c>
    </row>
    <row r="102" spans="1:16" ht="14.25" customHeight="1" x14ac:dyDescent="0.35">
      <c r="A102" s="7">
        <v>66</v>
      </c>
      <c r="B102" s="98">
        <f t="shared" si="0"/>
        <v>324.95</v>
      </c>
      <c r="C102" s="98">
        <f t="shared" si="1"/>
        <v>196.62</v>
      </c>
      <c r="D102" s="98">
        <f t="shared" si="2"/>
        <v>128.32999999999998</v>
      </c>
      <c r="E102" s="98">
        <f t="shared" si="3"/>
        <v>67283.069999999949</v>
      </c>
      <c r="F102" s="115">
        <v>0</v>
      </c>
      <c r="G102" s="115">
        <f t="shared" si="5"/>
        <v>324.95</v>
      </c>
      <c r="I102" s="38">
        <v>66</v>
      </c>
      <c r="J102" s="115">
        <f t="shared" si="6"/>
        <v>377.03</v>
      </c>
      <c r="K102" s="115">
        <f t="shared" si="7"/>
        <v>181.72</v>
      </c>
      <c r="L102" s="115">
        <f t="shared" si="8"/>
        <v>195.31</v>
      </c>
      <c r="M102" s="115">
        <f t="shared" si="9"/>
        <v>62109.540000000154</v>
      </c>
      <c r="N102" s="115">
        <v>0</v>
      </c>
      <c r="O102" s="115">
        <f t="shared" si="11"/>
        <v>377.03</v>
      </c>
    </row>
    <row r="103" spans="1:16" ht="14.25" customHeight="1" x14ac:dyDescent="0.35">
      <c r="A103" s="7">
        <v>67</v>
      </c>
      <c r="B103" s="98">
        <f t="shared" si="0"/>
        <v>324.95</v>
      </c>
      <c r="C103" s="98">
        <f t="shared" si="1"/>
        <v>196.24</v>
      </c>
      <c r="D103" s="98">
        <f t="shared" si="2"/>
        <v>128.70999999999998</v>
      </c>
      <c r="E103" s="98">
        <f t="shared" si="3"/>
        <v>67154.359999999942</v>
      </c>
      <c r="F103" s="115">
        <v>0</v>
      </c>
      <c r="G103" s="115">
        <f t="shared" si="5"/>
        <v>324.95</v>
      </c>
      <c r="I103" s="38">
        <v>67</v>
      </c>
      <c r="J103" s="115">
        <f t="shared" si="6"/>
        <v>376.46000000000004</v>
      </c>
      <c r="K103" s="115">
        <f t="shared" si="7"/>
        <v>181.15</v>
      </c>
      <c r="L103" s="115">
        <f t="shared" si="8"/>
        <v>195.31</v>
      </c>
      <c r="M103" s="115">
        <f t="shared" si="9"/>
        <v>61914.230000000156</v>
      </c>
      <c r="N103" s="115">
        <v>0</v>
      </c>
      <c r="O103" s="115">
        <f t="shared" si="11"/>
        <v>376.46000000000004</v>
      </c>
    </row>
    <row r="104" spans="1:16" ht="14.25" customHeight="1" x14ac:dyDescent="0.35">
      <c r="A104" s="7">
        <v>68</v>
      </c>
      <c r="B104" s="98">
        <f t="shared" si="0"/>
        <v>324.95</v>
      </c>
      <c r="C104" s="98">
        <f t="shared" si="1"/>
        <v>195.87</v>
      </c>
      <c r="D104" s="98">
        <f t="shared" si="2"/>
        <v>129.07999999999998</v>
      </c>
      <c r="E104" s="98">
        <f t="shared" si="3"/>
        <v>67025.279999999941</v>
      </c>
      <c r="F104" s="115">
        <v>0</v>
      </c>
      <c r="G104" s="115">
        <f t="shared" si="5"/>
        <v>324.95</v>
      </c>
      <c r="I104" s="38">
        <v>68</v>
      </c>
      <c r="J104" s="115">
        <f t="shared" si="6"/>
        <v>375.89</v>
      </c>
      <c r="K104" s="115">
        <f t="shared" si="7"/>
        <v>180.58</v>
      </c>
      <c r="L104" s="115">
        <f t="shared" si="8"/>
        <v>195.31</v>
      </c>
      <c r="M104" s="115">
        <f t="shared" si="9"/>
        <v>61718.920000000158</v>
      </c>
      <c r="N104" s="115">
        <v>0</v>
      </c>
      <c r="O104" s="115">
        <f t="shared" si="11"/>
        <v>375.89</v>
      </c>
    </row>
    <row r="105" spans="1:16" ht="14.25" customHeight="1" x14ac:dyDescent="0.35">
      <c r="A105" s="7">
        <v>69</v>
      </c>
      <c r="B105" s="98">
        <f t="shared" si="0"/>
        <v>324.95</v>
      </c>
      <c r="C105" s="98">
        <f t="shared" si="1"/>
        <v>195.49</v>
      </c>
      <c r="D105" s="98">
        <f t="shared" si="2"/>
        <v>129.45999999999998</v>
      </c>
      <c r="E105" s="98">
        <f t="shared" si="3"/>
        <v>66895.819999999934</v>
      </c>
      <c r="F105" s="115">
        <v>0</v>
      </c>
      <c r="G105" s="115">
        <f t="shared" si="5"/>
        <v>324.95</v>
      </c>
      <c r="I105" s="38">
        <v>69</v>
      </c>
      <c r="J105" s="115">
        <f t="shared" si="6"/>
        <v>375.32</v>
      </c>
      <c r="K105" s="115">
        <f t="shared" si="7"/>
        <v>180.01</v>
      </c>
      <c r="L105" s="115">
        <f t="shared" si="8"/>
        <v>195.31</v>
      </c>
      <c r="M105" s="115">
        <f t="shared" si="9"/>
        <v>61523.610000000161</v>
      </c>
      <c r="N105" s="115">
        <v>0</v>
      </c>
      <c r="O105" s="115">
        <f t="shared" si="11"/>
        <v>375.32</v>
      </c>
    </row>
    <row r="106" spans="1:16" ht="14.25" customHeight="1" x14ac:dyDescent="0.35">
      <c r="A106" s="7">
        <v>70</v>
      </c>
      <c r="B106" s="98">
        <f t="shared" si="0"/>
        <v>324.95</v>
      </c>
      <c r="C106" s="98">
        <f t="shared" si="1"/>
        <v>195.11</v>
      </c>
      <c r="D106" s="98">
        <f t="shared" si="2"/>
        <v>129.83999999999997</v>
      </c>
      <c r="E106" s="98">
        <f t="shared" si="3"/>
        <v>66765.979999999938</v>
      </c>
      <c r="F106" s="115">
        <v>0</v>
      </c>
      <c r="G106" s="115">
        <f t="shared" si="5"/>
        <v>324.95</v>
      </c>
      <c r="I106" s="38">
        <v>70</v>
      </c>
      <c r="J106" s="115">
        <f t="shared" si="6"/>
        <v>374.75</v>
      </c>
      <c r="K106" s="115">
        <f t="shared" si="7"/>
        <v>179.44</v>
      </c>
      <c r="L106" s="115">
        <f t="shared" si="8"/>
        <v>195.31</v>
      </c>
      <c r="M106" s="115">
        <f t="shared" si="9"/>
        <v>61328.300000000163</v>
      </c>
      <c r="N106" s="115">
        <v>0</v>
      </c>
      <c r="O106" s="115">
        <f t="shared" si="11"/>
        <v>374.75</v>
      </c>
    </row>
    <row r="107" spans="1:16" ht="14.25" customHeight="1" x14ac:dyDescent="0.35">
      <c r="A107" s="7">
        <v>71</v>
      </c>
      <c r="B107" s="98">
        <f t="shared" si="0"/>
        <v>324.95</v>
      </c>
      <c r="C107" s="98">
        <f t="shared" si="1"/>
        <v>194.73</v>
      </c>
      <c r="D107" s="98">
        <f t="shared" si="2"/>
        <v>130.22</v>
      </c>
      <c r="E107" s="98">
        <f t="shared" si="3"/>
        <v>66635.759999999937</v>
      </c>
      <c r="F107" s="115">
        <v>0</v>
      </c>
      <c r="G107" s="115">
        <f t="shared" si="5"/>
        <v>324.95</v>
      </c>
      <c r="I107" s="38">
        <v>71</v>
      </c>
      <c r="J107" s="115">
        <f t="shared" si="6"/>
        <v>374.18</v>
      </c>
      <c r="K107" s="115">
        <f t="shared" si="7"/>
        <v>178.87</v>
      </c>
      <c r="L107" s="115">
        <f t="shared" si="8"/>
        <v>195.31</v>
      </c>
      <c r="M107" s="115">
        <f t="shared" si="9"/>
        <v>61132.990000000165</v>
      </c>
      <c r="N107" s="115">
        <v>0</v>
      </c>
      <c r="O107" s="115">
        <f t="shared" si="11"/>
        <v>374.18</v>
      </c>
    </row>
    <row r="108" spans="1:16" ht="14.25" customHeight="1" x14ac:dyDescent="0.35">
      <c r="A108" s="7">
        <v>72</v>
      </c>
      <c r="B108" s="98">
        <f t="shared" si="0"/>
        <v>324.95</v>
      </c>
      <c r="C108" s="98">
        <f t="shared" si="1"/>
        <v>194.35</v>
      </c>
      <c r="D108" s="98">
        <f t="shared" si="2"/>
        <v>130.6</v>
      </c>
      <c r="E108" s="98">
        <f t="shared" si="3"/>
        <v>66505.159999999931</v>
      </c>
      <c r="F108" s="115">
        <v>0</v>
      </c>
      <c r="G108" s="115">
        <f t="shared" si="5"/>
        <v>324.95</v>
      </c>
      <c r="I108" s="38">
        <v>72</v>
      </c>
      <c r="J108" s="115">
        <f t="shared" si="6"/>
        <v>373.61</v>
      </c>
      <c r="K108" s="115">
        <f t="shared" si="7"/>
        <v>178.3</v>
      </c>
      <c r="L108" s="115">
        <f t="shared" si="8"/>
        <v>195.31</v>
      </c>
      <c r="M108" s="115">
        <f t="shared" si="9"/>
        <v>60937.680000000168</v>
      </c>
      <c r="N108" s="115">
        <v>0</v>
      </c>
      <c r="O108" s="115">
        <f t="shared" si="11"/>
        <v>373.61</v>
      </c>
    </row>
    <row r="109" spans="1:16" ht="14.25" customHeight="1" x14ac:dyDescent="0.35">
      <c r="A109" s="7">
        <v>73</v>
      </c>
      <c r="B109" s="98">
        <f t="shared" si="0"/>
        <v>324.95</v>
      </c>
      <c r="C109" s="98">
        <f t="shared" si="1"/>
        <v>193.97</v>
      </c>
      <c r="D109" s="98">
        <f t="shared" si="2"/>
        <v>130.97999999999999</v>
      </c>
      <c r="E109" s="98">
        <f t="shared" si="3"/>
        <v>66374.179999999935</v>
      </c>
      <c r="F109" s="115">
        <v>0</v>
      </c>
      <c r="G109" s="115">
        <f t="shared" si="5"/>
        <v>324.95</v>
      </c>
      <c r="I109" s="38">
        <v>73</v>
      </c>
      <c r="J109" s="115">
        <f t="shared" si="6"/>
        <v>373.03999999999996</v>
      </c>
      <c r="K109" s="115">
        <f t="shared" si="7"/>
        <v>177.73</v>
      </c>
      <c r="L109" s="115">
        <f t="shared" si="8"/>
        <v>195.31</v>
      </c>
      <c r="M109" s="115">
        <f t="shared" si="9"/>
        <v>60742.37000000017</v>
      </c>
      <c r="N109" s="115">
        <v>0</v>
      </c>
      <c r="O109" s="115">
        <f t="shared" si="11"/>
        <v>373.03999999999996</v>
      </c>
    </row>
    <row r="110" spans="1:16" ht="14.25" customHeight="1" x14ac:dyDescent="0.35">
      <c r="A110" s="7">
        <v>74</v>
      </c>
      <c r="B110" s="98">
        <f t="shared" si="0"/>
        <v>324.95</v>
      </c>
      <c r="C110" s="98">
        <f t="shared" si="1"/>
        <v>193.59</v>
      </c>
      <c r="D110" s="98">
        <f t="shared" si="2"/>
        <v>131.35999999999999</v>
      </c>
      <c r="E110" s="98">
        <f t="shared" si="3"/>
        <v>66242.819999999934</v>
      </c>
      <c r="F110" s="115">
        <v>0</v>
      </c>
      <c r="G110" s="115">
        <f t="shared" si="5"/>
        <v>324.95</v>
      </c>
      <c r="I110" s="38">
        <v>74</v>
      </c>
      <c r="J110" s="115">
        <f t="shared" si="6"/>
        <v>372.48</v>
      </c>
      <c r="K110" s="115">
        <f t="shared" si="7"/>
        <v>177.17</v>
      </c>
      <c r="L110" s="115">
        <f t="shared" si="8"/>
        <v>195.31</v>
      </c>
      <c r="M110" s="115">
        <f t="shared" si="9"/>
        <v>60547.060000000172</v>
      </c>
      <c r="N110" s="115">
        <v>0</v>
      </c>
      <c r="O110" s="115">
        <f t="shared" si="11"/>
        <v>372.48</v>
      </c>
    </row>
    <row r="111" spans="1:16" ht="14.25" customHeight="1" x14ac:dyDescent="0.35">
      <c r="A111" s="7">
        <v>75</v>
      </c>
      <c r="B111" s="98">
        <f t="shared" si="0"/>
        <v>324.95</v>
      </c>
      <c r="C111" s="98">
        <f t="shared" si="1"/>
        <v>193.21</v>
      </c>
      <c r="D111" s="98">
        <f t="shared" si="2"/>
        <v>131.73999999999998</v>
      </c>
      <c r="E111" s="98">
        <f t="shared" si="3"/>
        <v>66111.079999999929</v>
      </c>
      <c r="F111" s="115">
        <v>0</v>
      </c>
      <c r="G111" s="115">
        <f t="shared" si="5"/>
        <v>324.95</v>
      </c>
      <c r="I111" s="38">
        <v>75</v>
      </c>
      <c r="J111" s="115">
        <f t="shared" si="6"/>
        <v>371.90999999999997</v>
      </c>
      <c r="K111" s="115">
        <f t="shared" si="7"/>
        <v>176.6</v>
      </c>
      <c r="L111" s="115">
        <f t="shared" si="8"/>
        <v>195.31</v>
      </c>
      <c r="M111" s="115">
        <f t="shared" si="9"/>
        <v>60351.750000000175</v>
      </c>
      <c r="N111" s="115">
        <v>0</v>
      </c>
      <c r="O111" s="115">
        <f t="shared" si="11"/>
        <v>371.90999999999997</v>
      </c>
    </row>
    <row r="112" spans="1:16" ht="14.25" customHeight="1" x14ac:dyDescent="0.35">
      <c r="A112" s="7">
        <v>76</v>
      </c>
      <c r="B112" s="98">
        <f t="shared" si="0"/>
        <v>324.95</v>
      </c>
      <c r="C112" s="98">
        <f t="shared" si="1"/>
        <v>192.82</v>
      </c>
      <c r="D112" s="98">
        <f t="shared" si="2"/>
        <v>132.13</v>
      </c>
      <c r="E112" s="98">
        <f t="shared" si="3"/>
        <v>65978.949999999924</v>
      </c>
      <c r="F112" s="115">
        <v>0</v>
      </c>
      <c r="G112" s="115">
        <f t="shared" si="5"/>
        <v>324.95</v>
      </c>
      <c r="I112" s="38">
        <v>76</v>
      </c>
      <c r="J112" s="115">
        <f t="shared" si="6"/>
        <v>371.34000000000003</v>
      </c>
      <c r="K112" s="115">
        <f t="shared" si="7"/>
        <v>176.03</v>
      </c>
      <c r="L112" s="115">
        <f t="shared" si="8"/>
        <v>195.31</v>
      </c>
      <c r="M112" s="115">
        <f t="shared" si="9"/>
        <v>60156.440000000177</v>
      </c>
      <c r="N112" s="115">
        <v>0</v>
      </c>
      <c r="O112" s="115">
        <f t="shared" si="11"/>
        <v>371.34000000000003</v>
      </c>
    </row>
    <row r="113" spans="1:15" ht="14.25" customHeight="1" x14ac:dyDescent="0.35">
      <c r="A113" s="7">
        <v>77</v>
      </c>
      <c r="B113" s="98">
        <f t="shared" si="0"/>
        <v>324.95</v>
      </c>
      <c r="C113" s="98">
        <f t="shared" si="1"/>
        <v>192.44</v>
      </c>
      <c r="D113" s="98">
        <f t="shared" si="2"/>
        <v>132.51</v>
      </c>
      <c r="E113" s="98">
        <f t="shared" si="3"/>
        <v>65846.43999999993</v>
      </c>
      <c r="F113" s="115">
        <v>0</v>
      </c>
      <c r="G113" s="115">
        <f t="shared" si="5"/>
        <v>324.95</v>
      </c>
      <c r="I113" s="38">
        <v>77</v>
      </c>
      <c r="J113" s="115">
        <f t="shared" si="6"/>
        <v>370.77</v>
      </c>
      <c r="K113" s="115">
        <f t="shared" si="7"/>
        <v>175.46</v>
      </c>
      <c r="L113" s="115">
        <f t="shared" si="8"/>
        <v>195.31</v>
      </c>
      <c r="M113" s="115">
        <f t="shared" si="9"/>
        <v>59961.130000000179</v>
      </c>
      <c r="N113" s="115">
        <v>0</v>
      </c>
      <c r="O113" s="115">
        <f t="shared" si="11"/>
        <v>370.77</v>
      </c>
    </row>
    <row r="114" spans="1:15" ht="14.25" customHeight="1" x14ac:dyDescent="0.35">
      <c r="A114" s="7">
        <v>78</v>
      </c>
      <c r="B114" s="98">
        <f t="shared" si="0"/>
        <v>324.95</v>
      </c>
      <c r="C114" s="98">
        <f t="shared" si="1"/>
        <v>192.05</v>
      </c>
      <c r="D114" s="98">
        <f t="shared" si="2"/>
        <v>132.89999999999998</v>
      </c>
      <c r="E114" s="98">
        <f t="shared" si="3"/>
        <v>65713.539999999935</v>
      </c>
      <c r="F114" s="115">
        <v>0</v>
      </c>
      <c r="G114" s="115">
        <f t="shared" si="5"/>
        <v>324.95</v>
      </c>
      <c r="I114" s="38">
        <v>78</v>
      </c>
      <c r="J114" s="115">
        <f t="shared" si="6"/>
        <v>370.2</v>
      </c>
      <c r="K114" s="115">
        <f t="shared" si="7"/>
        <v>174.89</v>
      </c>
      <c r="L114" s="115">
        <f t="shared" si="8"/>
        <v>195.31</v>
      </c>
      <c r="M114" s="115">
        <f t="shared" si="9"/>
        <v>59765.820000000182</v>
      </c>
      <c r="N114" s="115">
        <v>0</v>
      </c>
      <c r="O114" s="115">
        <f t="shared" si="11"/>
        <v>370.2</v>
      </c>
    </row>
    <row r="115" spans="1:15" ht="14.25" customHeight="1" x14ac:dyDescent="0.35">
      <c r="A115" s="7">
        <v>79</v>
      </c>
      <c r="B115" s="98">
        <f t="shared" si="0"/>
        <v>324.95</v>
      </c>
      <c r="C115" s="98">
        <f t="shared" si="1"/>
        <v>191.66</v>
      </c>
      <c r="D115" s="98">
        <f t="shared" si="2"/>
        <v>133.29</v>
      </c>
      <c r="E115" s="98">
        <f t="shared" si="3"/>
        <v>65580.249999999942</v>
      </c>
      <c r="F115" s="115">
        <v>0</v>
      </c>
      <c r="G115" s="115">
        <f t="shared" si="5"/>
        <v>324.95</v>
      </c>
      <c r="I115" s="38">
        <v>79</v>
      </c>
      <c r="J115" s="115">
        <f t="shared" si="6"/>
        <v>369.63</v>
      </c>
      <c r="K115" s="115">
        <f t="shared" si="7"/>
        <v>174.32</v>
      </c>
      <c r="L115" s="115">
        <f t="shared" si="8"/>
        <v>195.31</v>
      </c>
      <c r="M115" s="115">
        <f t="shared" si="9"/>
        <v>59570.510000000184</v>
      </c>
      <c r="N115" s="115">
        <v>0</v>
      </c>
      <c r="O115" s="115">
        <f t="shared" si="11"/>
        <v>369.63</v>
      </c>
    </row>
    <row r="116" spans="1:15" ht="14.25" customHeight="1" x14ac:dyDescent="0.35">
      <c r="A116" s="7">
        <v>80</v>
      </c>
      <c r="B116" s="98">
        <f t="shared" si="0"/>
        <v>324.95</v>
      </c>
      <c r="C116" s="98">
        <f t="shared" si="1"/>
        <v>191.28</v>
      </c>
      <c r="D116" s="98">
        <f t="shared" si="2"/>
        <v>133.66999999999999</v>
      </c>
      <c r="E116" s="98">
        <f t="shared" si="3"/>
        <v>65446.579999999944</v>
      </c>
      <c r="F116" s="115">
        <v>0</v>
      </c>
      <c r="G116" s="115">
        <f t="shared" si="5"/>
        <v>324.95</v>
      </c>
      <c r="I116" s="38">
        <v>80</v>
      </c>
      <c r="J116" s="115">
        <f t="shared" si="6"/>
        <v>369.06</v>
      </c>
      <c r="K116" s="115">
        <f t="shared" si="7"/>
        <v>173.75</v>
      </c>
      <c r="L116" s="115">
        <f t="shared" si="8"/>
        <v>195.31</v>
      </c>
      <c r="M116" s="115">
        <f t="shared" si="9"/>
        <v>59375.200000000186</v>
      </c>
      <c r="N116" s="115">
        <v>0</v>
      </c>
      <c r="O116" s="115">
        <f t="shared" si="11"/>
        <v>369.06</v>
      </c>
    </row>
    <row r="117" spans="1:15" ht="14.25" customHeight="1" x14ac:dyDescent="0.35">
      <c r="A117" s="7">
        <v>81</v>
      </c>
      <c r="B117" s="98">
        <f t="shared" si="0"/>
        <v>324.95</v>
      </c>
      <c r="C117" s="98">
        <f t="shared" si="1"/>
        <v>190.89</v>
      </c>
      <c r="D117" s="98">
        <f t="shared" si="2"/>
        <v>134.06</v>
      </c>
      <c r="E117" s="98">
        <f t="shared" si="3"/>
        <v>65312.519999999946</v>
      </c>
      <c r="F117" s="115">
        <v>0</v>
      </c>
      <c r="G117" s="115">
        <f t="shared" si="5"/>
        <v>324.95</v>
      </c>
      <c r="I117" s="38">
        <v>81</v>
      </c>
      <c r="J117" s="115">
        <f t="shared" si="6"/>
        <v>368.49</v>
      </c>
      <c r="K117" s="115">
        <f t="shared" si="7"/>
        <v>173.18</v>
      </c>
      <c r="L117" s="115">
        <f t="shared" si="8"/>
        <v>195.31</v>
      </c>
      <c r="M117" s="115">
        <f t="shared" si="9"/>
        <v>59179.890000000189</v>
      </c>
      <c r="N117" s="115">
        <v>0</v>
      </c>
      <c r="O117" s="115">
        <f t="shared" si="11"/>
        <v>368.49</v>
      </c>
    </row>
    <row r="118" spans="1:15" ht="14.25" customHeight="1" x14ac:dyDescent="0.35">
      <c r="A118" s="7">
        <v>82</v>
      </c>
      <c r="B118" s="98">
        <f t="shared" si="0"/>
        <v>324.95</v>
      </c>
      <c r="C118" s="98">
        <f t="shared" si="1"/>
        <v>190.49</v>
      </c>
      <c r="D118" s="98">
        <f t="shared" si="2"/>
        <v>134.45999999999998</v>
      </c>
      <c r="E118" s="98">
        <f t="shared" si="3"/>
        <v>65178.059999999947</v>
      </c>
      <c r="F118" s="115">
        <v>0</v>
      </c>
      <c r="G118" s="115">
        <f t="shared" si="5"/>
        <v>324.95</v>
      </c>
      <c r="I118" s="38">
        <v>82</v>
      </c>
      <c r="J118" s="115">
        <f t="shared" si="6"/>
        <v>367.92</v>
      </c>
      <c r="K118" s="115">
        <f t="shared" si="7"/>
        <v>172.61</v>
      </c>
      <c r="L118" s="115">
        <f t="shared" si="8"/>
        <v>195.31</v>
      </c>
      <c r="M118" s="115">
        <f t="shared" si="9"/>
        <v>58984.580000000191</v>
      </c>
      <c r="N118" s="115">
        <v>0</v>
      </c>
      <c r="O118" s="115">
        <f t="shared" si="11"/>
        <v>367.92</v>
      </c>
    </row>
    <row r="119" spans="1:15" ht="14.25" customHeight="1" x14ac:dyDescent="0.35">
      <c r="A119" s="7">
        <v>83</v>
      </c>
      <c r="B119" s="98">
        <f t="shared" si="0"/>
        <v>324.95</v>
      </c>
      <c r="C119" s="98">
        <f t="shared" si="1"/>
        <v>190.1</v>
      </c>
      <c r="D119" s="98">
        <f t="shared" si="2"/>
        <v>134.85</v>
      </c>
      <c r="E119" s="98">
        <f t="shared" si="3"/>
        <v>65043.209999999948</v>
      </c>
      <c r="F119" s="115">
        <v>0</v>
      </c>
      <c r="G119" s="115">
        <f t="shared" si="5"/>
        <v>324.95</v>
      </c>
      <c r="I119" s="38">
        <v>83</v>
      </c>
      <c r="J119" s="115">
        <f t="shared" si="6"/>
        <v>367.35</v>
      </c>
      <c r="K119" s="115">
        <f t="shared" si="7"/>
        <v>172.04</v>
      </c>
      <c r="L119" s="115">
        <f t="shared" si="8"/>
        <v>195.31</v>
      </c>
      <c r="M119" s="115">
        <f t="shared" si="9"/>
        <v>58789.270000000193</v>
      </c>
      <c r="N119" s="115">
        <v>0</v>
      </c>
      <c r="O119" s="115">
        <f t="shared" si="11"/>
        <v>367.35</v>
      </c>
    </row>
    <row r="120" spans="1:15" ht="14.25" customHeight="1" x14ac:dyDescent="0.35">
      <c r="A120" s="7">
        <v>84</v>
      </c>
      <c r="B120" s="98">
        <f t="shared" si="0"/>
        <v>324.95</v>
      </c>
      <c r="C120" s="98">
        <f t="shared" si="1"/>
        <v>189.71</v>
      </c>
      <c r="D120" s="98">
        <f t="shared" si="2"/>
        <v>135.23999999999998</v>
      </c>
      <c r="E120" s="98">
        <f t="shared" si="3"/>
        <v>64907.96999999995</v>
      </c>
      <c r="F120" s="115">
        <v>0</v>
      </c>
      <c r="G120" s="115">
        <f t="shared" si="5"/>
        <v>324.95</v>
      </c>
      <c r="I120" s="38">
        <v>84</v>
      </c>
      <c r="J120" s="115">
        <f t="shared" si="6"/>
        <v>366.78</v>
      </c>
      <c r="K120" s="115">
        <f t="shared" si="7"/>
        <v>171.47</v>
      </c>
      <c r="L120" s="115">
        <f t="shared" si="8"/>
        <v>195.31</v>
      </c>
      <c r="M120" s="115">
        <f t="shared" si="9"/>
        <v>58593.960000000196</v>
      </c>
      <c r="N120" s="115">
        <v>0</v>
      </c>
      <c r="O120" s="115">
        <f t="shared" si="11"/>
        <v>366.78</v>
      </c>
    </row>
    <row r="121" spans="1:15" ht="14.25" customHeight="1" x14ac:dyDescent="0.35">
      <c r="A121" s="7">
        <v>85</v>
      </c>
      <c r="B121" s="98">
        <f t="shared" si="0"/>
        <v>324.95</v>
      </c>
      <c r="C121" s="98">
        <f t="shared" si="1"/>
        <v>189.31</v>
      </c>
      <c r="D121" s="98">
        <f t="shared" si="2"/>
        <v>135.63999999999999</v>
      </c>
      <c r="E121" s="98">
        <f t="shared" si="3"/>
        <v>64772.329999999951</v>
      </c>
      <c r="F121" s="115">
        <v>0</v>
      </c>
      <c r="G121" s="115">
        <f t="shared" si="5"/>
        <v>324.95</v>
      </c>
      <c r="I121" s="38">
        <v>85</v>
      </c>
      <c r="J121" s="115">
        <f t="shared" si="6"/>
        <v>366.21000000000004</v>
      </c>
      <c r="K121" s="115">
        <f t="shared" si="7"/>
        <v>170.9</v>
      </c>
      <c r="L121" s="115">
        <f t="shared" si="8"/>
        <v>195.31</v>
      </c>
      <c r="M121" s="115">
        <f t="shared" si="9"/>
        <v>58398.650000000198</v>
      </c>
      <c r="N121" s="115">
        <v>0</v>
      </c>
      <c r="O121" s="115">
        <f t="shared" si="11"/>
        <v>366.21000000000004</v>
      </c>
    </row>
    <row r="122" spans="1:15" ht="14.25" customHeight="1" x14ac:dyDescent="0.35">
      <c r="A122" s="7">
        <v>86</v>
      </c>
      <c r="B122" s="98">
        <f t="shared" si="0"/>
        <v>324.95</v>
      </c>
      <c r="C122" s="98">
        <f t="shared" si="1"/>
        <v>188.92</v>
      </c>
      <c r="D122" s="98">
        <f t="shared" si="2"/>
        <v>136.03</v>
      </c>
      <c r="E122" s="98">
        <f t="shared" si="3"/>
        <v>64636.299999999952</v>
      </c>
      <c r="F122" s="115">
        <v>0</v>
      </c>
      <c r="G122" s="115">
        <f t="shared" si="5"/>
        <v>324.95</v>
      </c>
      <c r="I122" s="38">
        <v>86</v>
      </c>
      <c r="J122" s="115">
        <f t="shared" si="6"/>
        <v>365.64</v>
      </c>
      <c r="K122" s="115">
        <f t="shared" si="7"/>
        <v>170.33</v>
      </c>
      <c r="L122" s="115">
        <f t="shared" si="8"/>
        <v>195.31</v>
      </c>
      <c r="M122" s="115">
        <f t="shared" si="9"/>
        <v>58203.3400000002</v>
      </c>
      <c r="N122" s="115">
        <v>0</v>
      </c>
      <c r="O122" s="115">
        <f t="shared" si="11"/>
        <v>365.64</v>
      </c>
    </row>
    <row r="123" spans="1:15" ht="14.25" customHeight="1" x14ac:dyDescent="0.35">
      <c r="A123" s="7">
        <v>87</v>
      </c>
      <c r="B123" s="98">
        <f t="shared" si="0"/>
        <v>324.95</v>
      </c>
      <c r="C123" s="98">
        <f t="shared" si="1"/>
        <v>188.52</v>
      </c>
      <c r="D123" s="98">
        <f t="shared" si="2"/>
        <v>136.42999999999998</v>
      </c>
      <c r="E123" s="98">
        <f t="shared" si="3"/>
        <v>64499.869999999952</v>
      </c>
      <c r="F123" s="115">
        <v>0</v>
      </c>
      <c r="G123" s="115">
        <f t="shared" si="5"/>
        <v>324.95</v>
      </c>
      <c r="I123" s="38">
        <v>87</v>
      </c>
      <c r="J123" s="115">
        <f t="shared" si="6"/>
        <v>365.07</v>
      </c>
      <c r="K123" s="115">
        <f t="shared" si="7"/>
        <v>169.76</v>
      </c>
      <c r="L123" s="115">
        <f t="shared" si="8"/>
        <v>195.31</v>
      </c>
      <c r="M123" s="115">
        <f t="shared" si="9"/>
        <v>58008.030000000203</v>
      </c>
      <c r="N123" s="115">
        <v>0</v>
      </c>
      <c r="O123" s="115">
        <f t="shared" si="11"/>
        <v>365.07</v>
      </c>
    </row>
    <row r="124" spans="1:15" ht="14.25" customHeight="1" x14ac:dyDescent="0.35">
      <c r="A124" s="7">
        <v>88</v>
      </c>
      <c r="B124" s="98">
        <f t="shared" si="0"/>
        <v>324.95</v>
      </c>
      <c r="C124" s="98">
        <f t="shared" si="1"/>
        <v>188.12</v>
      </c>
      <c r="D124" s="98">
        <f t="shared" si="2"/>
        <v>136.82999999999998</v>
      </c>
      <c r="E124" s="98">
        <f t="shared" si="3"/>
        <v>64363.03999999995</v>
      </c>
      <c r="F124" s="115">
        <v>0</v>
      </c>
      <c r="G124" s="115">
        <f t="shared" si="5"/>
        <v>324.95</v>
      </c>
      <c r="I124" s="38">
        <v>88</v>
      </c>
      <c r="J124" s="115">
        <f t="shared" si="6"/>
        <v>364.5</v>
      </c>
      <c r="K124" s="115">
        <f t="shared" si="7"/>
        <v>169.19</v>
      </c>
      <c r="L124" s="115">
        <f t="shared" si="8"/>
        <v>195.31</v>
      </c>
      <c r="M124" s="115">
        <f t="shared" si="9"/>
        <v>57812.720000000205</v>
      </c>
      <c r="N124" s="115">
        <v>0</v>
      </c>
      <c r="O124" s="115">
        <f t="shared" si="11"/>
        <v>364.5</v>
      </c>
    </row>
    <row r="125" spans="1:15" ht="14.25" customHeight="1" x14ac:dyDescent="0.35">
      <c r="A125" s="7">
        <v>89</v>
      </c>
      <c r="B125" s="98">
        <f t="shared" si="0"/>
        <v>324.95</v>
      </c>
      <c r="C125" s="98">
        <f t="shared" si="1"/>
        <v>187.73</v>
      </c>
      <c r="D125" s="98">
        <f t="shared" si="2"/>
        <v>137.22</v>
      </c>
      <c r="E125" s="98">
        <f t="shared" si="3"/>
        <v>64225.819999999949</v>
      </c>
      <c r="F125" s="115">
        <v>0</v>
      </c>
      <c r="G125" s="115">
        <f t="shared" si="5"/>
        <v>324.95</v>
      </c>
      <c r="I125" s="38">
        <v>89</v>
      </c>
      <c r="J125" s="115">
        <f t="shared" si="6"/>
        <v>363.93</v>
      </c>
      <c r="K125" s="115">
        <f t="shared" si="7"/>
        <v>168.62</v>
      </c>
      <c r="L125" s="115">
        <f t="shared" si="8"/>
        <v>195.31</v>
      </c>
      <c r="M125" s="115">
        <f t="shared" si="9"/>
        <v>57617.410000000207</v>
      </c>
      <c r="N125" s="115">
        <v>0</v>
      </c>
      <c r="O125" s="115">
        <f t="shared" si="11"/>
        <v>363.93</v>
      </c>
    </row>
    <row r="126" spans="1:15" ht="14.25" customHeight="1" x14ac:dyDescent="0.35">
      <c r="A126" s="7">
        <v>90</v>
      </c>
      <c r="B126" s="98">
        <f t="shared" si="0"/>
        <v>324.95</v>
      </c>
      <c r="C126" s="98">
        <f t="shared" si="1"/>
        <v>187.33</v>
      </c>
      <c r="D126" s="98">
        <f t="shared" si="2"/>
        <v>137.61999999999998</v>
      </c>
      <c r="E126" s="98">
        <f t="shared" si="3"/>
        <v>64088.199999999946</v>
      </c>
      <c r="F126" s="115">
        <v>0</v>
      </c>
      <c r="G126" s="115">
        <f t="shared" si="5"/>
        <v>324.95</v>
      </c>
      <c r="I126" s="38">
        <v>90</v>
      </c>
      <c r="J126" s="115">
        <f t="shared" si="6"/>
        <v>363.36</v>
      </c>
      <c r="K126" s="115">
        <f t="shared" si="7"/>
        <v>168.05</v>
      </c>
      <c r="L126" s="115">
        <f t="shared" si="8"/>
        <v>195.31</v>
      </c>
      <c r="M126" s="115">
        <f t="shared" si="9"/>
        <v>57422.10000000021</v>
      </c>
      <c r="N126" s="115">
        <v>0</v>
      </c>
      <c r="O126" s="115">
        <f t="shared" si="11"/>
        <v>363.36</v>
      </c>
    </row>
    <row r="127" spans="1:15" ht="14.25" customHeight="1" x14ac:dyDescent="0.35">
      <c r="A127" s="7">
        <v>91</v>
      </c>
      <c r="B127" s="98">
        <f t="shared" si="0"/>
        <v>324.95</v>
      </c>
      <c r="C127" s="98">
        <f t="shared" si="1"/>
        <v>186.92</v>
      </c>
      <c r="D127" s="98">
        <f t="shared" si="2"/>
        <v>138.03</v>
      </c>
      <c r="E127" s="98">
        <f t="shared" si="3"/>
        <v>63950.169999999947</v>
      </c>
      <c r="F127" s="115">
        <v>0</v>
      </c>
      <c r="G127" s="115">
        <f t="shared" si="5"/>
        <v>324.95</v>
      </c>
      <c r="I127" s="38">
        <v>91</v>
      </c>
      <c r="J127" s="115">
        <f t="shared" si="6"/>
        <v>362.78999999999996</v>
      </c>
      <c r="K127" s="115">
        <f t="shared" si="7"/>
        <v>167.48</v>
      </c>
      <c r="L127" s="115">
        <f t="shared" si="8"/>
        <v>195.31</v>
      </c>
      <c r="M127" s="115">
        <f t="shared" si="9"/>
        <v>57226.790000000212</v>
      </c>
      <c r="N127" s="115">
        <v>0</v>
      </c>
      <c r="O127" s="115">
        <f t="shared" si="11"/>
        <v>362.78999999999996</v>
      </c>
    </row>
    <row r="128" spans="1:15" ht="14.25" customHeight="1" x14ac:dyDescent="0.35">
      <c r="A128" s="7">
        <v>92</v>
      </c>
      <c r="B128" s="98">
        <f t="shared" si="0"/>
        <v>324.95</v>
      </c>
      <c r="C128" s="98">
        <f t="shared" si="1"/>
        <v>186.52</v>
      </c>
      <c r="D128" s="98">
        <f t="shared" si="2"/>
        <v>138.42999999999998</v>
      </c>
      <c r="E128" s="98">
        <f t="shared" si="3"/>
        <v>63811.739999999947</v>
      </c>
      <c r="F128" s="115">
        <v>0</v>
      </c>
      <c r="G128" s="115">
        <f t="shared" si="5"/>
        <v>324.95</v>
      </c>
      <c r="I128" s="38">
        <v>92</v>
      </c>
      <c r="J128" s="115">
        <f t="shared" si="6"/>
        <v>362.22</v>
      </c>
      <c r="K128" s="115">
        <f t="shared" si="7"/>
        <v>166.91</v>
      </c>
      <c r="L128" s="115">
        <f t="shared" si="8"/>
        <v>195.31</v>
      </c>
      <c r="M128" s="115">
        <f t="shared" si="9"/>
        <v>57031.480000000214</v>
      </c>
      <c r="N128" s="115">
        <v>0</v>
      </c>
      <c r="O128" s="115">
        <f t="shared" si="11"/>
        <v>362.22</v>
      </c>
    </row>
    <row r="129" spans="1:15" ht="14.25" customHeight="1" x14ac:dyDescent="0.35">
      <c r="A129" s="7">
        <v>93</v>
      </c>
      <c r="B129" s="98">
        <f t="shared" si="0"/>
        <v>324.95</v>
      </c>
      <c r="C129" s="98">
        <f t="shared" si="1"/>
        <v>186.12</v>
      </c>
      <c r="D129" s="98">
        <f t="shared" si="2"/>
        <v>138.82999999999998</v>
      </c>
      <c r="E129" s="98">
        <f t="shared" si="3"/>
        <v>63672.909999999945</v>
      </c>
      <c r="F129" s="115">
        <v>0</v>
      </c>
      <c r="G129" s="115">
        <f t="shared" si="5"/>
        <v>324.95</v>
      </c>
      <c r="I129" s="38">
        <v>93</v>
      </c>
      <c r="J129" s="115">
        <f t="shared" si="6"/>
        <v>361.65</v>
      </c>
      <c r="K129" s="115">
        <f t="shared" si="7"/>
        <v>166.34</v>
      </c>
      <c r="L129" s="115">
        <f t="shared" si="8"/>
        <v>195.31</v>
      </c>
      <c r="M129" s="115">
        <f t="shared" si="9"/>
        <v>56836.170000000217</v>
      </c>
      <c r="N129" s="115">
        <v>0</v>
      </c>
      <c r="O129" s="115">
        <f t="shared" si="11"/>
        <v>361.65</v>
      </c>
    </row>
    <row r="130" spans="1:15" ht="14.25" customHeight="1" x14ac:dyDescent="0.35">
      <c r="A130" s="7">
        <v>94</v>
      </c>
      <c r="B130" s="98">
        <f t="shared" si="0"/>
        <v>324.95</v>
      </c>
      <c r="C130" s="98">
        <f t="shared" si="1"/>
        <v>185.71</v>
      </c>
      <c r="D130" s="98">
        <f t="shared" si="2"/>
        <v>139.23999999999998</v>
      </c>
      <c r="E130" s="98">
        <f t="shared" si="3"/>
        <v>63533.669999999947</v>
      </c>
      <c r="F130" s="115">
        <v>0</v>
      </c>
      <c r="G130" s="115">
        <f t="shared" si="5"/>
        <v>324.95</v>
      </c>
      <c r="I130" s="38">
        <v>94</v>
      </c>
      <c r="J130" s="115">
        <f t="shared" si="6"/>
        <v>361.08000000000004</v>
      </c>
      <c r="K130" s="115">
        <f t="shared" si="7"/>
        <v>165.77</v>
      </c>
      <c r="L130" s="115">
        <f t="shared" si="8"/>
        <v>195.31</v>
      </c>
      <c r="M130" s="115">
        <f t="shared" si="9"/>
        <v>56640.860000000219</v>
      </c>
      <c r="N130" s="115">
        <v>0</v>
      </c>
      <c r="O130" s="115">
        <f t="shared" si="11"/>
        <v>361.08000000000004</v>
      </c>
    </row>
    <row r="131" spans="1:15" ht="14.25" customHeight="1" x14ac:dyDescent="0.35">
      <c r="A131" s="7">
        <v>95</v>
      </c>
      <c r="B131" s="98">
        <f t="shared" si="0"/>
        <v>324.95</v>
      </c>
      <c r="C131" s="98">
        <f t="shared" si="1"/>
        <v>185.31</v>
      </c>
      <c r="D131" s="98">
        <f t="shared" si="2"/>
        <v>139.63999999999999</v>
      </c>
      <c r="E131" s="98">
        <f t="shared" si="3"/>
        <v>63394.029999999948</v>
      </c>
      <c r="F131" s="115">
        <v>0</v>
      </c>
      <c r="G131" s="115">
        <f t="shared" si="5"/>
        <v>324.95</v>
      </c>
      <c r="I131" s="38">
        <v>95</v>
      </c>
      <c r="J131" s="115">
        <f t="shared" si="6"/>
        <v>360.51</v>
      </c>
      <c r="K131" s="115">
        <f t="shared" si="7"/>
        <v>165.2</v>
      </c>
      <c r="L131" s="115">
        <f t="shared" si="8"/>
        <v>195.31</v>
      </c>
      <c r="M131" s="115">
        <f t="shared" si="9"/>
        <v>56445.550000000221</v>
      </c>
      <c r="N131" s="115">
        <v>0</v>
      </c>
      <c r="O131" s="115">
        <f t="shared" si="11"/>
        <v>360.51</v>
      </c>
    </row>
    <row r="132" spans="1:15" ht="14.25" customHeight="1" x14ac:dyDescent="0.35">
      <c r="A132" s="7">
        <v>96</v>
      </c>
      <c r="B132" s="98">
        <f t="shared" si="0"/>
        <v>324.95</v>
      </c>
      <c r="C132" s="98">
        <f t="shared" si="1"/>
        <v>184.9</v>
      </c>
      <c r="D132" s="98">
        <f t="shared" si="2"/>
        <v>140.04999999999998</v>
      </c>
      <c r="E132" s="98">
        <f t="shared" si="3"/>
        <v>63253.979999999945</v>
      </c>
      <c r="F132" s="115">
        <v>0</v>
      </c>
      <c r="G132" s="115">
        <f t="shared" si="5"/>
        <v>324.95</v>
      </c>
      <c r="I132" s="38">
        <v>96</v>
      </c>
      <c r="J132" s="115">
        <f t="shared" si="6"/>
        <v>359.94</v>
      </c>
      <c r="K132" s="115">
        <f t="shared" si="7"/>
        <v>164.63</v>
      </c>
      <c r="L132" s="115">
        <f t="shared" si="8"/>
        <v>195.31</v>
      </c>
      <c r="M132" s="115">
        <f t="shared" si="9"/>
        <v>56250.240000000224</v>
      </c>
      <c r="N132" s="115">
        <v>0</v>
      </c>
      <c r="O132" s="115">
        <f t="shared" si="11"/>
        <v>359.94</v>
      </c>
    </row>
    <row r="133" spans="1:15" ht="14.25" customHeight="1" x14ac:dyDescent="0.35">
      <c r="A133" s="7">
        <v>97</v>
      </c>
      <c r="B133" s="98">
        <f t="shared" si="0"/>
        <v>324.95</v>
      </c>
      <c r="C133" s="98">
        <f t="shared" si="1"/>
        <v>184.49</v>
      </c>
      <c r="D133" s="98">
        <f t="shared" si="2"/>
        <v>140.45999999999998</v>
      </c>
      <c r="E133" s="98">
        <f t="shared" si="3"/>
        <v>63113.519999999946</v>
      </c>
      <c r="F133" s="115">
        <v>0</v>
      </c>
      <c r="G133" s="115">
        <f t="shared" si="5"/>
        <v>324.95</v>
      </c>
      <c r="I133" s="38">
        <v>97</v>
      </c>
      <c r="J133" s="115">
        <f t="shared" si="6"/>
        <v>359.37</v>
      </c>
      <c r="K133" s="115">
        <f t="shared" si="7"/>
        <v>164.06</v>
      </c>
      <c r="L133" s="115">
        <f t="shared" si="8"/>
        <v>195.31</v>
      </c>
      <c r="M133" s="115">
        <f t="shared" si="9"/>
        <v>56054.930000000226</v>
      </c>
      <c r="N133" s="115">
        <v>0</v>
      </c>
      <c r="O133" s="115">
        <f t="shared" si="11"/>
        <v>359.37</v>
      </c>
    </row>
    <row r="134" spans="1:15" ht="14.25" customHeight="1" x14ac:dyDescent="0.35">
      <c r="A134" s="7">
        <v>98</v>
      </c>
      <c r="B134" s="98">
        <f t="shared" si="0"/>
        <v>324.95</v>
      </c>
      <c r="C134" s="98">
        <f t="shared" si="1"/>
        <v>184.08</v>
      </c>
      <c r="D134" s="98">
        <f t="shared" si="2"/>
        <v>140.86999999999998</v>
      </c>
      <c r="E134" s="98">
        <f t="shared" si="3"/>
        <v>62972.649999999943</v>
      </c>
      <c r="F134" s="115">
        <v>0</v>
      </c>
      <c r="G134" s="115">
        <f t="shared" si="5"/>
        <v>324.95</v>
      </c>
      <c r="I134" s="38">
        <v>98</v>
      </c>
      <c r="J134" s="115">
        <f t="shared" si="6"/>
        <v>358.8</v>
      </c>
      <c r="K134" s="115">
        <f t="shared" si="7"/>
        <v>163.49</v>
      </c>
      <c r="L134" s="115">
        <f t="shared" si="8"/>
        <v>195.31</v>
      </c>
      <c r="M134" s="115">
        <f t="shared" si="9"/>
        <v>55859.620000000228</v>
      </c>
      <c r="N134" s="115">
        <v>0</v>
      </c>
      <c r="O134" s="115">
        <f t="shared" si="11"/>
        <v>358.8</v>
      </c>
    </row>
    <row r="135" spans="1:15" ht="14.25" customHeight="1" x14ac:dyDescent="0.35">
      <c r="A135" s="7">
        <v>99</v>
      </c>
      <c r="B135" s="98">
        <f t="shared" si="0"/>
        <v>324.95</v>
      </c>
      <c r="C135" s="98">
        <f t="shared" si="1"/>
        <v>183.67</v>
      </c>
      <c r="D135" s="98">
        <f t="shared" si="2"/>
        <v>141.28</v>
      </c>
      <c r="E135" s="98">
        <f t="shared" si="3"/>
        <v>62831.369999999944</v>
      </c>
      <c r="F135" s="115">
        <v>0</v>
      </c>
      <c r="G135" s="115">
        <f t="shared" si="5"/>
        <v>324.95</v>
      </c>
      <c r="I135" s="38">
        <v>99</v>
      </c>
      <c r="J135" s="115">
        <f t="shared" si="6"/>
        <v>358.23</v>
      </c>
      <c r="K135" s="115">
        <f t="shared" si="7"/>
        <v>162.91999999999999</v>
      </c>
      <c r="L135" s="115">
        <f t="shared" si="8"/>
        <v>195.31</v>
      </c>
      <c r="M135" s="115">
        <f t="shared" si="9"/>
        <v>55664.310000000231</v>
      </c>
      <c r="N135" s="115">
        <v>0</v>
      </c>
      <c r="O135" s="115">
        <f t="shared" si="11"/>
        <v>358.23</v>
      </c>
    </row>
    <row r="136" spans="1:15" ht="14.25" customHeight="1" x14ac:dyDescent="0.35">
      <c r="A136" s="7">
        <v>100</v>
      </c>
      <c r="B136" s="98">
        <f t="shared" si="0"/>
        <v>324.95</v>
      </c>
      <c r="C136" s="98">
        <f t="shared" si="1"/>
        <v>183.26</v>
      </c>
      <c r="D136" s="98">
        <f t="shared" si="2"/>
        <v>141.69</v>
      </c>
      <c r="E136" s="98">
        <f t="shared" si="3"/>
        <v>62689.679999999942</v>
      </c>
      <c r="F136" s="115">
        <v>0</v>
      </c>
      <c r="G136" s="115">
        <f t="shared" si="5"/>
        <v>324.95</v>
      </c>
      <c r="I136" s="38">
        <v>100</v>
      </c>
      <c r="J136" s="115">
        <f t="shared" si="6"/>
        <v>357.65999999999997</v>
      </c>
      <c r="K136" s="115">
        <f t="shared" si="7"/>
        <v>162.35</v>
      </c>
      <c r="L136" s="115">
        <f t="shared" si="8"/>
        <v>195.31</v>
      </c>
      <c r="M136" s="115">
        <f t="shared" si="9"/>
        <v>55469.000000000233</v>
      </c>
      <c r="N136" s="115">
        <v>0</v>
      </c>
      <c r="O136" s="115">
        <f t="shared" si="11"/>
        <v>357.65999999999997</v>
      </c>
    </row>
    <row r="137" spans="1:15" ht="14.25" customHeight="1" x14ac:dyDescent="0.35">
      <c r="A137" s="7">
        <v>101</v>
      </c>
      <c r="B137" s="98">
        <f t="shared" si="0"/>
        <v>324.95</v>
      </c>
      <c r="C137" s="98">
        <f t="shared" si="1"/>
        <v>182.84</v>
      </c>
      <c r="D137" s="98">
        <f t="shared" si="2"/>
        <v>142.10999999999999</v>
      </c>
      <c r="E137" s="98">
        <f t="shared" si="3"/>
        <v>62547.569999999942</v>
      </c>
      <c r="F137" s="115">
        <v>0</v>
      </c>
      <c r="G137" s="115">
        <f t="shared" si="5"/>
        <v>324.95</v>
      </c>
      <c r="I137" s="38">
        <v>101</v>
      </c>
      <c r="J137" s="115">
        <f t="shared" si="6"/>
        <v>357.09000000000003</v>
      </c>
      <c r="K137" s="115">
        <f t="shared" si="7"/>
        <v>161.78</v>
      </c>
      <c r="L137" s="115">
        <f t="shared" si="8"/>
        <v>195.31</v>
      </c>
      <c r="M137" s="115">
        <f t="shared" si="9"/>
        <v>55273.690000000235</v>
      </c>
      <c r="N137" s="115">
        <v>0</v>
      </c>
      <c r="O137" s="115">
        <f t="shared" si="11"/>
        <v>357.09000000000003</v>
      </c>
    </row>
    <row r="138" spans="1:15" ht="14.25" customHeight="1" x14ac:dyDescent="0.35">
      <c r="A138" s="7">
        <v>102</v>
      </c>
      <c r="B138" s="98">
        <f t="shared" si="0"/>
        <v>324.95</v>
      </c>
      <c r="C138" s="98">
        <f t="shared" si="1"/>
        <v>182.43</v>
      </c>
      <c r="D138" s="98">
        <f t="shared" si="2"/>
        <v>142.51999999999998</v>
      </c>
      <c r="E138" s="98">
        <f t="shared" si="3"/>
        <v>62405.049999999945</v>
      </c>
      <c r="F138" s="115">
        <v>0</v>
      </c>
      <c r="G138" s="115">
        <f t="shared" si="5"/>
        <v>324.95</v>
      </c>
      <c r="I138" s="38">
        <v>102</v>
      </c>
      <c r="J138" s="115">
        <f t="shared" si="6"/>
        <v>356.52</v>
      </c>
      <c r="K138" s="115">
        <f t="shared" si="7"/>
        <v>161.21</v>
      </c>
      <c r="L138" s="115">
        <f t="shared" si="8"/>
        <v>195.31</v>
      </c>
      <c r="M138" s="115">
        <f t="shared" si="9"/>
        <v>55078.380000000237</v>
      </c>
      <c r="N138" s="115">
        <v>0</v>
      </c>
      <c r="O138" s="115">
        <f t="shared" si="11"/>
        <v>356.52</v>
      </c>
    </row>
    <row r="139" spans="1:15" ht="14.25" customHeight="1" x14ac:dyDescent="0.35">
      <c r="A139" s="7">
        <v>103</v>
      </c>
      <c r="B139" s="98">
        <f t="shared" si="0"/>
        <v>324.95</v>
      </c>
      <c r="C139" s="98">
        <f t="shared" si="1"/>
        <v>182.01</v>
      </c>
      <c r="D139" s="98">
        <f t="shared" si="2"/>
        <v>142.94</v>
      </c>
      <c r="E139" s="98">
        <f t="shared" si="3"/>
        <v>62262.109999999942</v>
      </c>
      <c r="F139" s="115">
        <v>0</v>
      </c>
      <c r="G139" s="115">
        <f t="shared" si="5"/>
        <v>324.95</v>
      </c>
      <c r="I139" s="38">
        <v>103</v>
      </c>
      <c r="J139" s="115">
        <f t="shared" si="6"/>
        <v>355.96000000000004</v>
      </c>
      <c r="K139" s="115">
        <f t="shared" si="7"/>
        <v>160.65</v>
      </c>
      <c r="L139" s="115">
        <f t="shared" si="8"/>
        <v>195.31</v>
      </c>
      <c r="M139" s="115">
        <f t="shared" si="9"/>
        <v>54883.07000000024</v>
      </c>
      <c r="N139" s="115">
        <v>0</v>
      </c>
      <c r="O139" s="115">
        <f t="shared" si="11"/>
        <v>355.96000000000004</v>
      </c>
    </row>
    <row r="140" spans="1:15" ht="14.25" customHeight="1" x14ac:dyDescent="0.35">
      <c r="A140" s="7">
        <v>104</v>
      </c>
      <c r="B140" s="98">
        <f t="shared" si="0"/>
        <v>324.95</v>
      </c>
      <c r="C140" s="98">
        <f t="shared" si="1"/>
        <v>181.6</v>
      </c>
      <c r="D140" s="98">
        <f t="shared" si="2"/>
        <v>143.35</v>
      </c>
      <c r="E140" s="98">
        <f t="shared" si="3"/>
        <v>62118.759999999944</v>
      </c>
      <c r="F140" s="115">
        <v>0</v>
      </c>
      <c r="G140" s="115">
        <f t="shared" si="5"/>
        <v>324.95</v>
      </c>
      <c r="I140" s="38">
        <v>104</v>
      </c>
      <c r="J140" s="115">
        <f t="shared" si="6"/>
        <v>355.39</v>
      </c>
      <c r="K140" s="115">
        <f t="shared" si="7"/>
        <v>160.08000000000001</v>
      </c>
      <c r="L140" s="115">
        <f t="shared" si="8"/>
        <v>195.31</v>
      </c>
      <c r="M140" s="115">
        <f t="shared" si="9"/>
        <v>54687.760000000242</v>
      </c>
      <c r="N140" s="115">
        <v>0</v>
      </c>
      <c r="O140" s="115">
        <f t="shared" si="11"/>
        <v>355.39</v>
      </c>
    </row>
    <row r="141" spans="1:15" ht="14.25" customHeight="1" x14ac:dyDescent="0.35">
      <c r="A141" s="7">
        <v>105</v>
      </c>
      <c r="B141" s="98">
        <f t="shared" si="0"/>
        <v>324.95</v>
      </c>
      <c r="C141" s="98">
        <f t="shared" si="1"/>
        <v>181.18</v>
      </c>
      <c r="D141" s="98">
        <f t="shared" si="2"/>
        <v>143.76999999999998</v>
      </c>
      <c r="E141" s="98">
        <f t="shared" si="3"/>
        <v>61974.989999999947</v>
      </c>
      <c r="F141" s="115">
        <v>0</v>
      </c>
      <c r="G141" s="115">
        <f t="shared" si="5"/>
        <v>324.95</v>
      </c>
      <c r="I141" s="38">
        <v>105</v>
      </c>
      <c r="J141" s="115">
        <f t="shared" si="6"/>
        <v>354.82</v>
      </c>
      <c r="K141" s="115">
        <f t="shared" si="7"/>
        <v>159.51</v>
      </c>
      <c r="L141" s="115">
        <f t="shared" si="8"/>
        <v>195.31</v>
      </c>
      <c r="M141" s="115">
        <f t="shared" si="9"/>
        <v>54492.450000000244</v>
      </c>
      <c r="N141" s="115">
        <v>0</v>
      </c>
      <c r="O141" s="115">
        <f t="shared" si="11"/>
        <v>354.82</v>
      </c>
    </row>
    <row r="142" spans="1:15" ht="14.25" customHeight="1" x14ac:dyDescent="0.35">
      <c r="A142" s="7">
        <v>106</v>
      </c>
      <c r="B142" s="98">
        <f t="shared" si="0"/>
        <v>324.95</v>
      </c>
      <c r="C142" s="98">
        <f t="shared" si="1"/>
        <v>180.76</v>
      </c>
      <c r="D142" s="98">
        <f t="shared" si="2"/>
        <v>144.19</v>
      </c>
      <c r="E142" s="98">
        <f t="shared" si="3"/>
        <v>61830.799999999945</v>
      </c>
      <c r="F142" s="115">
        <v>0</v>
      </c>
      <c r="G142" s="115">
        <f t="shared" si="5"/>
        <v>324.95</v>
      </c>
      <c r="I142" s="38">
        <v>106</v>
      </c>
      <c r="J142" s="115">
        <f t="shared" si="6"/>
        <v>354.25</v>
      </c>
      <c r="K142" s="115">
        <f t="shared" si="7"/>
        <v>158.94</v>
      </c>
      <c r="L142" s="115">
        <f t="shared" si="8"/>
        <v>195.31</v>
      </c>
      <c r="M142" s="115">
        <f t="shared" si="9"/>
        <v>54297.140000000247</v>
      </c>
      <c r="N142" s="115">
        <v>0</v>
      </c>
      <c r="O142" s="115">
        <f t="shared" si="11"/>
        <v>354.25</v>
      </c>
    </row>
    <row r="143" spans="1:15" ht="14.25" customHeight="1" x14ac:dyDescent="0.35">
      <c r="A143" s="7">
        <v>107</v>
      </c>
      <c r="B143" s="98">
        <f t="shared" si="0"/>
        <v>324.95</v>
      </c>
      <c r="C143" s="98">
        <f t="shared" si="1"/>
        <v>180.34</v>
      </c>
      <c r="D143" s="98">
        <f t="shared" si="2"/>
        <v>144.60999999999999</v>
      </c>
      <c r="E143" s="98">
        <f t="shared" si="3"/>
        <v>61686.189999999944</v>
      </c>
      <c r="F143" s="115">
        <v>0</v>
      </c>
      <c r="G143" s="115">
        <f t="shared" si="5"/>
        <v>324.95</v>
      </c>
      <c r="I143" s="38">
        <v>107</v>
      </c>
      <c r="J143" s="115">
        <f t="shared" si="6"/>
        <v>353.68</v>
      </c>
      <c r="K143" s="115">
        <f t="shared" si="7"/>
        <v>158.37</v>
      </c>
      <c r="L143" s="115">
        <f t="shared" si="8"/>
        <v>195.31</v>
      </c>
      <c r="M143" s="115">
        <f t="shared" si="9"/>
        <v>54101.830000000249</v>
      </c>
      <c r="N143" s="115">
        <v>0</v>
      </c>
      <c r="O143" s="115">
        <f t="shared" si="11"/>
        <v>353.68</v>
      </c>
    </row>
    <row r="144" spans="1:15" ht="14.25" customHeight="1" x14ac:dyDescent="0.35">
      <c r="A144" s="7">
        <v>108</v>
      </c>
      <c r="B144" s="98">
        <f t="shared" si="0"/>
        <v>324.95</v>
      </c>
      <c r="C144" s="98">
        <f t="shared" si="1"/>
        <v>179.92</v>
      </c>
      <c r="D144" s="98">
        <f t="shared" si="2"/>
        <v>145.03</v>
      </c>
      <c r="E144" s="98">
        <f t="shared" si="3"/>
        <v>61541.159999999945</v>
      </c>
      <c r="F144" s="115">
        <v>0</v>
      </c>
      <c r="G144" s="115">
        <f t="shared" si="5"/>
        <v>324.95</v>
      </c>
      <c r="I144" s="38">
        <v>108</v>
      </c>
      <c r="J144" s="115">
        <f t="shared" si="6"/>
        <v>353.11</v>
      </c>
      <c r="K144" s="115">
        <f t="shared" si="7"/>
        <v>157.80000000000001</v>
      </c>
      <c r="L144" s="115">
        <f t="shared" si="8"/>
        <v>195.31</v>
      </c>
      <c r="M144" s="115">
        <f t="shared" si="9"/>
        <v>53906.520000000251</v>
      </c>
      <c r="N144" s="115">
        <v>0</v>
      </c>
      <c r="O144" s="115">
        <f t="shared" si="11"/>
        <v>353.11</v>
      </c>
    </row>
    <row r="145" spans="1:15" ht="14.25" customHeight="1" x14ac:dyDescent="0.35">
      <c r="A145" s="7">
        <v>109</v>
      </c>
      <c r="B145" s="98">
        <f t="shared" si="0"/>
        <v>324.95</v>
      </c>
      <c r="C145" s="98">
        <f t="shared" si="1"/>
        <v>179.5</v>
      </c>
      <c r="D145" s="98">
        <f t="shared" si="2"/>
        <v>145.44999999999999</v>
      </c>
      <c r="E145" s="98">
        <f t="shared" si="3"/>
        <v>61395.709999999948</v>
      </c>
      <c r="F145" s="115">
        <v>0</v>
      </c>
      <c r="G145" s="115">
        <f t="shared" si="5"/>
        <v>324.95</v>
      </c>
      <c r="I145" s="38">
        <v>109</v>
      </c>
      <c r="J145" s="115">
        <f t="shared" si="6"/>
        <v>352.53999999999996</v>
      </c>
      <c r="K145" s="115">
        <f t="shared" si="7"/>
        <v>157.22999999999999</v>
      </c>
      <c r="L145" s="115">
        <f t="shared" si="8"/>
        <v>195.31</v>
      </c>
      <c r="M145" s="115">
        <f t="shared" si="9"/>
        <v>53711.210000000254</v>
      </c>
      <c r="N145" s="115">
        <v>0</v>
      </c>
      <c r="O145" s="115">
        <f t="shared" si="11"/>
        <v>352.53999999999996</v>
      </c>
    </row>
    <row r="146" spans="1:15" ht="14.25" customHeight="1" x14ac:dyDescent="0.35">
      <c r="A146" s="7">
        <v>110</v>
      </c>
      <c r="B146" s="98">
        <f t="shared" si="0"/>
        <v>324.95</v>
      </c>
      <c r="C146" s="98">
        <f t="shared" si="1"/>
        <v>179.07</v>
      </c>
      <c r="D146" s="98">
        <f t="shared" si="2"/>
        <v>145.88</v>
      </c>
      <c r="E146" s="98">
        <f t="shared" si="3"/>
        <v>61249.829999999951</v>
      </c>
      <c r="F146" s="115">
        <v>0</v>
      </c>
      <c r="G146" s="115">
        <f t="shared" si="5"/>
        <v>324.95</v>
      </c>
      <c r="I146" s="38">
        <v>110</v>
      </c>
      <c r="J146" s="115">
        <f t="shared" si="6"/>
        <v>351.97</v>
      </c>
      <c r="K146" s="115">
        <f t="shared" si="7"/>
        <v>156.66</v>
      </c>
      <c r="L146" s="115">
        <f t="shared" si="8"/>
        <v>195.31</v>
      </c>
      <c r="M146" s="115">
        <f t="shared" si="9"/>
        <v>53515.900000000256</v>
      </c>
      <c r="N146" s="115">
        <v>0</v>
      </c>
      <c r="O146" s="115">
        <f t="shared" si="11"/>
        <v>351.97</v>
      </c>
    </row>
    <row r="147" spans="1:15" ht="14.25" customHeight="1" x14ac:dyDescent="0.35">
      <c r="A147" s="7">
        <v>111</v>
      </c>
      <c r="B147" s="98">
        <f t="shared" si="0"/>
        <v>324.95</v>
      </c>
      <c r="C147" s="98">
        <f t="shared" si="1"/>
        <v>178.65</v>
      </c>
      <c r="D147" s="98">
        <f t="shared" si="2"/>
        <v>146.29999999999998</v>
      </c>
      <c r="E147" s="98">
        <f t="shared" si="3"/>
        <v>61103.529999999948</v>
      </c>
      <c r="F147" s="115">
        <v>0</v>
      </c>
      <c r="G147" s="115">
        <f t="shared" si="5"/>
        <v>324.95</v>
      </c>
      <c r="I147" s="38">
        <v>111</v>
      </c>
      <c r="J147" s="115">
        <f t="shared" si="6"/>
        <v>351.4</v>
      </c>
      <c r="K147" s="115">
        <f t="shared" si="7"/>
        <v>156.09</v>
      </c>
      <c r="L147" s="115">
        <f t="shared" si="8"/>
        <v>195.31</v>
      </c>
      <c r="M147" s="115">
        <f t="shared" si="9"/>
        <v>53320.590000000258</v>
      </c>
      <c r="N147" s="115">
        <v>0</v>
      </c>
      <c r="O147" s="115">
        <f t="shared" si="11"/>
        <v>351.4</v>
      </c>
    </row>
    <row r="148" spans="1:15" ht="14.25" customHeight="1" x14ac:dyDescent="0.35">
      <c r="A148" s="7">
        <v>112</v>
      </c>
      <c r="B148" s="98">
        <f t="shared" si="0"/>
        <v>324.95</v>
      </c>
      <c r="C148" s="98">
        <f t="shared" si="1"/>
        <v>178.22</v>
      </c>
      <c r="D148" s="98">
        <f t="shared" si="2"/>
        <v>146.72999999999999</v>
      </c>
      <c r="E148" s="98">
        <f t="shared" si="3"/>
        <v>60956.799999999945</v>
      </c>
      <c r="F148" s="115">
        <v>0</v>
      </c>
      <c r="G148" s="115">
        <f t="shared" si="5"/>
        <v>324.95</v>
      </c>
      <c r="I148" s="38">
        <v>112</v>
      </c>
      <c r="J148" s="115">
        <f t="shared" si="6"/>
        <v>350.83000000000004</v>
      </c>
      <c r="K148" s="115">
        <f t="shared" si="7"/>
        <v>155.52000000000001</v>
      </c>
      <c r="L148" s="115">
        <f t="shared" si="8"/>
        <v>195.31</v>
      </c>
      <c r="M148" s="115">
        <f t="shared" si="9"/>
        <v>53125.280000000261</v>
      </c>
      <c r="N148" s="115">
        <v>0</v>
      </c>
      <c r="O148" s="115">
        <f t="shared" si="11"/>
        <v>350.83000000000004</v>
      </c>
    </row>
    <row r="149" spans="1:15" ht="14.25" customHeight="1" x14ac:dyDescent="0.35">
      <c r="A149" s="7">
        <v>113</v>
      </c>
      <c r="B149" s="98">
        <f t="shared" si="0"/>
        <v>324.95</v>
      </c>
      <c r="C149" s="98">
        <f t="shared" si="1"/>
        <v>177.79</v>
      </c>
      <c r="D149" s="98">
        <f t="shared" si="2"/>
        <v>147.16</v>
      </c>
      <c r="E149" s="98">
        <f t="shared" si="3"/>
        <v>60809.639999999941</v>
      </c>
      <c r="F149" s="115">
        <v>0</v>
      </c>
      <c r="G149" s="115">
        <f t="shared" si="5"/>
        <v>324.95</v>
      </c>
      <c r="I149" s="38">
        <v>113</v>
      </c>
      <c r="J149" s="115">
        <f t="shared" si="6"/>
        <v>350.26</v>
      </c>
      <c r="K149" s="115">
        <f t="shared" si="7"/>
        <v>154.94999999999999</v>
      </c>
      <c r="L149" s="115">
        <f t="shared" si="8"/>
        <v>195.31</v>
      </c>
      <c r="M149" s="115">
        <f t="shared" si="9"/>
        <v>52929.970000000263</v>
      </c>
      <c r="N149" s="115">
        <v>0</v>
      </c>
      <c r="O149" s="115">
        <f t="shared" si="11"/>
        <v>350.26</v>
      </c>
    </row>
    <row r="150" spans="1:15" ht="14.25" customHeight="1" x14ac:dyDescent="0.35">
      <c r="A150" s="7">
        <v>114</v>
      </c>
      <c r="B150" s="98">
        <f t="shared" si="0"/>
        <v>324.95</v>
      </c>
      <c r="C150" s="98">
        <f t="shared" si="1"/>
        <v>177.36</v>
      </c>
      <c r="D150" s="98">
        <f t="shared" si="2"/>
        <v>147.58999999999997</v>
      </c>
      <c r="E150" s="98">
        <f t="shared" si="3"/>
        <v>60662.049999999945</v>
      </c>
      <c r="F150" s="115">
        <v>0</v>
      </c>
      <c r="G150" s="115">
        <f t="shared" si="5"/>
        <v>324.95</v>
      </c>
      <c r="I150" s="38">
        <v>114</v>
      </c>
      <c r="J150" s="115">
        <f t="shared" si="6"/>
        <v>349.69</v>
      </c>
      <c r="K150" s="115">
        <f t="shared" si="7"/>
        <v>154.38</v>
      </c>
      <c r="L150" s="115">
        <f t="shared" si="8"/>
        <v>195.31</v>
      </c>
      <c r="M150" s="115">
        <f t="shared" si="9"/>
        <v>52734.660000000265</v>
      </c>
      <c r="N150" s="115">
        <v>0</v>
      </c>
      <c r="O150" s="115">
        <f t="shared" si="11"/>
        <v>349.69</v>
      </c>
    </row>
    <row r="151" spans="1:15" ht="14.25" customHeight="1" x14ac:dyDescent="0.35">
      <c r="A151" s="7">
        <v>115</v>
      </c>
      <c r="B151" s="98">
        <f t="shared" si="0"/>
        <v>324.95</v>
      </c>
      <c r="C151" s="98">
        <f t="shared" si="1"/>
        <v>176.93</v>
      </c>
      <c r="D151" s="98">
        <f t="shared" si="2"/>
        <v>148.01999999999998</v>
      </c>
      <c r="E151" s="98">
        <f t="shared" si="3"/>
        <v>60514.029999999948</v>
      </c>
      <c r="F151" s="115">
        <v>0</v>
      </c>
      <c r="G151" s="115">
        <f t="shared" si="5"/>
        <v>324.95</v>
      </c>
      <c r="I151" s="38">
        <v>115</v>
      </c>
      <c r="J151" s="115">
        <f t="shared" si="6"/>
        <v>349.12</v>
      </c>
      <c r="K151" s="115">
        <f t="shared" si="7"/>
        <v>153.81</v>
      </c>
      <c r="L151" s="115">
        <f t="shared" si="8"/>
        <v>195.31</v>
      </c>
      <c r="M151" s="115">
        <f t="shared" si="9"/>
        <v>52539.350000000268</v>
      </c>
      <c r="N151" s="115">
        <v>0</v>
      </c>
      <c r="O151" s="115">
        <f t="shared" si="11"/>
        <v>349.12</v>
      </c>
    </row>
    <row r="152" spans="1:15" ht="14.25" customHeight="1" x14ac:dyDescent="0.35">
      <c r="A152" s="7">
        <v>116</v>
      </c>
      <c r="B152" s="98">
        <f t="shared" si="0"/>
        <v>324.95</v>
      </c>
      <c r="C152" s="98">
        <f t="shared" si="1"/>
        <v>176.5</v>
      </c>
      <c r="D152" s="98">
        <f t="shared" si="2"/>
        <v>148.44999999999999</v>
      </c>
      <c r="E152" s="98">
        <f t="shared" si="3"/>
        <v>60365.579999999951</v>
      </c>
      <c r="F152" s="115">
        <v>0</v>
      </c>
      <c r="G152" s="115">
        <f t="shared" si="5"/>
        <v>324.95</v>
      </c>
      <c r="I152" s="38">
        <v>116</v>
      </c>
      <c r="J152" s="115">
        <f t="shared" si="6"/>
        <v>348.55</v>
      </c>
      <c r="K152" s="115">
        <f t="shared" si="7"/>
        <v>153.24</v>
      </c>
      <c r="L152" s="115">
        <f t="shared" si="8"/>
        <v>195.31</v>
      </c>
      <c r="M152" s="115">
        <f t="shared" si="9"/>
        <v>52344.04000000027</v>
      </c>
      <c r="N152" s="115">
        <v>0</v>
      </c>
      <c r="O152" s="115">
        <f t="shared" si="11"/>
        <v>348.55</v>
      </c>
    </row>
    <row r="153" spans="1:15" ht="14.25" customHeight="1" x14ac:dyDescent="0.35">
      <c r="A153" s="7">
        <v>117</v>
      </c>
      <c r="B153" s="98">
        <f t="shared" si="0"/>
        <v>324.95</v>
      </c>
      <c r="C153" s="98">
        <f t="shared" si="1"/>
        <v>176.07</v>
      </c>
      <c r="D153" s="98">
        <f t="shared" si="2"/>
        <v>148.88</v>
      </c>
      <c r="E153" s="98">
        <f t="shared" si="3"/>
        <v>60216.699999999953</v>
      </c>
      <c r="F153" s="115">
        <v>0</v>
      </c>
      <c r="G153" s="115">
        <f t="shared" si="5"/>
        <v>324.95</v>
      </c>
      <c r="I153" s="38">
        <v>117</v>
      </c>
      <c r="J153" s="115">
        <f t="shared" si="6"/>
        <v>347.98</v>
      </c>
      <c r="K153" s="115">
        <f t="shared" si="7"/>
        <v>152.66999999999999</v>
      </c>
      <c r="L153" s="115">
        <f t="shared" si="8"/>
        <v>195.31</v>
      </c>
      <c r="M153" s="115">
        <f t="shared" si="9"/>
        <v>52148.730000000272</v>
      </c>
      <c r="N153" s="115">
        <v>0</v>
      </c>
      <c r="O153" s="115">
        <f t="shared" si="11"/>
        <v>347.98</v>
      </c>
    </row>
    <row r="154" spans="1:15" ht="14.25" customHeight="1" x14ac:dyDescent="0.35">
      <c r="A154" s="7">
        <v>118</v>
      </c>
      <c r="B154" s="98">
        <f t="shared" si="0"/>
        <v>324.95</v>
      </c>
      <c r="C154" s="98">
        <f t="shared" si="1"/>
        <v>175.63</v>
      </c>
      <c r="D154" s="98">
        <f t="shared" si="2"/>
        <v>149.32</v>
      </c>
      <c r="E154" s="98">
        <f t="shared" si="3"/>
        <v>60067.379999999954</v>
      </c>
      <c r="F154" s="115">
        <v>0</v>
      </c>
      <c r="G154" s="115">
        <f t="shared" si="5"/>
        <v>324.95</v>
      </c>
      <c r="I154" s="38">
        <v>118</v>
      </c>
      <c r="J154" s="115">
        <f t="shared" si="6"/>
        <v>347.40999999999997</v>
      </c>
      <c r="K154" s="115">
        <f t="shared" si="7"/>
        <v>152.1</v>
      </c>
      <c r="L154" s="115">
        <f t="shared" si="8"/>
        <v>195.31</v>
      </c>
      <c r="M154" s="115">
        <f t="shared" si="9"/>
        <v>51953.420000000275</v>
      </c>
      <c r="N154" s="115">
        <v>0</v>
      </c>
      <c r="O154" s="115">
        <f t="shared" si="11"/>
        <v>347.40999999999997</v>
      </c>
    </row>
    <row r="155" spans="1:15" ht="14.25" customHeight="1" x14ac:dyDescent="0.35">
      <c r="A155" s="7">
        <v>119</v>
      </c>
      <c r="B155" s="98">
        <f t="shared" si="0"/>
        <v>324.95</v>
      </c>
      <c r="C155" s="98">
        <f t="shared" si="1"/>
        <v>175.2</v>
      </c>
      <c r="D155" s="98">
        <f t="shared" si="2"/>
        <v>149.75</v>
      </c>
      <c r="E155" s="98">
        <f t="shared" si="3"/>
        <v>59917.629999999954</v>
      </c>
      <c r="F155" s="115">
        <v>0</v>
      </c>
      <c r="G155" s="115">
        <f t="shared" si="5"/>
        <v>324.95</v>
      </c>
      <c r="I155" s="38">
        <v>119</v>
      </c>
      <c r="J155" s="115">
        <f t="shared" si="6"/>
        <v>346.84000000000003</v>
      </c>
      <c r="K155" s="115">
        <f t="shared" si="7"/>
        <v>151.53</v>
      </c>
      <c r="L155" s="115">
        <f t="shared" si="8"/>
        <v>195.31</v>
      </c>
      <c r="M155" s="115">
        <f t="shared" si="9"/>
        <v>51758.110000000277</v>
      </c>
      <c r="N155" s="115">
        <v>0</v>
      </c>
      <c r="O155" s="115">
        <f t="shared" si="11"/>
        <v>346.84000000000003</v>
      </c>
    </row>
    <row r="156" spans="1:15" ht="14.25" customHeight="1" x14ac:dyDescent="0.35">
      <c r="A156" s="7">
        <v>120</v>
      </c>
      <c r="B156" s="98">
        <f t="shared" si="0"/>
        <v>324.95</v>
      </c>
      <c r="C156" s="98">
        <f t="shared" si="1"/>
        <v>174.76</v>
      </c>
      <c r="D156" s="98">
        <f t="shared" si="2"/>
        <v>150.19</v>
      </c>
      <c r="E156" s="98">
        <f t="shared" si="3"/>
        <v>59767.439999999951</v>
      </c>
      <c r="F156" s="115">
        <v>0</v>
      </c>
      <c r="G156" s="115">
        <f t="shared" si="5"/>
        <v>324.95</v>
      </c>
      <c r="I156" s="38">
        <v>120</v>
      </c>
      <c r="J156" s="115">
        <f t="shared" si="6"/>
        <v>346.27</v>
      </c>
      <c r="K156" s="115">
        <f t="shared" si="7"/>
        <v>150.96</v>
      </c>
      <c r="L156" s="115">
        <f t="shared" si="8"/>
        <v>195.31</v>
      </c>
      <c r="M156" s="115">
        <f t="shared" si="9"/>
        <v>51562.800000000279</v>
      </c>
      <c r="N156" s="115">
        <v>0</v>
      </c>
      <c r="O156" s="115">
        <f t="shared" si="11"/>
        <v>346.27</v>
      </c>
    </row>
    <row r="157" spans="1:15" ht="14.25" customHeight="1" x14ac:dyDescent="0.35">
      <c r="A157" s="7">
        <v>121</v>
      </c>
      <c r="B157" s="98">
        <f t="shared" si="0"/>
        <v>324.95</v>
      </c>
      <c r="C157" s="98">
        <f t="shared" si="1"/>
        <v>174.32</v>
      </c>
      <c r="D157" s="98">
        <f t="shared" si="2"/>
        <v>150.63</v>
      </c>
      <c r="E157" s="98">
        <f t="shared" si="3"/>
        <v>59616.809999999954</v>
      </c>
      <c r="F157" s="115">
        <v>0</v>
      </c>
      <c r="G157" s="115">
        <f t="shared" si="5"/>
        <v>324.95</v>
      </c>
      <c r="I157" s="38">
        <v>121</v>
      </c>
      <c r="J157" s="115">
        <f t="shared" si="6"/>
        <v>345.7</v>
      </c>
      <c r="K157" s="115">
        <f t="shared" si="7"/>
        <v>150.38999999999999</v>
      </c>
      <c r="L157" s="115">
        <f t="shared" si="8"/>
        <v>195.31</v>
      </c>
      <c r="M157" s="115">
        <f t="shared" si="9"/>
        <v>51367.490000000282</v>
      </c>
      <c r="N157" s="115">
        <v>0</v>
      </c>
      <c r="O157" s="115">
        <f t="shared" si="11"/>
        <v>345.7</v>
      </c>
    </row>
    <row r="158" spans="1:15" ht="14.25" customHeight="1" x14ac:dyDescent="0.35">
      <c r="A158" s="7">
        <v>122</v>
      </c>
      <c r="B158" s="98">
        <f t="shared" si="0"/>
        <v>324.95</v>
      </c>
      <c r="C158" s="98">
        <f t="shared" si="1"/>
        <v>173.88</v>
      </c>
      <c r="D158" s="98">
        <f t="shared" si="2"/>
        <v>151.07</v>
      </c>
      <c r="E158" s="98">
        <f t="shared" si="3"/>
        <v>59465.739999999954</v>
      </c>
      <c r="F158" s="115">
        <v>0</v>
      </c>
      <c r="G158" s="115">
        <f t="shared" si="5"/>
        <v>324.95</v>
      </c>
      <c r="I158" s="38">
        <v>122</v>
      </c>
      <c r="J158" s="115">
        <f t="shared" si="6"/>
        <v>345.13</v>
      </c>
      <c r="K158" s="115">
        <f t="shared" si="7"/>
        <v>149.82</v>
      </c>
      <c r="L158" s="115">
        <f t="shared" si="8"/>
        <v>195.31</v>
      </c>
      <c r="M158" s="115">
        <f t="shared" si="9"/>
        <v>51172.180000000284</v>
      </c>
      <c r="N158" s="115">
        <v>0</v>
      </c>
      <c r="O158" s="115">
        <f t="shared" si="11"/>
        <v>345.13</v>
      </c>
    </row>
    <row r="159" spans="1:15" ht="14.25" customHeight="1" x14ac:dyDescent="0.35">
      <c r="A159" s="7">
        <v>123</v>
      </c>
      <c r="B159" s="98">
        <f t="shared" si="0"/>
        <v>324.95</v>
      </c>
      <c r="C159" s="98">
        <f t="shared" si="1"/>
        <v>173.44</v>
      </c>
      <c r="D159" s="98">
        <f t="shared" si="2"/>
        <v>151.51</v>
      </c>
      <c r="E159" s="98">
        <f t="shared" si="3"/>
        <v>59314.229999999952</v>
      </c>
      <c r="F159" s="115">
        <v>0</v>
      </c>
      <c r="G159" s="115">
        <f t="shared" si="5"/>
        <v>324.95</v>
      </c>
      <c r="I159" s="38">
        <v>123</v>
      </c>
      <c r="J159" s="115">
        <f t="shared" si="6"/>
        <v>344.56</v>
      </c>
      <c r="K159" s="115">
        <f t="shared" si="7"/>
        <v>149.25</v>
      </c>
      <c r="L159" s="115">
        <f t="shared" si="8"/>
        <v>195.31</v>
      </c>
      <c r="M159" s="115">
        <f t="shared" si="9"/>
        <v>50976.870000000286</v>
      </c>
      <c r="N159" s="115">
        <v>0</v>
      </c>
      <c r="O159" s="115">
        <f t="shared" si="11"/>
        <v>344.56</v>
      </c>
    </row>
    <row r="160" spans="1:15" ht="14.25" customHeight="1" x14ac:dyDescent="0.35">
      <c r="A160" s="7">
        <v>124</v>
      </c>
      <c r="B160" s="98">
        <f t="shared" si="0"/>
        <v>324.95</v>
      </c>
      <c r="C160" s="98">
        <f t="shared" si="1"/>
        <v>173</v>
      </c>
      <c r="D160" s="98">
        <f t="shared" si="2"/>
        <v>151.94999999999999</v>
      </c>
      <c r="E160" s="98">
        <f t="shared" si="3"/>
        <v>59162.279999999955</v>
      </c>
      <c r="F160" s="115">
        <v>0</v>
      </c>
      <c r="G160" s="115">
        <f t="shared" si="5"/>
        <v>324.95</v>
      </c>
      <c r="I160" s="38">
        <v>124</v>
      </c>
      <c r="J160" s="115">
        <f t="shared" si="6"/>
        <v>343.99</v>
      </c>
      <c r="K160" s="115">
        <f t="shared" si="7"/>
        <v>148.68</v>
      </c>
      <c r="L160" s="115">
        <f t="shared" si="8"/>
        <v>195.31</v>
      </c>
      <c r="M160" s="115">
        <f t="shared" si="9"/>
        <v>50781.560000000289</v>
      </c>
      <c r="N160" s="115">
        <v>0</v>
      </c>
      <c r="O160" s="115">
        <f t="shared" si="11"/>
        <v>343.99</v>
      </c>
    </row>
    <row r="161" spans="1:15" ht="14.25" customHeight="1" x14ac:dyDescent="0.35">
      <c r="A161" s="7">
        <v>125</v>
      </c>
      <c r="B161" s="98">
        <f t="shared" si="0"/>
        <v>324.95</v>
      </c>
      <c r="C161" s="98">
        <f t="shared" si="1"/>
        <v>172.56</v>
      </c>
      <c r="D161" s="98">
        <f t="shared" si="2"/>
        <v>152.38999999999999</v>
      </c>
      <c r="E161" s="98">
        <f t="shared" si="3"/>
        <v>59009.889999999956</v>
      </c>
      <c r="F161" s="115">
        <v>0</v>
      </c>
      <c r="G161" s="115">
        <f t="shared" si="5"/>
        <v>324.95</v>
      </c>
      <c r="I161" s="38">
        <v>125</v>
      </c>
      <c r="J161" s="115">
        <f t="shared" si="6"/>
        <v>343.42</v>
      </c>
      <c r="K161" s="115">
        <f t="shared" si="7"/>
        <v>148.11000000000001</v>
      </c>
      <c r="L161" s="115">
        <f t="shared" si="8"/>
        <v>195.31</v>
      </c>
      <c r="M161" s="115">
        <f t="shared" si="9"/>
        <v>50586.250000000291</v>
      </c>
      <c r="N161" s="115">
        <v>0</v>
      </c>
      <c r="O161" s="115">
        <f t="shared" si="11"/>
        <v>343.42</v>
      </c>
    </row>
    <row r="162" spans="1:15" ht="14.25" customHeight="1" x14ac:dyDescent="0.35">
      <c r="A162" s="7">
        <v>126</v>
      </c>
      <c r="B162" s="98">
        <f t="shared" si="0"/>
        <v>324.95</v>
      </c>
      <c r="C162" s="98">
        <f t="shared" si="1"/>
        <v>172.11</v>
      </c>
      <c r="D162" s="98">
        <f t="shared" si="2"/>
        <v>152.83999999999997</v>
      </c>
      <c r="E162" s="98">
        <f t="shared" si="3"/>
        <v>58857.049999999959</v>
      </c>
      <c r="F162" s="115">
        <v>0</v>
      </c>
      <c r="G162" s="115">
        <f t="shared" si="5"/>
        <v>324.95</v>
      </c>
      <c r="I162" s="38">
        <v>126</v>
      </c>
      <c r="J162" s="115">
        <f t="shared" si="6"/>
        <v>342.85</v>
      </c>
      <c r="K162" s="115">
        <f t="shared" si="7"/>
        <v>147.54</v>
      </c>
      <c r="L162" s="115">
        <f t="shared" si="8"/>
        <v>195.31</v>
      </c>
      <c r="M162" s="115">
        <f t="shared" si="9"/>
        <v>50390.940000000293</v>
      </c>
      <c r="N162" s="115">
        <v>0</v>
      </c>
      <c r="O162" s="115">
        <f t="shared" si="11"/>
        <v>342.85</v>
      </c>
    </row>
    <row r="163" spans="1:15" ht="14.25" customHeight="1" x14ac:dyDescent="0.35">
      <c r="A163" s="7">
        <v>127</v>
      </c>
      <c r="B163" s="98">
        <f t="shared" si="0"/>
        <v>324.95</v>
      </c>
      <c r="C163" s="98">
        <f t="shared" si="1"/>
        <v>171.67</v>
      </c>
      <c r="D163" s="98">
        <f t="shared" si="2"/>
        <v>153.28</v>
      </c>
      <c r="E163" s="98">
        <f t="shared" si="3"/>
        <v>58703.76999999996</v>
      </c>
      <c r="F163" s="115">
        <v>0</v>
      </c>
      <c r="G163" s="115">
        <f t="shared" si="5"/>
        <v>324.95</v>
      </c>
      <c r="I163" s="38">
        <v>127</v>
      </c>
      <c r="J163" s="115">
        <f t="shared" si="6"/>
        <v>342.28</v>
      </c>
      <c r="K163" s="115">
        <f t="shared" si="7"/>
        <v>146.97</v>
      </c>
      <c r="L163" s="115">
        <f t="shared" si="8"/>
        <v>195.31</v>
      </c>
      <c r="M163" s="115">
        <f t="shared" si="9"/>
        <v>50195.630000000296</v>
      </c>
      <c r="N163" s="115">
        <v>0</v>
      </c>
      <c r="O163" s="115">
        <f t="shared" si="11"/>
        <v>342.28</v>
      </c>
    </row>
    <row r="164" spans="1:15" ht="14.25" customHeight="1" x14ac:dyDescent="0.35">
      <c r="A164" s="7">
        <v>128</v>
      </c>
      <c r="B164" s="98">
        <f t="shared" si="0"/>
        <v>324.95</v>
      </c>
      <c r="C164" s="98">
        <f t="shared" si="1"/>
        <v>171.22</v>
      </c>
      <c r="D164" s="98">
        <f t="shared" si="2"/>
        <v>153.72999999999999</v>
      </c>
      <c r="E164" s="98">
        <f t="shared" si="3"/>
        <v>58550.039999999957</v>
      </c>
      <c r="F164" s="115">
        <v>0</v>
      </c>
      <c r="G164" s="115">
        <f t="shared" si="5"/>
        <v>324.95</v>
      </c>
      <c r="I164" s="38">
        <v>128</v>
      </c>
      <c r="J164" s="115">
        <f t="shared" si="6"/>
        <v>341.71000000000004</v>
      </c>
      <c r="K164" s="115">
        <f t="shared" si="7"/>
        <v>146.4</v>
      </c>
      <c r="L164" s="115">
        <f t="shared" si="8"/>
        <v>195.31</v>
      </c>
      <c r="M164" s="115">
        <f t="shared" si="9"/>
        <v>50000.320000000298</v>
      </c>
      <c r="N164" s="115">
        <v>0</v>
      </c>
      <c r="O164" s="115">
        <f t="shared" si="11"/>
        <v>341.71000000000004</v>
      </c>
    </row>
    <row r="165" spans="1:15" ht="14.25" customHeight="1" x14ac:dyDescent="0.35">
      <c r="A165" s="7">
        <v>129</v>
      </c>
      <c r="B165" s="98">
        <f t="shared" si="0"/>
        <v>324.95</v>
      </c>
      <c r="C165" s="98">
        <f t="shared" si="1"/>
        <v>170.77</v>
      </c>
      <c r="D165" s="98">
        <f t="shared" si="2"/>
        <v>154.17999999999998</v>
      </c>
      <c r="E165" s="98">
        <f t="shared" si="3"/>
        <v>58395.859999999957</v>
      </c>
      <c r="F165" s="115">
        <v>0</v>
      </c>
      <c r="G165" s="115">
        <f t="shared" si="5"/>
        <v>324.95</v>
      </c>
      <c r="I165" s="38">
        <v>129</v>
      </c>
      <c r="J165" s="115">
        <f t="shared" si="6"/>
        <v>341.14</v>
      </c>
      <c r="K165" s="115">
        <f t="shared" si="7"/>
        <v>145.83000000000001</v>
      </c>
      <c r="L165" s="115">
        <f t="shared" si="8"/>
        <v>195.31</v>
      </c>
      <c r="M165" s="115">
        <f t="shared" si="9"/>
        <v>49805.0100000003</v>
      </c>
      <c r="N165" s="115">
        <v>0</v>
      </c>
      <c r="O165" s="115">
        <f t="shared" si="11"/>
        <v>341.14</v>
      </c>
    </row>
    <row r="166" spans="1:15" ht="14.25" customHeight="1" x14ac:dyDescent="0.35">
      <c r="A166" s="7">
        <v>130</v>
      </c>
      <c r="B166" s="98">
        <f t="shared" si="0"/>
        <v>324.95</v>
      </c>
      <c r="C166" s="98">
        <f t="shared" si="1"/>
        <v>170.32</v>
      </c>
      <c r="D166" s="98">
        <f t="shared" si="2"/>
        <v>154.63</v>
      </c>
      <c r="E166" s="98">
        <f t="shared" si="3"/>
        <v>58241.22999999996</v>
      </c>
      <c r="F166" s="115">
        <v>0</v>
      </c>
      <c r="G166" s="115">
        <f t="shared" si="5"/>
        <v>324.95</v>
      </c>
      <c r="I166" s="38">
        <v>130</v>
      </c>
      <c r="J166" s="115">
        <f t="shared" si="6"/>
        <v>340.57</v>
      </c>
      <c r="K166" s="115">
        <f t="shared" si="7"/>
        <v>145.26</v>
      </c>
      <c r="L166" s="115">
        <f t="shared" si="8"/>
        <v>195.31</v>
      </c>
      <c r="M166" s="115">
        <f t="shared" si="9"/>
        <v>49609.700000000303</v>
      </c>
      <c r="N166" s="115">
        <v>0</v>
      </c>
      <c r="O166" s="115">
        <f t="shared" si="11"/>
        <v>340.57</v>
      </c>
    </row>
    <row r="167" spans="1:15" ht="14.25" customHeight="1" x14ac:dyDescent="0.35">
      <c r="A167" s="7">
        <v>131</v>
      </c>
      <c r="B167" s="98">
        <f t="shared" si="0"/>
        <v>324.95</v>
      </c>
      <c r="C167" s="98">
        <f t="shared" si="1"/>
        <v>169.87</v>
      </c>
      <c r="D167" s="98">
        <f t="shared" si="2"/>
        <v>155.07999999999998</v>
      </c>
      <c r="E167" s="98">
        <f t="shared" si="3"/>
        <v>58086.149999999958</v>
      </c>
      <c r="F167" s="115">
        <v>0</v>
      </c>
      <c r="G167" s="115">
        <f t="shared" si="5"/>
        <v>324.95</v>
      </c>
      <c r="I167" s="38">
        <v>131</v>
      </c>
      <c r="J167" s="115">
        <f t="shared" si="6"/>
        <v>340</v>
      </c>
      <c r="K167" s="115">
        <f t="shared" si="7"/>
        <v>144.69</v>
      </c>
      <c r="L167" s="115">
        <f t="shared" si="8"/>
        <v>195.31</v>
      </c>
      <c r="M167" s="115">
        <f t="shared" si="9"/>
        <v>49414.390000000305</v>
      </c>
      <c r="N167" s="115">
        <v>0</v>
      </c>
      <c r="O167" s="115">
        <f t="shared" si="11"/>
        <v>340</v>
      </c>
    </row>
    <row r="168" spans="1:15" ht="14.25" customHeight="1" x14ac:dyDescent="0.35">
      <c r="A168" s="7">
        <v>132</v>
      </c>
      <c r="B168" s="98">
        <f t="shared" si="0"/>
        <v>324.95</v>
      </c>
      <c r="C168" s="98">
        <f t="shared" si="1"/>
        <v>169.42</v>
      </c>
      <c r="D168" s="98">
        <f t="shared" si="2"/>
        <v>155.53</v>
      </c>
      <c r="E168" s="98">
        <f t="shared" si="3"/>
        <v>57930.619999999959</v>
      </c>
      <c r="F168" s="115">
        <v>0</v>
      </c>
      <c r="G168" s="115">
        <f t="shared" si="5"/>
        <v>324.95</v>
      </c>
      <c r="I168" s="38">
        <v>132</v>
      </c>
      <c r="J168" s="115">
        <f t="shared" si="6"/>
        <v>339.44</v>
      </c>
      <c r="K168" s="115">
        <f t="shared" si="7"/>
        <v>144.13</v>
      </c>
      <c r="L168" s="115">
        <f t="shared" si="8"/>
        <v>195.31</v>
      </c>
      <c r="M168" s="115">
        <f t="shared" si="9"/>
        <v>49219.080000000307</v>
      </c>
      <c r="N168" s="115">
        <v>0</v>
      </c>
      <c r="O168" s="115">
        <f t="shared" si="11"/>
        <v>339.44</v>
      </c>
    </row>
    <row r="169" spans="1:15" ht="14.25" customHeight="1" x14ac:dyDescent="0.35">
      <c r="A169" s="7">
        <v>133</v>
      </c>
      <c r="B169" s="98">
        <f t="shared" si="0"/>
        <v>324.95</v>
      </c>
      <c r="C169" s="98">
        <f t="shared" si="1"/>
        <v>168.96</v>
      </c>
      <c r="D169" s="98">
        <f t="shared" si="2"/>
        <v>155.98999999999998</v>
      </c>
      <c r="E169" s="98">
        <f t="shared" si="3"/>
        <v>57774.629999999961</v>
      </c>
      <c r="F169" s="115">
        <v>0</v>
      </c>
      <c r="G169" s="115">
        <f t="shared" si="5"/>
        <v>324.95</v>
      </c>
      <c r="I169" s="38">
        <v>133</v>
      </c>
      <c r="J169" s="115">
        <f t="shared" si="6"/>
        <v>338.87</v>
      </c>
      <c r="K169" s="115">
        <f t="shared" si="7"/>
        <v>143.56</v>
      </c>
      <c r="L169" s="115">
        <f t="shared" si="8"/>
        <v>195.31</v>
      </c>
      <c r="M169" s="115">
        <f t="shared" si="9"/>
        <v>49023.77000000031</v>
      </c>
      <c r="N169" s="115">
        <v>0</v>
      </c>
      <c r="O169" s="115">
        <f t="shared" si="11"/>
        <v>338.87</v>
      </c>
    </row>
    <row r="170" spans="1:15" ht="14.25" customHeight="1" x14ac:dyDescent="0.35">
      <c r="A170" s="7">
        <v>134</v>
      </c>
      <c r="B170" s="98">
        <f t="shared" si="0"/>
        <v>324.95</v>
      </c>
      <c r="C170" s="98">
        <f t="shared" si="1"/>
        <v>168.51</v>
      </c>
      <c r="D170" s="98">
        <f t="shared" si="2"/>
        <v>156.44</v>
      </c>
      <c r="E170" s="98">
        <f t="shared" si="3"/>
        <v>57618.189999999959</v>
      </c>
      <c r="F170" s="115">
        <v>0</v>
      </c>
      <c r="G170" s="115">
        <f t="shared" si="5"/>
        <v>324.95</v>
      </c>
      <c r="I170" s="38">
        <v>134</v>
      </c>
      <c r="J170" s="115">
        <f t="shared" si="6"/>
        <v>338.3</v>
      </c>
      <c r="K170" s="115">
        <f t="shared" si="7"/>
        <v>142.99</v>
      </c>
      <c r="L170" s="115">
        <f t="shared" si="8"/>
        <v>195.31</v>
      </c>
      <c r="M170" s="115">
        <f t="shared" si="9"/>
        <v>48828.460000000312</v>
      </c>
      <c r="N170" s="115">
        <v>0</v>
      </c>
      <c r="O170" s="115">
        <f t="shared" si="11"/>
        <v>338.3</v>
      </c>
    </row>
    <row r="171" spans="1:15" ht="14.25" customHeight="1" x14ac:dyDescent="0.35">
      <c r="A171" s="7">
        <v>135</v>
      </c>
      <c r="B171" s="98">
        <f t="shared" si="0"/>
        <v>324.95</v>
      </c>
      <c r="C171" s="98">
        <f t="shared" si="1"/>
        <v>168.05</v>
      </c>
      <c r="D171" s="98">
        <f t="shared" si="2"/>
        <v>156.89999999999998</v>
      </c>
      <c r="E171" s="98">
        <f t="shared" si="3"/>
        <v>57461.289999999957</v>
      </c>
      <c r="F171" s="115">
        <v>0</v>
      </c>
      <c r="G171" s="115">
        <f t="shared" si="5"/>
        <v>324.95</v>
      </c>
      <c r="I171" s="38">
        <v>135</v>
      </c>
      <c r="J171" s="115">
        <f t="shared" si="6"/>
        <v>337.73</v>
      </c>
      <c r="K171" s="115">
        <f t="shared" si="7"/>
        <v>142.41999999999999</v>
      </c>
      <c r="L171" s="115">
        <f t="shared" si="8"/>
        <v>195.31</v>
      </c>
      <c r="M171" s="115">
        <f t="shared" si="9"/>
        <v>48633.150000000314</v>
      </c>
      <c r="N171" s="115">
        <v>0</v>
      </c>
      <c r="O171" s="115">
        <f t="shared" si="11"/>
        <v>337.73</v>
      </c>
    </row>
    <row r="172" spans="1:15" ht="14.25" customHeight="1" x14ac:dyDescent="0.35">
      <c r="A172" s="7">
        <v>136</v>
      </c>
      <c r="B172" s="98">
        <f t="shared" si="0"/>
        <v>324.95</v>
      </c>
      <c r="C172" s="98">
        <f t="shared" si="1"/>
        <v>167.6</v>
      </c>
      <c r="D172" s="98">
        <f t="shared" si="2"/>
        <v>157.35</v>
      </c>
      <c r="E172" s="98">
        <f t="shared" si="3"/>
        <v>57303.939999999959</v>
      </c>
      <c r="F172" s="115">
        <v>0</v>
      </c>
      <c r="G172" s="115">
        <f t="shared" si="5"/>
        <v>324.95</v>
      </c>
      <c r="I172" s="38">
        <v>136</v>
      </c>
      <c r="J172" s="115">
        <f t="shared" si="6"/>
        <v>337.15999999999997</v>
      </c>
      <c r="K172" s="115">
        <f t="shared" si="7"/>
        <v>141.85</v>
      </c>
      <c r="L172" s="115">
        <f t="shared" si="8"/>
        <v>195.31</v>
      </c>
      <c r="M172" s="115">
        <f t="shared" si="9"/>
        <v>48437.840000000317</v>
      </c>
      <c r="N172" s="115">
        <v>0</v>
      </c>
      <c r="O172" s="115">
        <f t="shared" si="11"/>
        <v>337.15999999999997</v>
      </c>
    </row>
    <row r="173" spans="1:15" ht="14.25" customHeight="1" x14ac:dyDescent="0.35">
      <c r="A173" s="7">
        <v>137</v>
      </c>
      <c r="B173" s="98">
        <f t="shared" si="0"/>
        <v>324.95</v>
      </c>
      <c r="C173" s="98">
        <f t="shared" si="1"/>
        <v>167.14</v>
      </c>
      <c r="D173" s="98">
        <f t="shared" si="2"/>
        <v>157.81</v>
      </c>
      <c r="E173" s="98">
        <f t="shared" si="3"/>
        <v>57146.129999999961</v>
      </c>
      <c r="F173" s="115">
        <v>0</v>
      </c>
      <c r="G173" s="115">
        <f t="shared" si="5"/>
        <v>324.95</v>
      </c>
      <c r="I173" s="38">
        <v>137</v>
      </c>
      <c r="J173" s="115">
        <f t="shared" si="6"/>
        <v>336.59000000000003</v>
      </c>
      <c r="K173" s="115">
        <f t="shared" si="7"/>
        <v>141.28</v>
      </c>
      <c r="L173" s="115">
        <f t="shared" si="8"/>
        <v>195.31</v>
      </c>
      <c r="M173" s="115">
        <f t="shared" si="9"/>
        <v>48242.530000000319</v>
      </c>
      <c r="N173" s="115">
        <v>0</v>
      </c>
      <c r="O173" s="115">
        <f t="shared" si="11"/>
        <v>336.59000000000003</v>
      </c>
    </row>
    <row r="174" spans="1:15" ht="14.25" customHeight="1" x14ac:dyDescent="0.35">
      <c r="A174" s="7">
        <v>138</v>
      </c>
      <c r="B174" s="98">
        <f t="shared" si="0"/>
        <v>324.95</v>
      </c>
      <c r="C174" s="98">
        <f t="shared" si="1"/>
        <v>166.68</v>
      </c>
      <c r="D174" s="98">
        <f t="shared" si="2"/>
        <v>158.26999999999998</v>
      </c>
      <c r="E174" s="98">
        <f t="shared" si="3"/>
        <v>56987.859999999964</v>
      </c>
      <c r="F174" s="115">
        <v>0</v>
      </c>
      <c r="G174" s="115">
        <f t="shared" si="5"/>
        <v>324.95</v>
      </c>
      <c r="I174" s="38">
        <v>138</v>
      </c>
      <c r="J174" s="115">
        <f t="shared" si="6"/>
        <v>336.02</v>
      </c>
      <c r="K174" s="115">
        <f t="shared" si="7"/>
        <v>140.71</v>
      </c>
      <c r="L174" s="115">
        <f t="shared" si="8"/>
        <v>195.31</v>
      </c>
      <c r="M174" s="115">
        <f t="shared" si="9"/>
        <v>48047.220000000321</v>
      </c>
      <c r="N174" s="115">
        <v>0</v>
      </c>
      <c r="O174" s="115">
        <f t="shared" si="11"/>
        <v>336.02</v>
      </c>
    </row>
    <row r="175" spans="1:15" ht="14.25" customHeight="1" x14ac:dyDescent="0.35">
      <c r="A175" s="7">
        <v>139</v>
      </c>
      <c r="B175" s="98">
        <f t="shared" si="0"/>
        <v>324.95</v>
      </c>
      <c r="C175" s="98">
        <f t="shared" si="1"/>
        <v>166.21</v>
      </c>
      <c r="D175" s="98">
        <f t="shared" si="2"/>
        <v>158.73999999999998</v>
      </c>
      <c r="E175" s="98">
        <f t="shared" si="3"/>
        <v>56829.119999999966</v>
      </c>
      <c r="F175" s="115">
        <v>0</v>
      </c>
      <c r="G175" s="115">
        <f t="shared" si="5"/>
        <v>324.95</v>
      </c>
      <c r="I175" s="38">
        <v>139</v>
      </c>
      <c r="J175" s="115">
        <f t="shared" si="6"/>
        <v>335.45</v>
      </c>
      <c r="K175" s="115">
        <f t="shared" si="7"/>
        <v>140.13999999999999</v>
      </c>
      <c r="L175" s="115">
        <f t="shared" si="8"/>
        <v>195.31</v>
      </c>
      <c r="M175" s="115">
        <f t="shared" si="9"/>
        <v>47851.910000000324</v>
      </c>
      <c r="N175" s="115">
        <v>0</v>
      </c>
      <c r="O175" s="115">
        <f t="shared" si="11"/>
        <v>335.45</v>
      </c>
    </row>
    <row r="176" spans="1:15" ht="14.25" customHeight="1" x14ac:dyDescent="0.35">
      <c r="A176" s="7">
        <v>140</v>
      </c>
      <c r="B176" s="98">
        <f t="shared" si="0"/>
        <v>324.95</v>
      </c>
      <c r="C176" s="98">
        <f t="shared" si="1"/>
        <v>165.75</v>
      </c>
      <c r="D176" s="98">
        <f t="shared" si="2"/>
        <v>159.19999999999999</v>
      </c>
      <c r="E176" s="98">
        <f t="shared" si="3"/>
        <v>56669.919999999969</v>
      </c>
      <c r="F176" s="115">
        <v>0</v>
      </c>
      <c r="G176" s="115">
        <f t="shared" si="5"/>
        <v>324.95</v>
      </c>
      <c r="I176" s="38">
        <v>140</v>
      </c>
      <c r="J176" s="115">
        <f t="shared" si="6"/>
        <v>334.88</v>
      </c>
      <c r="K176" s="115">
        <f t="shared" si="7"/>
        <v>139.57</v>
      </c>
      <c r="L176" s="115">
        <f t="shared" si="8"/>
        <v>195.31</v>
      </c>
      <c r="M176" s="115">
        <f t="shared" si="9"/>
        <v>47656.600000000326</v>
      </c>
      <c r="N176" s="115">
        <v>0</v>
      </c>
      <c r="O176" s="115">
        <f t="shared" si="11"/>
        <v>334.88</v>
      </c>
    </row>
    <row r="177" spans="1:15" ht="14.25" customHeight="1" x14ac:dyDescent="0.35">
      <c r="A177" s="7">
        <v>141</v>
      </c>
      <c r="B177" s="98">
        <f t="shared" si="0"/>
        <v>324.95</v>
      </c>
      <c r="C177" s="98">
        <f t="shared" si="1"/>
        <v>165.29</v>
      </c>
      <c r="D177" s="98">
        <f t="shared" si="2"/>
        <v>159.66</v>
      </c>
      <c r="E177" s="98">
        <f t="shared" si="3"/>
        <v>56510.259999999966</v>
      </c>
      <c r="F177" s="115">
        <v>0</v>
      </c>
      <c r="G177" s="115">
        <f t="shared" si="5"/>
        <v>324.95</v>
      </c>
      <c r="I177" s="38">
        <v>141</v>
      </c>
      <c r="J177" s="115">
        <f t="shared" si="6"/>
        <v>334.31</v>
      </c>
      <c r="K177" s="115">
        <f t="shared" si="7"/>
        <v>139</v>
      </c>
      <c r="L177" s="115">
        <f t="shared" si="8"/>
        <v>195.31</v>
      </c>
      <c r="M177" s="115">
        <f t="shared" si="9"/>
        <v>47461.290000000328</v>
      </c>
      <c r="N177" s="115">
        <v>0</v>
      </c>
      <c r="O177" s="115">
        <f t="shared" si="11"/>
        <v>334.31</v>
      </c>
    </row>
    <row r="178" spans="1:15" ht="14.25" customHeight="1" x14ac:dyDescent="0.35">
      <c r="A178" s="7">
        <v>142</v>
      </c>
      <c r="B178" s="98">
        <f t="shared" si="0"/>
        <v>324.95</v>
      </c>
      <c r="C178" s="98">
        <f t="shared" si="1"/>
        <v>164.82</v>
      </c>
      <c r="D178" s="98">
        <f t="shared" si="2"/>
        <v>160.13</v>
      </c>
      <c r="E178" s="98">
        <f t="shared" si="3"/>
        <v>56350.129999999968</v>
      </c>
      <c r="F178" s="115">
        <v>0</v>
      </c>
      <c r="G178" s="115">
        <f t="shared" si="5"/>
        <v>324.95</v>
      </c>
      <c r="I178" s="38">
        <v>142</v>
      </c>
      <c r="J178" s="115">
        <f t="shared" si="6"/>
        <v>333.74</v>
      </c>
      <c r="K178" s="115">
        <f t="shared" si="7"/>
        <v>138.43</v>
      </c>
      <c r="L178" s="115">
        <f t="shared" si="8"/>
        <v>195.31</v>
      </c>
      <c r="M178" s="115">
        <f t="shared" si="9"/>
        <v>47265.980000000331</v>
      </c>
      <c r="N178" s="115">
        <v>0</v>
      </c>
      <c r="O178" s="115">
        <f t="shared" si="11"/>
        <v>333.74</v>
      </c>
    </row>
    <row r="179" spans="1:15" ht="14.25" customHeight="1" x14ac:dyDescent="0.35">
      <c r="A179" s="7">
        <v>143</v>
      </c>
      <c r="B179" s="98">
        <f t="shared" si="0"/>
        <v>324.95</v>
      </c>
      <c r="C179" s="98">
        <f t="shared" si="1"/>
        <v>164.35</v>
      </c>
      <c r="D179" s="98">
        <f t="shared" si="2"/>
        <v>160.6</v>
      </c>
      <c r="E179" s="98">
        <f t="shared" si="3"/>
        <v>56189.52999999997</v>
      </c>
      <c r="F179" s="115">
        <v>0</v>
      </c>
      <c r="G179" s="115">
        <f t="shared" si="5"/>
        <v>324.95</v>
      </c>
      <c r="I179" s="38">
        <v>143</v>
      </c>
      <c r="J179" s="115">
        <f t="shared" si="6"/>
        <v>333.17</v>
      </c>
      <c r="K179" s="115">
        <f t="shared" si="7"/>
        <v>137.86000000000001</v>
      </c>
      <c r="L179" s="115">
        <f t="shared" si="8"/>
        <v>195.31</v>
      </c>
      <c r="M179" s="115">
        <f t="shared" si="9"/>
        <v>47070.670000000333</v>
      </c>
      <c r="N179" s="115">
        <v>0</v>
      </c>
      <c r="O179" s="115">
        <f t="shared" si="11"/>
        <v>333.17</v>
      </c>
    </row>
    <row r="180" spans="1:15" ht="14.25" customHeight="1" x14ac:dyDescent="0.35">
      <c r="A180" s="7">
        <v>144</v>
      </c>
      <c r="B180" s="98">
        <f t="shared" si="0"/>
        <v>324.95</v>
      </c>
      <c r="C180" s="98">
        <f t="shared" si="1"/>
        <v>163.89</v>
      </c>
      <c r="D180" s="98">
        <f t="shared" si="2"/>
        <v>161.06</v>
      </c>
      <c r="E180" s="98">
        <f t="shared" si="3"/>
        <v>56028.469999999972</v>
      </c>
      <c r="F180" s="115">
        <v>0</v>
      </c>
      <c r="G180" s="115">
        <f t="shared" si="5"/>
        <v>324.95</v>
      </c>
      <c r="I180" s="38">
        <v>144</v>
      </c>
      <c r="J180" s="115">
        <f t="shared" si="6"/>
        <v>332.6</v>
      </c>
      <c r="K180" s="115">
        <f t="shared" si="7"/>
        <v>137.29</v>
      </c>
      <c r="L180" s="115">
        <f t="shared" si="8"/>
        <v>195.31</v>
      </c>
      <c r="M180" s="115">
        <f t="shared" si="9"/>
        <v>46875.360000000335</v>
      </c>
      <c r="N180" s="115">
        <v>0</v>
      </c>
      <c r="O180" s="115">
        <f t="shared" si="11"/>
        <v>332.6</v>
      </c>
    </row>
    <row r="181" spans="1:15" ht="14.25" customHeight="1" x14ac:dyDescent="0.35">
      <c r="A181" s="7">
        <v>145</v>
      </c>
      <c r="B181" s="98">
        <f t="shared" si="0"/>
        <v>324.95</v>
      </c>
      <c r="C181" s="98">
        <f t="shared" si="1"/>
        <v>163.41999999999999</v>
      </c>
      <c r="D181" s="98">
        <f t="shared" si="2"/>
        <v>161.53</v>
      </c>
      <c r="E181" s="98">
        <f t="shared" si="3"/>
        <v>55866.939999999973</v>
      </c>
      <c r="F181" s="115">
        <v>0</v>
      </c>
      <c r="G181" s="115">
        <f t="shared" si="5"/>
        <v>324.95</v>
      </c>
      <c r="I181" s="38">
        <v>145</v>
      </c>
      <c r="J181" s="115">
        <f t="shared" si="6"/>
        <v>332.03</v>
      </c>
      <c r="K181" s="115">
        <f t="shared" si="7"/>
        <v>136.72</v>
      </c>
      <c r="L181" s="115">
        <f t="shared" si="8"/>
        <v>195.31</v>
      </c>
      <c r="M181" s="115">
        <f t="shared" si="9"/>
        <v>46680.050000000338</v>
      </c>
      <c r="N181" s="115">
        <v>0</v>
      </c>
      <c r="O181" s="115">
        <f t="shared" si="11"/>
        <v>332.03</v>
      </c>
    </row>
    <row r="182" spans="1:15" ht="14.25" customHeight="1" x14ac:dyDescent="0.35">
      <c r="A182" s="7">
        <v>146</v>
      </c>
      <c r="B182" s="98">
        <f t="shared" si="0"/>
        <v>324.95</v>
      </c>
      <c r="C182" s="98">
        <f t="shared" si="1"/>
        <v>162.94999999999999</v>
      </c>
      <c r="D182" s="98">
        <f t="shared" si="2"/>
        <v>162</v>
      </c>
      <c r="E182" s="98">
        <f t="shared" si="3"/>
        <v>55704.939999999973</v>
      </c>
      <c r="F182" s="115">
        <v>0</v>
      </c>
      <c r="G182" s="115">
        <f t="shared" si="5"/>
        <v>324.95</v>
      </c>
      <c r="I182" s="38">
        <v>146</v>
      </c>
      <c r="J182" s="115">
        <f t="shared" si="6"/>
        <v>331.46000000000004</v>
      </c>
      <c r="K182" s="115">
        <f t="shared" si="7"/>
        <v>136.15</v>
      </c>
      <c r="L182" s="115">
        <f t="shared" si="8"/>
        <v>195.31</v>
      </c>
      <c r="M182" s="115">
        <f t="shared" si="9"/>
        <v>46484.74000000034</v>
      </c>
      <c r="N182" s="115">
        <v>0</v>
      </c>
      <c r="O182" s="115">
        <f t="shared" si="11"/>
        <v>331.46000000000004</v>
      </c>
    </row>
    <row r="183" spans="1:15" ht="14.25" customHeight="1" x14ac:dyDescent="0.35">
      <c r="A183" s="7">
        <v>147</v>
      </c>
      <c r="B183" s="98">
        <f t="shared" si="0"/>
        <v>324.95</v>
      </c>
      <c r="C183" s="98">
        <f t="shared" si="1"/>
        <v>162.47</v>
      </c>
      <c r="D183" s="98">
        <f t="shared" si="2"/>
        <v>162.47999999999999</v>
      </c>
      <c r="E183" s="98">
        <f t="shared" si="3"/>
        <v>55542.45999999997</v>
      </c>
      <c r="F183" s="115">
        <v>0</v>
      </c>
      <c r="G183" s="115">
        <f t="shared" si="5"/>
        <v>324.95</v>
      </c>
      <c r="I183" s="38">
        <v>147</v>
      </c>
      <c r="J183" s="115">
        <f t="shared" si="6"/>
        <v>330.89</v>
      </c>
      <c r="K183" s="115">
        <f t="shared" si="7"/>
        <v>135.58000000000001</v>
      </c>
      <c r="L183" s="115">
        <f t="shared" si="8"/>
        <v>195.31</v>
      </c>
      <c r="M183" s="115">
        <f t="shared" si="9"/>
        <v>46289.430000000342</v>
      </c>
      <c r="N183" s="115">
        <v>0</v>
      </c>
      <c r="O183" s="115">
        <f t="shared" si="11"/>
        <v>330.89</v>
      </c>
    </row>
    <row r="184" spans="1:15" ht="14.25" customHeight="1" x14ac:dyDescent="0.35">
      <c r="A184" s="7">
        <v>148</v>
      </c>
      <c r="B184" s="98">
        <f t="shared" si="0"/>
        <v>324.95</v>
      </c>
      <c r="C184" s="98">
        <f t="shared" si="1"/>
        <v>162</v>
      </c>
      <c r="D184" s="98">
        <f t="shared" si="2"/>
        <v>162.94999999999999</v>
      </c>
      <c r="E184" s="98">
        <f t="shared" si="3"/>
        <v>55379.509999999973</v>
      </c>
      <c r="F184" s="115">
        <v>0</v>
      </c>
      <c r="G184" s="115">
        <f t="shared" si="5"/>
        <v>324.95</v>
      </c>
      <c r="I184" s="38">
        <v>148</v>
      </c>
      <c r="J184" s="115">
        <f t="shared" si="6"/>
        <v>330.32</v>
      </c>
      <c r="K184" s="115">
        <f t="shared" si="7"/>
        <v>135.01</v>
      </c>
      <c r="L184" s="115">
        <f t="shared" si="8"/>
        <v>195.31</v>
      </c>
      <c r="M184" s="115">
        <f t="shared" si="9"/>
        <v>46094.120000000345</v>
      </c>
      <c r="N184" s="115">
        <v>0</v>
      </c>
      <c r="O184" s="115">
        <f t="shared" si="11"/>
        <v>330.32</v>
      </c>
    </row>
    <row r="185" spans="1:15" ht="14.25" customHeight="1" x14ac:dyDescent="0.35">
      <c r="A185" s="7">
        <v>149</v>
      </c>
      <c r="B185" s="98">
        <f t="shared" si="0"/>
        <v>324.95</v>
      </c>
      <c r="C185" s="98">
        <f t="shared" si="1"/>
        <v>161.52000000000001</v>
      </c>
      <c r="D185" s="98">
        <f t="shared" si="2"/>
        <v>163.42999999999998</v>
      </c>
      <c r="E185" s="98">
        <f t="shared" si="3"/>
        <v>55216.079999999973</v>
      </c>
      <c r="F185" s="115">
        <v>0</v>
      </c>
      <c r="G185" s="115">
        <f t="shared" si="5"/>
        <v>324.95</v>
      </c>
      <c r="I185" s="38">
        <v>149</v>
      </c>
      <c r="J185" s="115">
        <f t="shared" si="6"/>
        <v>329.75</v>
      </c>
      <c r="K185" s="115">
        <f t="shared" si="7"/>
        <v>134.44</v>
      </c>
      <c r="L185" s="115">
        <f t="shared" si="8"/>
        <v>195.31</v>
      </c>
      <c r="M185" s="115">
        <f t="shared" si="9"/>
        <v>45898.810000000347</v>
      </c>
      <c r="N185" s="115">
        <v>0</v>
      </c>
      <c r="O185" s="115">
        <f t="shared" si="11"/>
        <v>329.75</v>
      </c>
    </row>
    <row r="186" spans="1:15" ht="14.25" customHeight="1" x14ac:dyDescent="0.35">
      <c r="A186" s="7">
        <v>150</v>
      </c>
      <c r="B186" s="98">
        <f t="shared" si="0"/>
        <v>324.95</v>
      </c>
      <c r="C186" s="98">
        <f t="shared" si="1"/>
        <v>161.05000000000001</v>
      </c>
      <c r="D186" s="98">
        <f t="shared" si="2"/>
        <v>163.89999999999998</v>
      </c>
      <c r="E186" s="98">
        <f t="shared" si="3"/>
        <v>55052.179999999971</v>
      </c>
      <c r="F186" s="115">
        <v>0</v>
      </c>
      <c r="G186" s="115">
        <f t="shared" si="5"/>
        <v>324.95</v>
      </c>
      <c r="I186" s="38">
        <v>150</v>
      </c>
      <c r="J186" s="115">
        <f t="shared" si="6"/>
        <v>329.18</v>
      </c>
      <c r="K186" s="115">
        <f t="shared" si="7"/>
        <v>133.87</v>
      </c>
      <c r="L186" s="115">
        <f t="shared" si="8"/>
        <v>195.31</v>
      </c>
      <c r="M186" s="115">
        <f t="shared" si="9"/>
        <v>45703.500000000349</v>
      </c>
      <c r="N186" s="115">
        <v>0</v>
      </c>
      <c r="O186" s="115">
        <f t="shared" si="11"/>
        <v>329.18</v>
      </c>
    </row>
    <row r="187" spans="1:15" ht="14.25" customHeight="1" x14ac:dyDescent="0.35">
      <c r="A187" s="7">
        <v>151</v>
      </c>
      <c r="B187" s="98">
        <f t="shared" si="0"/>
        <v>324.95</v>
      </c>
      <c r="C187" s="98">
        <f t="shared" si="1"/>
        <v>160.57</v>
      </c>
      <c r="D187" s="98">
        <f t="shared" si="2"/>
        <v>164.38</v>
      </c>
      <c r="E187" s="98">
        <f t="shared" si="3"/>
        <v>54887.799999999974</v>
      </c>
      <c r="F187" s="115">
        <v>0</v>
      </c>
      <c r="G187" s="115">
        <f t="shared" si="5"/>
        <v>324.95</v>
      </c>
      <c r="I187" s="38">
        <v>151</v>
      </c>
      <c r="J187" s="115">
        <f t="shared" si="6"/>
        <v>328.61</v>
      </c>
      <c r="K187" s="115">
        <f t="shared" si="7"/>
        <v>133.30000000000001</v>
      </c>
      <c r="L187" s="115">
        <f t="shared" si="8"/>
        <v>195.31</v>
      </c>
      <c r="M187" s="115">
        <f t="shared" si="9"/>
        <v>45508.190000000352</v>
      </c>
      <c r="N187" s="115">
        <v>0</v>
      </c>
      <c r="O187" s="115">
        <f t="shared" si="11"/>
        <v>328.61</v>
      </c>
    </row>
    <row r="188" spans="1:15" ht="14.25" customHeight="1" x14ac:dyDescent="0.35">
      <c r="A188" s="7">
        <v>152</v>
      </c>
      <c r="B188" s="98">
        <f t="shared" si="0"/>
        <v>324.95</v>
      </c>
      <c r="C188" s="98">
        <f t="shared" si="1"/>
        <v>160.09</v>
      </c>
      <c r="D188" s="98">
        <f t="shared" si="2"/>
        <v>164.85999999999999</v>
      </c>
      <c r="E188" s="98">
        <f t="shared" si="3"/>
        <v>54722.939999999973</v>
      </c>
      <c r="F188" s="115">
        <v>0</v>
      </c>
      <c r="G188" s="115">
        <f t="shared" si="5"/>
        <v>324.95</v>
      </c>
      <c r="I188" s="38">
        <v>152</v>
      </c>
      <c r="J188" s="115">
        <f t="shared" si="6"/>
        <v>328.03999999999996</v>
      </c>
      <c r="K188" s="115">
        <f t="shared" si="7"/>
        <v>132.72999999999999</v>
      </c>
      <c r="L188" s="115">
        <f t="shared" si="8"/>
        <v>195.31</v>
      </c>
      <c r="M188" s="115">
        <f t="shared" si="9"/>
        <v>45312.880000000354</v>
      </c>
      <c r="N188" s="115">
        <v>0</v>
      </c>
      <c r="O188" s="115">
        <f t="shared" si="11"/>
        <v>328.03999999999996</v>
      </c>
    </row>
    <row r="189" spans="1:15" ht="14.25" customHeight="1" x14ac:dyDescent="0.35">
      <c r="A189" s="7">
        <v>153</v>
      </c>
      <c r="B189" s="98">
        <f t="shared" si="0"/>
        <v>324.95</v>
      </c>
      <c r="C189" s="98">
        <f t="shared" si="1"/>
        <v>159.61000000000001</v>
      </c>
      <c r="D189" s="98">
        <f t="shared" si="2"/>
        <v>165.33999999999997</v>
      </c>
      <c r="E189" s="98">
        <f t="shared" si="3"/>
        <v>54557.599999999977</v>
      </c>
      <c r="F189" s="115">
        <v>0</v>
      </c>
      <c r="G189" s="115">
        <f t="shared" si="5"/>
        <v>324.95</v>
      </c>
      <c r="I189" s="38">
        <v>153</v>
      </c>
      <c r="J189" s="115">
        <f t="shared" si="6"/>
        <v>327.47000000000003</v>
      </c>
      <c r="K189" s="115">
        <f t="shared" si="7"/>
        <v>132.16</v>
      </c>
      <c r="L189" s="115">
        <f t="shared" si="8"/>
        <v>195.31</v>
      </c>
      <c r="M189" s="115">
        <f t="shared" si="9"/>
        <v>45117.570000000356</v>
      </c>
      <c r="N189" s="115">
        <v>0</v>
      </c>
      <c r="O189" s="115">
        <f t="shared" si="11"/>
        <v>327.47000000000003</v>
      </c>
    </row>
    <row r="190" spans="1:15" ht="14.25" customHeight="1" x14ac:dyDescent="0.35">
      <c r="A190" s="7">
        <v>154</v>
      </c>
      <c r="B190" s="98">
        <f t="shared" si="0"/>
        <v>324.95</v>
      </c>
      <c r="C190" s="98">
        <f t="shared" si="1"/>
        <v>159.13</v>
      </c>
      <c r="D190" s="98">
        <f t="shared" si="2"/>
        <v>165.82</v>
      </c>
      <c r="E190" s="98">
        <f t="shared" si="3"/>
        <v>54391.779999999977</v>
      </c>
      <c r="F190" s="115">
        <v>0</v>
      </c>
      <c r="G190" s="115">
        <f t="shared" si="5"/>
        <v>324.95</v>
      </c>
      <c r="I190" s="38">
        <v>154</v>
      </c>
      <c r="J190" s="115">
        <f t="shared" si="6"/>
        <v>326.89999999999998</v>
      </c>
      <c r="K190" s="115">
        <f t="shared" si="7"/>
        <v>131.59</v>
      </c>
      <c r="L190" s="115">
        <f t="shared" si="8"/>
        <v>195.31</v>
      </c>
      <c r="M190" s="115">
        <f t="shared" si="9"/>
        <v>44922.260000000359</v>
      </c>
      <c r="N190" s="115">
        <v>0</v>
      </c>
      <c r="O190" s="115">
        <f t="shared" si="11"/>
        <v>326.89999999999998</v>
      </c>
    </row>
    <row r="191" spans="1:15" ht="14.25" customHeight="1" x14ac:dyDescent="0.35">
      <c r="A191" s="7">
        <v>155</v>
      </c>
      <c r="B191" s="98">
        <f t="shared" si="0"/>
        <v>324.95</v>
      </c>
      <c r="C191" s="98">
        <f t="shared" si="1"/>
        <v>158.63999999999999</v>
      </c>
      <c r="D191" s="98">
        <f t="shared" si="2"/>
        <v>166.31</v>
      </c>
      <c r="E191" s="98">
        <f t="shared" si="3"/>
        <v>54225.469999999979</v>
      </c>
      <c r="F191" s="115">
        <v>0</v>
      </c>
      <c r="G191" s="115">
        <f t="shared" si="5"/>
        <v>324.95</v>
      </c>
      <c r="I191" s="38">
        <v>155</v>
      </c>
      <c r="J191" s="115">
        <f t="shared" si="6"/>
        <v>326.33000000000004</v>
      </c>
      <c r="K191" s="115">
        <f t="shared" si="7"/>
        <v>131.02000000000001</v>
      </c>
      <c r="L191" s="115">
        <f t="shared" si="8"/>
        <v>195.31</v>
      </c>
      <c r="M191" s="115">
        <f t="shared" si="9"/>
        <v>44726.950000000361</v>
      </c>
      <c r="N191" s="115">
        <v>0</v>
      </c>
      <c r="O191" s="115">
        <f t="shared" si="11"/>
        <v>326.33000000000004</v>
      </c>
    </row>
    <row r="192" spans="1:15" ht="14.25" customHeight="1" x14ac:dyDescent="0.35">
      <c r="A192" s="7">
        <v>156</v>
      </c>
      <c r="B192" s="98">
        <f t="shared" si="0"/>
        <v>324.95</v>
      </c>
      <c r="C192" s="98">
        <f t="shared" si="1"/>
        <v>158.16</v>
      </c>
      <c r="D192" s="98">
        <f t="shared" si="2"/>
        <v>166.79</v>
      </c>
      <c r="E192" s="98">
        <f t="shared" si="3"/>
        <v>54058.679999999978</v>
      </c>
      <c r="F192" s="115">
        <v>0</v>
      </c>
      <c r="G192" s="115">
        <f t="shared" si="5"/>
        <v>324.95</v>
      </c>
      <c r="I192" s="38">
        <v>156</v>
      </c>
      <c r="J192" s="115">
        <f t="shared" si="6"/>
        <v>325.76</v>
      </c>
      <c r="K192" s="115">
        <f t="shared" si="7"/>
        <v>130.44999999999999</v>
      </c>
      <c r="L192" s="115">
        <f t="shared" si="8"/>
        <v>195.31</v>
      </c>
      <c r="M192" s="115">
        <f t="shared" si="9"/>
        <v>44531.640000000363</v>
      </c>
      <c r="N192" s="115">
        <v>0</v>
      </c>
      <c r="O192" s="115">
        <f t="shared" si="11"/>
        <v>325.76</v>
      </c>
    </row>
    <row r="193" spans="1:15" ht="14.25" customHeight="1" x14ac:dyDescent="0.35">
      <c r="A193" s="7">
        <v>157</v>
      </c>
      <c r="B193" s="98">
        <f t="shared" si="0"/>
        <v>324.95</v>
      </c>
      <c r="C193" s="98">
        <f t="shared" si="1"/>
        <v>157.66999999999999</v>
      </c>
      <c r="D193" s="98">
        <f t="shared" si="2"/>
        <v>167.28</v>
      </c>
      <c r="E193" s="98">
        <f t="shared" si="3"/>
        <v>53891.39999999998</v>
      </c>
      <c r="F193" s="115">
        <v>0</v>
      </c>
      <c r="G193" s="115">
        <f t="shared" si="5"/>
        <v>324.95</v>
      </c>
      <c r="I193" s="38">
        <v>157</v>
      </c>
      <c r="J193" s="115">
        <f t="shared" si="6"/>
        <v>325.19</v>
      </c>
      <c r="K193" s="115">
        <f t="shared" si="7"/>
        <v>129.88</v>
      </c>
      <c r="L193" s="115">
        <f t="shared" si="8"/>
        <v>195.31</v>
      </c>
      <c r="M193" s="115">
        <f t="shared" si="9"/>
        <v>44336.330000000366</v>
      </c>
      <c r="N193" s="115">
        <v>0</v>
      </c>
      <c r="O193" s="115">
        <f t="shared" si="11"/>
        <v>325.19</v>
      </c>
    </row>
    <row r="194" spans="1:15" ht="14.25" customHeight="1" x14ac:dyDescent="0.35">
      <c r="A194" s="7">
        <v>158</v>
      </c>
      <c r="B194" s="98">
        <f t="shared" si="0"/>
        <v>324.95</v>
      </c>
      <c r="C194" s="98">
        <f t="shared" si="1"/>
        <v>157.18</v>
      </c>
      <c r="D194" s="98">
        <f t="shared" si="2"/>
        <v>167.76999999999998</v>
      </c>
      <c r="E194" s="98">
        <f t="shared" si="3"/>
        <v>53723.629999999983</v>
      </c>
      <c r="F194" s="115">
        <v>0</v>
      </c>
      <c r="G194" s="115">
        <f t="shared" si="5"/>
        <v>324.95</v>
      </c>
      <c r="I194" s="38">
        <v>158</v>
      </c>
      <c r="J194" s="115">
        <f t="shared" si="6"/>
        <v>324.62</v>
      </c>
      <c r="K194" s="115">
        <f t="shared" si="7"/>
        <v>129.31</v>
      </c>
      <c r="L194" s="115">
        <f t="shared" si="8"/>
        <v>195.31</v>
      </c>
      <c r="M194" s="115">
        <f t="shared" si="9"/>
        <v>44141.020000000368</v>
      </c>
      <c r="N194" s="115">
        <v>0</v>
      </c>
      <c r="O194" s="115">
        <f t="shared" si="11"/>
        <v>324.62</v>
      </c>
    </row>
    <row r="195" spans="1:15" ht="14.25" customHeight="1" x14ac:dyDescent="0.35">
      <c r="A195" s="7">
        <v>159</v>
      </c>
      <c r="B195" s="98">
        <f t="shared" si="0"/>
        <v>324.95</v>
      </c>
      <c r="C195" s="98">
        <f t="shared" si="1"/>
        <v>156.69</v>
      </c>
      <c r="D195" s="98">
        <f t="shared" si="2"/>
        <v>168.26</v>
      </c>
      <c r="E195" s="98">
        <f t="shared" si="3"/>
        <v>53555.369999999981</v>
      </c>
      <c r="F195" s="115">
        <v>0</v>
      </c>
      <c r="G195" s="115">
        <f t="shared" si="5"/>
        <v>324.95</v>
      </c>
      <c r="I195" s="38">
        <v>159</v>
      </c>
      <c r="J195" s="115">
        <f t="shared" si="6"/>
        <v>324.05</v>
      </c>
      <c r="K195" s="115">
        <f t="shared" si="7"/>
        <v>128.74</v>
      </c>
      <c r="L195" s="115">
        <f t="shared" si="8"/>
        <v>195.31</v>
      </c>
      <c r="M195" s="115">
        <f t="shared" si="9"/>
        <v>43945.71000000037</v>
      </c>
      <c r="N195" s="115">
        <v>0</v>
      </c>
      <c r="O195" s="115">
        <f t="shared" si="11"/>
        <v>324.05</v>
      </c>
    </row>
    <row r="196" spans="1:15" ht="14.25" customHeight="1" x14ac:dyDescent="0.35">
      <c r="A196" s="7">
        <v>160</v>
      </c>
      <c r="B196" s="98">
        <f t="shared" si="0"/>
        <v>324.95</v>
      </c>
      <c r="C196" s="98">
        <f t="shared" si="1"/>
        <v>156.19999999999999</v>
      </c>
      <c r="D196" s="98">
        <f t="shared" si="2"/>
        <v>168.75</v>
      </c>
      <c r="E196" s="98">
        <f t="shared" si="3"/>
        <v>53386.619999999981</v>
      </c>
      <c r="F196" s="115">
        <v>0</v>
      </c>
      <c r="G196" s="115">
        <f t="shared" si="5"/>
        <v>324.95</v>
      </c>
      <c r="I196" s="38">
        <v>160</v>
      </c>
      <c r="J196" s="115">
        <f t="shared" si="6"/>
        <v>323.48</v>
      </c>
      <c r="K196" s="115">
        <f t="shared" si="7"/>
        <v>128.16999999999999</v>
      </c>
      <c r="L196" s="115">
        <f t="shared" si="8"/>
        <v>195.31</v>
      </c>
      <c r="M196" s="115">
        <f t="shared" si="9"/>
        <v>43750.400000000373</v>
      </c>
      <c r="N196" s="115">
        <v>0</v>
      </c>
      <c r="O196" s="115">
        <f t="shared" si="11"/>
        <v>323.48</v>
      </c>
    </row>
    <row r="197" spans="1:15" ht="14.25" customHeight="1" x14ac:dyDescent="0.35">
      <c r="A197" s="7">
        <v>161</v>
      </c>
      <c r="B197" s="98">
        <f t="shared" si="0"/>
        <v>324.95</v>
      </c>
      <c r="C197" s="98">
        <f t="shared" si="1"/>
        <v>155.71</v>
      </c>
      <c r="D197" s="98">
        <f t="shared" si="2"/>
        <v>169.23999999999998</v>
      </c>
      <c r="E197" s="98">
        <f t="shared" si="3"/>
        <v>53217.379999999983</v>
      </c>
      <c r="F197" s="115">
        <v>0</v>
      </c>
      <c r="G197" s="115">
        <f t="shared" si="5"/>
        <v>324.95</v>
      </c>
      <c r="I197" s="38">
        <v>161</v>
      </c>
      <c r="J197" s="115">
        <f t="shared" si="6"/>
        <v>322.92</v>
      </c>
      <c r="K197" s="115">
        <f t="shared" si="7"/>
        <v>127.61</v>
      </c>
      <c r="L197" s="115">
        <f t="shared" si="8"/>
        <v>195.31</v>
      </c>
      <c r="M197" s="115">
        <f t="shared" si="9"/>
        <v>43555.090000000375</v>
      </c>
      <c r="N197" s="115">
        <v>0</v>
      </c>
      <c r="O197" s="115">
        <f t="shared" si="11"/>
        <v>322.92</v>
      </c>
    </row>
    <row r="198" spans="1:15" ht="14.25" customHeight="1" x14ac:dyDescent="0.35">
      <c r="A198" s="7">
        <v>162</v>
      </c>
      <c r="B198" s="98">
        <f t="shared" si="0"/>
        <v>324.95</v>
      </c>
      <c r="C198" s="98">
        <f t="shared" si="1"/>
        <v>155.22</v>
      </c>
      <c r="D198" s="98">
        <f t="shared" si="2"/>
        <v>169.73</v>
      </c>
      <c r="E198" s="98">
        <f t="shared" si="3"/>
        <v>53047.64999999998</v>
      </c>
      <c r="F198" s="115">
        <v>0</v>
      </c>
      <c r="G198" s="115">
        <f t="shared" si="5"/>
        <v>324.95</v>
      </c>
      <c r="I198" s="38">
        <v>162</v>
      </c>
      <c r="J198" s="115">
        <f t="shared" si="6"/>
        <v>322.35000000000002</v>
      </c>
      <c r="K198" s="115">
        <f t="shared" si="7"/>
        <v>127.04</v>
      </c>
      <c r="L198" s="115">
        <f t="shared" si="8"/>
        <v>195.31</v>
      </c>
      <c r="M198" s="115">
        <f t="shared" si="9"/>
        <v>43359.780000000377</v>
      </c>
      <c r="N198" s="115">
        <v>0</v>
      </c>
      <c r="O198" s="115">
        <f t="shared" si="11"/>
        <v>322.35000000000002</v>
      </c>
    </row>
    <row r="199" spans="1:15" ht="14.25" customHeight="1" x14ac:dyDescent="0.35">
      <c r="A199" s="7">
        <v>163</v>
      </c>
      <c r="B199" s="98">
        <f t="shared" si="0"/>
        <v>324.95</v>
      </c>
      <c r="C199" s="98">
        <f t="shared" si="1"/>
        <v>154.72</v>
      </c>
      <c r="D199" s="98">
        <f t="shared" si="2"/>
        <v>170.23</v>
      </c>
      <c r="E199" s="98">
        <f t="shared" si="3"/>
        <v>52877.419999999976</v>
      </c>
      <c r="F199" s="115">
        <v>0</v>
      </c>
      <c r="G199" s="115">
        <f t="shared" si="5"/>
        <v>324.95</v>
      </c>
      <c r="I199" s="38">
        <v>163</v>
      </c>
      <c r="J199" s="115">
        <f t="shared" si="6"/>
        <v>321.77999999999997</v>
      </c>
      <c r="K199" s="115">
        <f t="shared" si="7"/>
        <v>126.47</v>
      </c>
      <c r="L199" s="115">
        <f t="shared" si="8"/>
        <v>195.31</v>
      </c>
      <c r="M199" s="115">
        <f t="shared" si="9"/>
        <v>43164.47000000038</v>
      </c>
      <c r="N199" s="115">
        <v>0</v>
      </c>
      <c r="O199" s="115">
        <f t="shared" si="11"/>
        <v>321.77999999999997</v>
      </c>
    </row>
    <row r="200" spans="1:15" ht="14.25" customHeight="1" x14ac:dyDescent="0.35">
      <c r="A200" s="7">
        <v>164</v>
      </c>
      <c r="B200" s="98">
        <f t="shared" si="0"/>
        <v>324.95</v>
      </c>
      <c r="C200" s="98">
        <f t="shared" si="1"/>
        <v>154.22999999999999</v>
      </c>
      <c r="D200" s="98">
        <f t="shared" si="2"/>
        <v>170.72</v>
      </c>
      <c r="E200" s="98">
        <f t="shared" si="3"/>
        <v>52706.699999999975</v>
      </c>
      <c r="F200" s="115">
        <v>0</v>
      </c>
      <c r="G200" s="115">
        <f t="shared" si="5"/>
        <v>324.95</v>
      </c>
      <c r="I200" s="38">
        <v>164</v>
      </c>
      <c r="J200" s="115">
        <f t="shared" si="6"/>
        <v>321.21000000000004</v>
      </c>
      <c r="K200" s="115">
        <f t="shared" si="7"/>
        <v>125.9</v>
      </c>
      <c r="L200" s="115">
        <f t="shared" si="8"/>
        <v>195.31</v>
      </c>
      <c r="M200" s="115">
        <f t="shared" si="9"/>
        <v>42969.160000000382</v>
      </c>
      <c r="N200" s="115">
        <v>0</v>
      </c>
      <c r="O200" s="115">
        <f t="shared" si="11"/>
        <v>321.21000000000004</v>
      </c>
    </row>
    <row r="201" spans="1:15" ht="14.25" customHeight="1" x14ac:dyDescent="0.35">
      <c r="A201" s="7">
        <v>165</v>
      </c>
      <c r="B201" s="98">
        <f t="shared" si="0"/>
        <v>324.95</v>
      </c>
      <c r="C201" s="98">
        <f t="shared" si="1"/>
        <v>153.72999999999999</v>
      </c>
      <c r="D201" s="98">
        <f t="shared" si="2"/>
        <v>171.22</v>
      </c>
      <c r="E201" s="98">
        <f t="shared" si="3"/>
        <v>52535.479999999974</v>
      </c>
      <c r="F201" s="115">
        <v>0</v>
      </c>
      <c r="G201" s="115">
        <f t="shared" si="5"/>
        <v>324.95</v>
      </c>
      <c r="I201" s="38">
        <v>165</v>
      </c>
      <c r="J201" s="115">
        <f t="shared" si="6"/>
        <v>320.64</v>
      </c>
      <c r="K201" s="115">
        <f t="shared" si="7"/>
        <v>125.33</v>
      </c>
      <c r="L201" s="115">
        <f t="shared" si="8"/>
        <v>195.31</v>
      </c>
      <c r="M201" s="115">
        <f t="shared" si="9"/>
        <v>42773.850000000384</v>
      </c>
      <c r="N201" s="115">
        <v>0</v>
      </c>
      <c r="O201" s="115">
        <f t="shared" si="11"/>
        <v>320.64</v>
      </c>
    </row>
    <row r="202" spans="1:15" ht="14.25" customHeight="1" x14ac:dyDescent="0.35">
      <c r="A202" s="7">
        <v>166</v>
      </c>
      <c r="B202" s="98">
        <f t="shared" si="0"/>
        <v>324.95</v>
      </c>
      <c r="C202" s="98">
        <f t="shared" si="1"/>
        <v>153.22999999999999</v>
      </c>
      <c r="D202" s="98">
        <f t="shared" si="2"/>
        <v>171.72</v>
      </c>
      <c r="E202" s="98">
        <f t="shared" si="3"/>
        <v>52363.759999999973</v>
      </c>
      <c r="F202" s="115">
        <v>0</v>
      </c>
      <c r="G202" s="115">
        <f t="shared" si="5"/>
        <v>324.95</v>
      </c>
      <c r="I202" s="38">
        <v>166</v>
      </c>
      <c r="J202" s="115">
        <f t="shared" si="6"/>
        <v>320.07</v>
      </c>
      <c r="K202" s="115">
        <f t="shared" si="7"/>
        <v>124.76</v>
      </c>
      <c r="L202" s="115">
        <f t="shared" si="8"/>
        <v>195.31</v>
      </c>
      <c r="M202" s="115">
        <f t="shared" si="9"/>
        <v>42578.540000000386</v>
      </c>
      <c r="N202" s="115">
        <v>0</v>
      </c>
      <c r="O202" s="115">
        <f t="shared" si="11"/>
        <v>320.07</v>
      </c>
    </row>
    <row r="203" spans="1:15" ht="14.25" customHeight="1" x14ac:dyDescent="0.35">
      <c r="A203" s="7">
        <v>167</v>
      </c>
      <c r="B203" s="98">
        <f t="shared" si="0"/>
        <v>324.95</v>
      </c>
      <c r="C203" s="98">
        <f t="shared" si="1"/>
        <v>152.72999999999999</v>
      </c>
      <c r="D203" s="98">
        <f t="shared" si="2"/>
        <v>172.22</v>
      </c>
      <c r="E203" s="98">
        <f t="shared" si="3"/>
        <v>52191.539999999972</v>
      </c>
      <c r="F203" s="115">
        <v>0</v>
      </c>
      <c r="G203" s="115">
        <f t="shared" si="5"/>
        <v>324.95</v>
      </c>
      <c r="I203" s="38">
        <v>167</v>
      </c>
      <c r="J203" s="115">
        <f t="shared" si="6"/>
        <v>319.5</v>
      </c>
      <c r="K203" s="115">
        <f t="shared" si="7"/>
        <v>124.19</v>
      </c>
      <c r="L203" s="115">
        <f t="shared" si="8"/>
        <v>195.31</v>
      </c>
      <c r="M203" s="115">
        <f t="shared" si="9"/>
        <v>42383.230000000389</v>
      </c>
      <c r="N203" s="115">
        <v>0</v>
      </c>
      <c r="O203" s="115">
        <f t="shared" si="11"/>
        <v>319.5</v>
      </c>
    </row>
    <row r="204" spans="1:15" ht="14.25" customHeight="1" x14ac:dyDescent="0.35">
      <c r="A204" s="7">
        <v>168</v>
      </c>
      <c r="B204" s="98">
        <f t="shared" si="0"/>
        <v>324.95</v>
      </c>
      <c r="C204" s="98">
        <f t="shared" si="1"/>
        <v>152.22999999999999</v>
      </c>
      <c r="D204" s="98">
        <f t="shared" si="2"/>
        <v>172.72</v>
      </c>
      <c r="E204" s="98">
        <f t="shared" si="3"/>
        <v>52018.819999999971</v>
      </c>
      <c r="F204" s="115">
        <v>0</v>
      </c>
      <c r="G204" s="115">
        <f t="shared" si="5"/>
        <v>324.95</v>
      </c>
      <c r="I204" s="38">
        <v>168</v>
      </c>
      <c r="J204" s="115">
        <f t="shared" si="6"/>
        <v>318.93</v>
      </c>
      <c r="K204" s="115">
        <f t="shared" si="7"/>
        <v>123.62</v>
      </c>
      <c r="L204" s="115">
        <f t="shared" si="8"/>
        <v>195.31</v>
      </c>
      <c r="M204" s="115">
        <f t="shared" si="9"/>
        <v>42187.920000000391</v>
      </c>
      <c r="N204" s="115">
        <v>0</v>
      </c>
      <c r="O204" s="115">
        <f t="shared" si="11"/>
        <v>318.93</v>
      </c>
    </row>
    <row r="205" spans="1:15" ht="14.25" customHeight="1" x14ac:dyDescent="0.35">
      <c r="A205" s="7">
        <v>169</v>
      </c>
      <c r="B205" s="98">
        <f t="shared" si="0"/>
        <v>324.95</v>
      </c>
      <c r="C205" s="98">
        <f t="shared" si="1"/>
        <v>151.72</v>
      </c>
      <c r="D205" s="98">
        <f t="shared" si="2"/>
        <v>173.23</v>
      </c>
      <c r="E205" s="98">
        <f t="shared" si="3"/>
        <v>51845.589999999967</v>
      </c>
      <c r="F205" s="115">
        <v>0</v>
      </c>
      <c r="G205" s="115">
        <f t="shared" si="5"/>
        <v>324.95</v>
      </c>
      <c r="I205" s="38">
        <v>169</v>
      </c>
      <c r="J205" s="115">
        <f t="shared" si="6"/>
        <v>318.36</v>
      </c>
      <c r="K205" s="115">
        <f t="shared" si="7"/>
        <v>123.05</v>
      </c>
      <c r="L205" s="115">
        <f t="shared" si="8"/>
        <v>195.31</v>
      </c>
      <c r="M205" s="115">
        <f t="shared" si="9"/>
        <v>41992.610000000393</v>
      </c>
      <c r="N205" s="115">
        <v>0</v>
      </c>
      <c r="O205" s="115">
        <f t="shared" si="11"/>
        <v>318.36</v>
      </c>
    </row>
    <row r="206" spans="1:15" ht="14.25" customHeight="1" x14ac:dyDescent="0.35">
      <c r="A206" s="7">
        <v>170</v>
      </c>
      <c r="B206" s="98">
        <f t="shared" si="0"/>
        <v>324.95</v>
      </c>
      <c r="C206" s="98">
        <f t="shared" si="1"/>
        <v>151.22</v>
      </c>
      <c r="D206" s="98">
        <f t="shared" si="2"/>
        <v>173.73</v>
      </c>
      <c r="E206" s="98">
        <f t="shared" si="3"/>
        <v>51671.859999999964</v>
      </c>
      <c r="F206" s="115">
        <v>0</v>
      </c>
      <c r="G206" s="115">
        <f t="shared" si="5"/>
        <v>324.95</v>
      </c>
      <c r="I206" s="38">
        <v>170</v>
      </c>
      <c r="J206" s="115">
        <f t="shared" si="6"/>
        <v>317.79000000000002</v>
      </c>
      <c r="K206" s="115">
        <f t="shared" si="7"/>
        <v>122.48</v>
      </c>
      <c r="L206" s="115">
        <f t="shared" si="8"/>
        <v>195.31</v>
      </c>
      <c r="M206" s="115">
        <f t="shared" si="9"/>
        <v>41797.300000000396</v>
      </c>
      <c r="N206" s="115">
        <v>0</v>
      </c>
      <c r="O206" s="115">
        <f t="shared" si="11"/>
        <v>317.79000000000002</v>
      </c>
    </row>
    <row r="207" spans="1:15" ht="14.25" customHeight="1" x14ac:dyDescent="0.35">
      <c r="A207" s="7">
        <v>171</v>
      </c>
      <c r="B207" s="98">
        <f t="shared" si="0"/>
        <v>324.95</v>
      </c>
      <c r="C207" s="98">
        <f t="shared" si="1"/>
        <v>150.71</v>
      </c>
      <c r="D207" s="98">
        <f t="shared" si="2"/>
        <v>174.23999999999998</v>
      </c>
      <c r="E207" s="98">
        <f t="shared" si="3"/>
        <v>51497.619999999966</v>
      </c>
      <c r="F207" s="115">
        <v>0</v>
      </c>
      <c r="G207" s="115">
        <f t="shared" si="5"/>
        <v>324.95</v>
      </c>
      <c r="I207" s="38">
        <v>171</v>
      </c>
      <c r="J207" s="115">
        <f t="shared" si="6"/>
        <v>317.22000000000003</v>
      </c>
      <c r="K207" s="115">
        <f t="shared" si="7"/>
        <v>121.91</v>
      </c>
      <c r="L207" s="115">
        <f t="shared" si="8"/>
        <v>195.31</v>
      </c>
      <c r="M207" s="115">
        <f t="shared" si="9"/>
        <v>41601.990000000398</v>
      </c>
      <c r="N207" s="115">
        <v>0</v>
      </c>
      <c r="O207" s="115">
        <f t="shared" si="11"/>
        <v>317.22000000000003</v>
      </c>
    </row>
    <row r="208" spans="1:15" ht="14.25" customHeight="1" x14ac:dyDescent="0.35">
      <c r="A208" s="7">
        <v>172</v>
      </c>
      <c r="B208" s="98">
        <f t="shared" si="0"/>
        <v>324.95</v>
      </c>
      <c r="C208" s="98">
        <f t="shared" si="1"/>
        <v>150.19999999999999</v>
      </c>
      <c r="D208" s="98">
        <f t="shared" si="2"/>
        <v>174.75</v>
      </c>
      <c r="E208" s="98">
        <f t="shared" si="3"/>
        <v>51322.869999999966</v>
      </c>
      <c r="F208" s="115">
        <v>0</v>
      </c>
      <c r="G208" s="115">
        <f t="shared" si="5"/>
        <v>324.95</v>
      </c>
      <c r="I208" s="38">
        <v>172</v>
      </c>
      <c r="J208" s="115">
        <f t="shared" si="6"/>
        <v>316.64999999999998</v>
      </c>
      <c r="K208" s="115">
        <f t="shared" si="7"/>
        <v>121.34</v>
      </c>
      <c r="L208" s="115">
        <f t="shared" si="8"/>
        <v>195.31</v>
      </c>
      <c r="M208" s="115">
        <f t="shared" si="9"/>
        <v>41406.6800000004</v>
      </c>
      <c r="N208" s="115">
        <v>0</v>
      </c>
      <c r="O208" s="115">
        <f t="shared" si="11"/>
        <v>316.64999999999998</v>
      </c>
    </row>
    <row r="209" spans="1:15" ht="14.25" customHeight="1" x14ac:dyDescent="0.35">
      <c r="A209" s="7">
        <v>173</v>
      </c>
      <c r="B209" s="98">
        <f t="shared" si="0"/>
        <v>324.95</v>
      </c>
      <c r="C209" s="98">
        <f t="shared" si="1"/>
        <v>149.69</v>
      </c>
      <c r="D209" s="98">
        <f t="shared" si="2"/>
        <v>175.26</v>
      </c>
      <c r="E209" s="98">
        <f t="shared" si="3"/>
        <v>51147.609999999964</v>
      </c>
      <c r="F209" s="115">
        <v>0</v>
      </c>
      <c r="G209" s="115">
        <f t="shared" si="5"/>
        <v>324.95</v>
      </c>
      <c r="I209" s="38">
        <v>173</v>
      </c>
      <c r="J209" s="115">
        <f t="shared" si="6"/>
        <v>316.08</v>
      </c>
      <c r="K209" s="115">
        <f t="shared" si="7"/>
        <v>120.77</v>
      </c>
      <c r="L209" s="115">
        <f t="shared" si="8"/>
        <v>195.31</v>
      </c>
      <c r="M209" s="115">
        <f t="shared" si="9"/>
        <v>41211.370000000403</v>
      </c>
      <c r="N209" s="115">
        <v>0</v>
      </c>
      <c r="O209" s="115">
        <f t="shared" si="11"/>
        <v>316.08</v>
      </c>
    </row>
    <row r="210" spans="1:15" ht="14.25" customHeight="1" x14ac:dyDescent="0.35">
      <c r="A210" s="7">
        <v>174</v>
      </c>
      <c r="B210" s="98">
        <f t="shared" si="0"/>
        <v>324.95</v>
      </c>
      <c r="C210" s="98">
        <f t="shared" si="1"/>
        <v>149.18</v>
      </c>
      <c r="D210" s="98">
        <f t="shared" si="2"/>
        <v>175.76999999999998</v>
      </c>
      <c r="E210" s="98">
        <f t="shared" si="3"/>
        <v>50971.839999999967</v>
      </c>
      <c r="F210" s="115">
        <v>0</v>
      </c>
      <c r="G210" s="115">
        <f t="shared" si="5"/>
        <v>324.95</v>
      </c>
      <c r="I210" s="38">
        <v>174</v>
      </c>
      <c r="J210" s="115">
        <f t="shared" si="6"/>
        <v>315.51</v>
      </c>
      <c r="K210" s="115">
        <f t="shared" si="7"/>
        <v>120.2</v>
      </c>
      <c r="L210" s="115">
        <f t="shared" si="8"/>
        <v>195.31</v>
      </c>
      <c r="M210" s="115">
        <f t="shared" si="9"/>
        <v>41016.060000000405</v>
      </c>
      <c r="N210" s="115">
        <v>0</v>
      </c>
      <c r="O210" s="115">
        <f t="shared" si="11"/>
        <v>315.51</v>
      </c>
    </row>
    <row r="211" spans="1:15" ht="14.25" customHeight="1" x14ac:dyDescent="0.35">
      <c r="A211" s="7">
        <v>175</v>
      </c>
      <c r="B211" s="98">
        <f t="shared" si="0"/>
        <v>324.95</v>
      </c>
      <c r="C211" s="98">
        <f t="shared" si="1"/>
        <v>148.66999999999999</v>
      </c>
      <c r="D211" s="98">
        <f t="shared" si="2"/>
        <v>176.28</v>
      </c>
      <c r="E211" s="98">
        <f t="shared" si="3"/>
        <v>50795.559999999969</v>
      </c>
      <c r="F211" s="115">
        <v>0</v>
      </c>
      <c r="G211" s="115">
        <f t="shared" si="5"/>
        <v>324.95</v>
      </c>
      <c r="I211" s="38">
        <v>175</v>
      </c>
      <c r="J211" s="115">
        <f t="shared" si="6"/>
        <v>314.94</v>
      </c>
      <c r="K211" s="115">
        <f t="shared" si="7"/>
        <v>119.63</v>
      </c>
      <c r="L211" s="115">
        <f t="shared" si="8"/>
        <v>195.31</v>
      </c>
      <c r="M211" s="115">
        <f t="shared" si="9"/>
        <v>40820.750000000407</v>
      </c>
      <c r="N211" s="115">
        <v>0</v>
      </c>
      <c r="O211" s="115">
        <f t="shared" si="11"/>
        <v>314.94</v>
      </c>
    </row>
    <row r="212" spans="1:15" ht="14.25" customHeight="1" x14ac:dyDescent="0.35">
      <c r="A212" s="7">
        <v>176</v>
      </c>
      <c r="B212" s="98">
        <f t="shared" si="0"/>
        <v>324.95</v>
      </c>
      <c r="C212" s="98">
        <f t="shared" si="1"/>
        <v>148.15</v>
      </c>
      <c r="D212" s="98">
        <f t="shared" si="2"/>
        <v>176.79999999999998</v>
      </c>
      <c r="E212" s="98">
        <f t="shared" si="3"/>
        <v>50618.759999999966</v>
      </c>
      <c r="F212" s="115">
        <v>0</v>
      </c>
      <c r="G212" s="115">
        <f t="shared" si="5"/>
        <v>324.95</v>
      </c>
      <c r="I212" s="38">
        <v>176</v>
      </c>
      <c r="J212" s="115">
        <f t="shared" si="6"/>
        <v>314.37</v>
      </c>
      <c r="K212" s="115">
        <f t="shared" si="7"/>
        <v>119.06</v>
      </c>
      <c r="L212" s="115">
        <f t="shared" si="8"/>
        <v>195.31</v>
      </c>
      <c r="M212" s="115">
        <f t="shared" si="9"/>
        <v>40625.44000000041</v>
      </c>
      <c r="N212" s="115">
        <v>0</v>
      </c>
      <c r="O212" s="115">
        <f t="shared" si="11"/>
        <v>314.37</v>
      </c>
    </row>
    <row r="213" spans="1:15" ht="14.25" customHeight="1" x14ac:dyDescent="0.35">
      <c r="A213" s="7">
        <v>177</v>
      </c>
      <c r="B213" s="98">
        <f t="shared" si="0"/>
        <v>324.95</v>
      </c>
      <c r="C213" s="98">
        <f t="shared" si="1"/>
        <v>147.63999999999999</v>
      </c>
      <c r="D213" s="98">
        <f t="shared" si="2"/>
        <v>177.31</v>
      </c>
      <c r="E213" s="98">
        <f t="shared" si="3"/>
        <v>50441.449999999968</v>
      </c>
      <c r="F213" s="115">
        <v>0</v>
      </c>
      <c r="G213" s="115">
        <f t="shared" si="5"/>
        <v>324.95</v>
      </c>
      <c r="I213" s="38">
        <v>177</v>
      </c>
      <c r="J213" s="115">
        <f t="shared" si="6"/>
        <v>313.8</v>
      </c>
      <c r="K213" s="115">
        <f t="shared" si="7"/>
        <v>118.49</v>
      </c>
      <c r="L213" s="115">
        <f t="shared" si="8"/>
        <v>195.31</v>
      </c>
      <c r="M213" s="115">
        <f t="shared" si="9"/>
        <v>40430.130000000412</v>
      </c>
      <c r="N213" s="115">
        <v>0</v>
      </c>
      <c r="O213" s="115">
        <f t="shared" si="11"/>
        <v>313.8</v>
      </c>
    </row>
    <row r="214" spans="1:15" ht="14.25" customHeight="1" x14ac:dyDescent="0.35">
      <c r="A214" s="7">
        <v>178</v>
      </c>
      <c r="B214" s="98">
        <f t="shared" si="0"/>
        <v>324.95</v>
      </c>
      <c r="C214" s="98">
        <f t="shared" si="1"/>
        <v>147.12</v>
      </c>
      <c r="D214" s="98">
        <f t="shared" si="2"/>
        <v>177.82999999999998</v>
      </c>
      <c r="E214" s="98">
        <f t="shared" si="3"/>
        <v>50263.619999999966</v>
      </c>
      <c r="F214" s="115">
        <v>0</v>
      </c>
      <c r="G214" s="115">
        <f t="shared" si="5"/>
        <v>324.95</v>
      </c>
      <c r="I214" s="38">
        <v>178</v>
      </c>
      <c r="J214" s="115">
        <f t="shared" si="6"/>
        <v>313.23</v>
      </c>
      <c r="K214" s="115">
        <f t="shared" si="7"/>
        <v>117.92</v>
      </c>
      <c r="L214" s="115">
        <f t="shared" si="8"/>
        <v>195.31</v>
      </c>
      <c r="M214" s="115">
        <f t="shared" si="9"/>
        <v>40234.820000000414</v>
      </c>
      <c r="N214" s="115">
        <v>0</v>
      </c>
      <c r="O214" s="115">
        <f t="shared" si="11"/>
        <v>313.23</v>
      </c>
    </row>
    <row r="215" spans="1:15" ht="14.25" customHeight="1" x14ac:dyDescent="0.35">
      <c r="A215" s="7">
        <v>179</v>
      </c>
      <c r="B215" s="98">
        <f t="shared" si="0"/>
        <v>324.95</v>
      </c>
      <c r="C215" s="98">
        <f t="shared" si="1"/>
        <v>146.6</v>
      </c>
      <c r="D215" s="98">
        <f t="shared" si="2"/>
        <v>178.35</v>
      </c>
      <c r="E215" s="98">
        <f t="shared" si="3"/>
        <v>50085.269999999968</v>
      </c>
      <c r="F215" s="115">
        <v>0</v>
      </c>
      <c r="G215" s="115">
        <f t="shared" si="5"/>
        <v>324.95</v>
      </c>
      <c r="I215" s="38">
        <v>179</v>
      </c>
      <c r="J215" s="115">
        <f t="shared" si="6"/>
        <v>312.65999999999997</v>
      </c>
      <c r="K215" s="115">
        <f t="shared" si="7"/>
        <v>117.35</v>
      </c>
      <c r="L215" s="115">
        <f t="shared" si="8"/>
        <v>195.31</v>
      </c>
      <c r="M215" s="115">
        <f t="shared" si="9"/>
        <v>40039.510000000417</v>
      </c>
      <c r="N215" s="115">
        <v>0</v>
      </c>
      <c r="O215" s="115">
        <f t="shared" si="11"/>
        <v>312.65999999999997</v>
      </c>
    </row>
    <row r="216" spans="1:15" ht="14.25" customHeight="1" x14ac:dyDescent="0.35">
      <c r="A216" s="7">
        <v>180</v>
      </c>
      <c r="B216" s="98">
        <f t="shared" si="0"/>
        <v>324.95</v>
      </c>
      <c r="C216" s="98">
        <f t="shared" si="1"/>
        <v>146.08000000000001</v>
      </c>
      <c r="D216" s="98">
        <f t="shared" si="2"/>
        <v>178.86999999999998</v>
      </c>
      <c r="E216" s="98">
        <f t="shared" si="3"/>
        <v>49906.399999999965</v>
      </c>
      <c r="F216" s="115">
        <v>0</v>
      </c>
      <c r="G216" s="115">
        <f t="shared" si="5"/>
        <v>324.95</v>
      </c>
      <c r="I216" s="38">
        <v>180</v>
      </c>
      <c r="J216" s="115">
        <f t="shared" si="6"/>
        <v>312.09000000000003</v>
      </c>
      <c r="K216" s="115">
        <f t="shared" si="7"/>
        <v>116.78</v>
      </c>
      <c r="L216" s="115">
        <f t="shared" si="8"/>
        <v>195.31</v>
      </c>
      <c r="M216" s="115">
        <f t="shared" si="9"/>
        <v>39844.200000000419</v>
      </c>
      <c r="N216" s="115">
        <v>0</v>
      </c>
      <c r="O216" s="115">
        <f t="shared" si="11"/>
        <v>312.09000000000003</v>
      </c>
    </row>
    <row r="217" spans="1:15" ht="14.25" customHeight="1" x14ac:dyDescent="0.35">
      <c r="A217" s="7">
        <v>181</v>
      </c>
      <c r="B217" s="98">
        <f t="shared" si="0"/>
        <v>324.95</v>
      </c>
      <c r="C217" s="98">
        <f t="shared" si="1"/>
        <v>145.56</v>
      </c>
      <c r="D217" s="98">
        <f t="shared" si="2"/>
        <v>179.39</v>
      </c>
      <c r="E217" s="98">
        <f t="shared" si="3"/>
        <v>49727.009999999966</v>
      </c>
      <c r="F217" s="115">
        <v>0</v>
      </c>
      <c r="G217" s="115">
        <f t="shared" si="5"/>
        <v>324.95</v>
      </c>
      <c r="I217" s="38">
        <v>181</v>
      </c>
      <c r="J217" s="115">
        <f t="shared" si="6"/>
        <v>311.52</v>
      </c>
      <c r="K217" s="115">
        <f t="shared" si="7"/>
        <v>116.21</v>
      </c>
      <c r="L217" s="115">
        <f t="shared" si="8"/>
        <v>195.31</v>
      </c>
      <c r="M217" s="115">
        <f t="shared" si="9"/>
        <v>39648.890000000421</v>
      </c>
      <c r="N217" s="115">
        <v>0</v>
      </c>
      <c r="O217" s="115">
        <f t="shared" si="11"/>
        <v>311.52</v>
      </c>
    </row>
    <row r="218" spans="1:15" ht="14.25" customHeight="1" x14ac:dyDescent="0.35">
      <c r="A218" s="7">
        <v>182</v>
      </c>
      <c r="B218" s="98">
        <f t="shared" si="0"/>
        <v>324.95</v>
      </c>
      <c r="C218" s="98">
        <f t="shared" si="1"/>
        <v>145.04</v>
      </c>
      <c r="D218" s="98">
        <f t="shared" si="2"/>
        <v>179.91</v>
      </c>
      <c r="E218" s="98">
        <f t="shared" si="3"/>
        <v>49547.099999999962</v>
      </c>
      <c r="F218" s="115">
        <v>0</v>
      </c>
      <c r="G218" s="115">
        <f t="shared" si="5"/>
        <v>324.95</v>
      </c>
      <c r="I218" s="38">
        <v>182</v>
      </c>
      <c r="J218" s="115">
        <f t="shared" si="6"/>
        <v>310.95</v>
      </c>
      <c r="K218" s="115">
        <f t="shared" si="7"/>
        <v>115.64</v>
      </c>
      <c r="L218" s="115">
        <f t="shared" si="8"/>
        <v>195.31</v>
      </c>
      <c r="M218" s="115">
        <f t="shared" si="9"/>
        <v>39453.580000000424</v>
      </c>
      <c r="N218" s="115">
        <v>0</v>
      </c>
      <c r="O218" s="115">
        <f t="shared" si="11"/>
        <v>310.95</v>
      </c>
    </row>
    <row r="219" spans="1:15" ht="14.25" customHeight="1" x14ac:dyDescent="0.35">
      <c r="A219" s="7">
        <v>183</v>
      </c>
      <c r="B219" s="98">
        <f t="shared" si="0"/>
        <v>324.95</v>
      </c>
      <c r="C219" s="98">
        <f t="shared" si="1"/>
        <v>144.51</v>
      </c>
      <c r="D219" s="98">
        <f t="shared" si="2"/>
        <v>180.44</v>
      </c>
      <c r="E219" s="98">
        <f t="shared" si="3"/>
        <v>49366.65999999996</v>
      </c>
      <c r="F219" s="115">
        <v>0</v>
      </c>
      <c r="G219" s="115">
        <f t="shared" si="5"/>
        <v>324.95</v>
      </c>
      <c r="I219" s="38">
        <v>183</v>
      </c>
      <c r="J219" s="115">
        <f t="shared" si="6"/>
        <v>310.38</v>
      </c>
      <c r="K219" s="115">
        <f t="shared" si="7"/>
        <v>115.07</v>
      </c>
      <c r="L219" s="115">
        <f t="shared" si="8"/>
        <v>195.31</v>
      </c>
      <c r="M219" s="115">
        <f t="shared" si="9"/>
        <v>39258.270000000426</v>
      </c>
      <c r="N219" s="115">
        <v>0</v>
      </c>
      <c r="O219" s="115">
        <f t="shared" si="11"/>
        <v>310.38</v>
      </c>
    </row>
    <row r="220" spans="1:15" ht="14.25" customHeight="1" x14ac:dyDescent="0.35">
      <c r="A220" s="7">
        <v>184</v>
      </c>
      <c r="B220" s="98">
        <f t="shared" si="0"/>
        <v>324.95</v>
      </c>
      <c r="C220" s="98">
        <f t="shared" si="1"/>
        <v>143.99</v>
      </c>
      <c r="D220" s="98">
        <f t="shared" si="2"/>
        <v>180.95999999999998</v>
      </c>
      <c r="E220" s="98">
        <f t="shared" si="3"/>
        <v>49185.699999999961</v>
      </c>
      <c r="F220" s="115">
        <v>0</v>
      </c>
      <c r="G220" s="115">
        <f t="shared" si="5"/>
        <v>324.95</v>
      </c>
      <c r="I220" s="38">
        <v>184</v>
      </c>
      <c r="J220" s="115">
        <f t="shared" si="6"/>
        <v>309.81</v>
      </c>
      <c r="K220" s="115">
        <f t="shared" si="7"/>
        <v>114.5</v>
      </c>
      <c r="L220" s="115">
        <f t="shared" si="8"/>
        <v>195.31</v>
      </c>
      <c r="M220" s="115">
        <f t="shared" si="9"/>
        <v>39062.960000000428</v>
      </c>
      <c r="N220" s="115">
        <v>0</v>
      </c>
      <c r="O220" s="115">
        <f t="shared" si="11"/>
        <v>309.81</v>
      </c>
    </row>
    <row r="221" spans="1:15" ht="14.25" customHeight="1" x14ac:dyDescent="0.35">
      <c r="A221" s="7">
        <v>185</v>
      </c>
      <c r="B221" s="98">
        <f t="shared" si="0"/>
        <v>324.95</v>
      </c>
      <c r="C221" s="98">
        <f t="shared" si="1"/>
        <v>143.46</v>
      </c>
      <c r="D221" s="98">
        <f t="shared" si="2"/>
        <v>181.48999999999998</v>
      </c>
      <c r="E221" s="98">
        <f t="shared" si="3"/>
        <v>49004.209999999963</v>
      </c>
      <c r="F221" s="115">
        <v>0</v>
      </c>
      <c r="G221" s="115">
        <f t="shared" si="5"/>
        <v>324.95</v>
      </c>
      <c r="I221" s="38">
        <v>185</v>
      </c>
      <c r="J221" s="115">
        <f t="shared" si="6"/>
        <v>309.24</v>
      </c>
      <c r="K221" s="115">
        <f t="shared" si="7"/>
        <v>113.93</v>
      </c>
      <c r="L221" s="115">
        <f t="shared" si="8"/>
        <v>195.31</v>
      </c>
      <c r="M221" s="115">
        <f t="shared" si="9"/>
        <v>38867.650000000431</v>
      </c>
      <c r="N221" s="115">
        <v>0</v>
      </c>
      <c r="O221" s="115">
        <f t="shared" si="11"/>
        <v>309.24</v>
      </c>
    </row>
    <row r="222" spans="1:15" ht="14.25" customHeight="1" x14ac:dyDescent="0.35">
      <c r="A222" s="7">
        <v>186</v>
      </c>
      <c r="B222" s="98">
        <f t="shared" si="0"/>
        <v>324.95</v>
      </c>
      <c r="C222" s="98">
        <f t="shared" si="1"/>
        <v>142.93</v>
      </c>
      <c r="D222" s="98">
        <f t="shared" si="2"/>
        <v>182.01999999999998</v>
      </c>
      <c r="E222" s="98">
        <f t="shared" si="3"/>
        <v>48822.189999999966</v>
      </c>
      <c r="F222" s="115">
        <v>0</v>
      </c>
      <c r="G222" s="115">
        <f t="shared" si="5"/>
        <v>324.95</v>
      </c>
      <c r="I222" s="38">
        <v>186</v>
      </c>
      <c r="J222" s="115">
        <f t="shared" si="6"/>
        <v>308.67</v>
      </c>
      <c r="K222" s="115">
        <f t="shared" si="7"/>
        <v>113.36</v>
      </c>
      <c r="L222" s="115">
        <f t="shared" si="8"/>
        <v>195.31</v>
      </c>
      <c r="M222" s="115">
        <f t="shared" si="9"/>
        <v>38672.340000000433</v>
      </c>
      <c r="N222" s="115">
        <v>0</v>
      </c>
      <c r="O222" s="115">
        <f t="shared" si="11"/>
        <v>308.67</v>
      </c>
    </row>
    <row r="223" spans="1:15" ht="14.25" customHeight="1" x14ac:dyDescent="0.35">
      <c r="A223" s="7">
        <v>187</v>
      </c>
      <c r="B223" s="98">
        <f t="shared" si="0"/>
        <v>324.95</v>
      </c>
      <c r="C223" s="98">
        <f t="shared" si="1"/>
        <v>142.4</v>
      </c>
      <c r="D223" s="98">
        <f t="shared" si="2"/>
        <v>182.54999999999998</v>
      </c>
      <c r="E223" s="98">
        <f t="shared" si="3"/>
        <v>48639.639999999963</v>
      </c>
      <c r="F223" s="115">
        <v>0</v>
      </c>
      <c r="G223" s="115">
        <f t="shared" si="5"/>
        <v>324.95</v>
      </c>
      <c r="I223" s="38">
        <v>187</v>
      </c>
      <c r="J223" s="115">
        <f t="shared" si="6"/>
        <v>308.10000000000002</v>
      </c>
      <c r="K223" s="115">
        <f t="shared" si="7"/>
        <v>112.79</v>
      </c>
      <c r="L223" s="115">
        <f t="shared" si="8"/>
        <v>195.31</v>
      </c>
      <c r="M223" s="115">
        <f t="shared" si="9"/>
        <v>38477.030000000435</v>
      </c>
      <c r="N223" s="115">
        <v>0</v>
      </c>
      <c r="O223" s="115">
        <f t="shared" si="11"/>
        <v>308.10000000000002</v>
      </c>
    </row>
    <row r="224" spans="1:15" ht="14.25" customHeight="1" x14ac:dyDescent="0.35">
      <c r="A224" s="7">
        <v>188</v>
      </c>
      <c r="B224" s="98">
        <f t="shared" si="0"/>
        <v>324.95</v>
      </c>
      <c r="C224" s="98">
        <f t="shared" si="1"/>
        <v>141.87</v>
      </c>
      <c r="D224" s="98">
        <f t="shared" si="2"/>
        <v>183.07999999999998</v>
      </c>
      <c r="E224" s="98">
        <f t="shared" si="3"/>
        <v>48456.559999999961</v>
      </c>
      <c r="F224" s="115">
        <v>0</v>
      </c>
      <c r="G224" s="115">
        <f t="shared" si="5"/>
        <v>324.95</v>
      </c>
      <c r="I224" s="38">
        <v>188</v>
      </c>
      <c r="J224" s="115">
        <f t="shared" si="6"/>
        <v>307.52999999999997</v>
      </c>
      <c r="K224" s="115">
        <f t="shared" si="7"/>
        <v>112.22</v>
      </c>
      <c r="L224" s="115">
        <f t="shared" si="8"/>
        <v>195.31</v>
      </c>
      <c r="M224" s="115">
        <f t="shared" si="9"/>
        <v>38281.720000000438</v>
      </c>
      <c r="N224" s="115">
        <v>0</v>
      </c>
      <c r="O224" s="115">
        <f t="shared" si="11"/>
        <v>307.52999999999997</v>
      </c>
    </row>
    <row r="225" spans="1:15" ht="14.25" customHeight="1" x14ac:dyDescent="0.35">
      <c r="A225" s="7">
        <v>189</v>
      </c>
      <c r="B225" s="98">
        <f t="shared" si="0"/>
        <v>324.95</v>
      </c>
      <c r="C225" s="98">
        <f t="shared" si="1"/>
        <v>141.33000000000001</v>
      </c>
      <c r="D225" s="98">
        <f t="shared" si="2"/>
        <v>183.61999999999998</v>
      </c>
      <c r="E225" s="98">
        <f t="shared" si="3"/>
        <v>48272.939999999959</v>
      </c>
      <c r="F225" s="115">
        <v>0</v>
      </c>
      <c r="G225" s="115">
        <f t="shared" si="5"/>
        <v>324.95</v>
      </c>
      <c r="I225" s="38">
        <v>189</v>
      </c>
      <c r="J225" s="115">
        <f t="shared" si="6"/>
        <v>306.97000000000003</v>
      </c>
      <c r="K225" s="115">
        <f t="shared" si="7"/>
        <v>111.66</v>
      </c>
      <c r="L225" s="115">
        <f t="shared" si="8"/>
        <v>195.31</v>
      </c>
      <c r="M225" s="115">
        <f t="shared" si="9"/>
        <v>38086.41000000044</v>
      </c>
      <c r="N225" s="115">
        <v>0</v>
      </c>
      <c r="O225" s="115">
        <f t="shared" si="11"/>
        <v>306.97000000000003</v>
      </c>
    </row>
    <row r="226" spans="1:15" ht="14.25" customHeight="1" x14ac:dyDescent="0.35">
      <c r="A226" s="7">
        <v>190</v>
      </c>
      <c r="B226" s="98">
        <f t="shared" si="0"/>
        <v>324.95</v>
      </c>
      <c r="C226" s="98">
        <f t="shared" si="1"/>
        <v>140.80000000000001</v>
      </c>
      <c r="D226" s="98">
        <f t="shared" si="2"/>
        <v>184.14999999999998</v>
      </c>
      <c r="E226" s="98">
        <f t="shared" si="3"/>
        <v>48088.789999999957</v>
      </c>
      <c r="F226" s="115">
        <v>0</v>
      </c>
      <c r="G226" s="115">
        <f t="shared" si="5"/>
        <v>324.95</v>
      </c>
      <c r="I226" s="38">
        <v>190</v>
      </c>
      <c r="J226" s="115">
        <f t="shared" si="6"/>
        <v>306.39999999999998</v>
      </c>
      <c r="K226" s="115">
        <f t="shared" si="7"/>
        <v>111.09</v>
      </c>
      <c r="L226" s="115">
        <f t="shared" si="8"/>
        <v>195.31</v>
      </c>
      <c r="M226" s="115">
        <f t="shared" si="9"/>
        <v>37891.100000000442</v>
      </c>
      <c r="N226" s="115">
        <v>0</v>
      </c>
      <c r="O226" s="115">
        <f t="shared" si="11"/>
        <v>306.39999999999998</v>
      </c>
    </row>
    <row r="227" spans="1:15" ht="14.25" customHeight="1" x14ac:dyDescent="0.35">
      <c r="A227" s="7">
        <v>191</v>
      </c>
      <c r="B227" s="98">
        <f t="shared" si="0"/>
        <v>324.95</v>
      </c>
      <c r="C227" s="98">
        <f t="shared" si="1"/>
        <v>140.26</v>
      </c>
      <c r="D227" s="98">
        <f t="shared" si="2"/>
        <v>184.69</v>
      </c>
      <c r="E227" s="98">
        <f t="shared" si="3"/>
        <v>47904.099999999955</v>
      </c>
      <c r="F227" s="115">
        <v>0</v>
      </c>
      <c r="G227" s="115">
        <f t="shared" si="5"/>
        <v>324.95</v>
      </c>
      <c r="I227" s="38">
        <v>191</v>
      </c>
      <c r="J227" s="115">
        <f t="shared" si="6"/>
        <v>305.83</v>
      </c>
      <c r="K227" s="115">
        <f t="shared" si="7"/>
        <v>110.52</v>
      </c>
      <c r="L227" s="115">
        <f t="shared" si="8"/>
        <v>195.31</v>
      </c>
      <c r="M227" s="115">
        <f t="shared" si="9"/>
        <v>37695.790000000445</v>
      </c>
      <c r="N227" s="115">
        <v>0</v>
      </c>
      <c r="O227" s="115">
        <f t="shared" si="11"/>
        <v>305.83</v>
      </c>
    </row>
    <row r="228" spans="1:15" ht="14.25" customHeight="1" x14ac:dyDescent="0.35">
      <c r="A228" s="7">
        <v>192</v>
      </c>
      <c r="B228" s="98">
        <f t="shared" si="0"/>
        <v>324.95</v>
      </c>
      <c r="C228" s="98">
        <f t="shared" si="1"/>
        <v>139.72</v>
      </c>
      <c r="D228" s="98">
        <f t="shared" si="2"/>
        <v>185.23</v>
      </c>
      <c r="E228" s="98">
        <f t="shared" si="3"/>
        <v>47718.869999999952</v>
      </c>
      <c r="F228" s="115">
        <v>0</v>
      </c>
      <c r="G228" s="115">
        <f t="shared" si="5"/>
        <v>324.95</v>
      </c>
      <c r="I228" s="38">
        <v>192</v>
      </c>
      <c r="J228" s="115">
        <f t="shared" si="6"/>
        <v>305.26</v>
      </c>
      <c r="K228" s="115">
        <f t="shared" si="7"/>
        <v>109.95</v>
      </c>
      <c r="L228" s="115">
        <f t="shared" si="8"/>
        <v>195.31</v>
      </c>
      <c r="M228" s="115">
        <f t="shared" si="9"/>
        <v>37500.480000000447</v>
      </c>
      <c r="N228" s="115">
        <v>0</v>
      </c>
      <c r="O228" s="115">
        <f t="shared" si="11"/>
        <v>305.26</v>
      </c>
    </row>
    <row r="229" spans="1:15" ht="14.25" customHeight="1" x14ac:dyDescent="0.35">
      <c r="A229" s="7">
        <v>193</v>
      </c>
      <c r="B229" s="98">
        <f t="shared" si="0"/>
        <v>324.95</v>
      </c>
      <c r="C229" s="98">
        <f t="shared" si="1"/>
        <v>139.18</v>
      </c>
      <c r="D229" s="98">
        <f t="shared" si="2"/>
        <v>185.76999999999998</v>
      </c>
      <c r="E229" s="98">
        <f t="shared" si="3"/>
        <v>47533.099999999955</v>
      </c>
      <c r="F229" s="115">
        <v>0</v>
      </c>
      <c r="G229" s="115">
        <f t="shared" si="5"/>
        <v>324.95</v>
      </c>
      <c r="I229" s="38">
        <v>193</v>
      </c>
      <c r="J229" s="115">
        <f t="shared" si="6"/>
        <v>304.69</v>
      </c>
      <c r="K229" s="115">
        <f t="shared" si="7"/>
        <v>109.38</v>
      </c>
      <c r="L229" s="115">
        <f t="shared" si="8"/>
        <v>195.31</v>
      </c>
      <c r="M229" s="115">
        <f t="shared" si="9"/>
        <v>37305.170000000449</v>
      </c>
      <c r="N229" s="115">
        <v>0</v>
      </c>
      <c r="O229" s="115">
        <f t="shared" si="11"/>
        <v>304.69</v>
      </c>
    </row>
    <row r="230" spans="1:15" ht="14.25" customHeight="1" x14ac:dyDescent="0.35">
      <c r="A230" s="7">
        <v>194</v>
      </c>
      <c r="B230" s="98">
        <f t="shared" si="0"/>
        <v>324.95</v>
      </c>
      <c r="C230" s="98">
        <f t="shared" si="1"/>
        <v>138.63999999999999</v>
      </c>
      <c r="D230" s="98">
        <f t="shared" si="2"/>
        <v>186.31</v>
      </c>
      <c r="E230" s="98">
        <f t="shared" si="3"/>
        <v>47346.789999999957</v>
      </c>
      <c r="F230" s="115">
        <v>0</v>
      </c>
      <c r="G230" s="115">
        <f t="shared" si="5"/>
        <v>324.95</v>
      </c>
      <c r="I230" s="38">
        <v>194</v>
      </c>
      <c r="J230" s="115">
        <f t="shared" si="6"/>
        <v>304.12</v>
      </c>
      <c r="K230" s="115">
        <f t="shared" si="7"/>
        <v>108.81</v>
      </c>
      <c r="L230" s="115">
        <f t="shared" si="8"/>
        <v>195.31</v>
      </c>
      <c r="M230" s="115">
        <f t="shared" si="9"/>
        <v>37109.860000000452</v>
      </c>
      <c r="N230" s="115">
        <v>0</v>
      </c>
      <c r="O230" s="115">
        <f t="shared" si="11"/>
        <v>304.12</v>
      </c>
    </row>
    <row r="231" spans="1:15" ht="14.25" customHeight="1" x14ac:dyDescent="0.35">
      <c r="A231" s="7">
        <v>195</v>
      </c>
      <c r="B231" s="98">
        <f t="shared" si="0"/>
        <v>324.95</v>
      </c>
      <c r="C231" s="98">
        <f t="shared" si="1"/>
        <v>138.09</v>
      </c>
      <c r="D231" s="98">
        <f t="shared" si="2"/>
        <v>186.85999999999999</v>
      </c>
      <c r="E231" s="98">
        <f t="shared" si="3"/>
        <v>47159.929999999957</v>
      </c>
      <c r="F231" s="115">
        <v>0</v>
      </c>
      <c r="G231" s="115">
        <f t="shared" si="5"/>
        <v>324.95</v>
      </c>
      <c r="I231" s="38">
        <v>195</v>
      </c>
      <c r="J231" s="115">
        <f t="shared" si="6"/>
        <v>303.55</v>
      </c>
      <c r="K231" s="115">
        <f t="shared" si="7"/>
        <v>108.24</v>
      </c>
      <c r="L231" s="115">
        <f t="shared" si="8"/>
        <v>195.31</v>
      </c>
      <c r="M231" s="115">
        <f t="shared" si="9"/>
        <v>36914.550000000454</v>
      </c>
      <c r="N231" s="115">
        <v>0</v>
      </c>
      <c r="O231" s="115">
        <f t="shared" si="11"/>
        <v>303.55</v>
      </c>
    </row>
    <row r="232" spans="1:15" ht="14.25" customHeight="1" x14ac:dyDescent="0.35">
      <c r="A232" s="7">
        <v>196</v>
      </c>
      <c r="B232" s="98">
        <f t="shared" si="0"/>
        <v>324.95</v>
      </c>
      <c r="C232" s="98">
        <f t="shared" si="1"/>
        <v>137.55000000000001</v>
      </c>
      <c r="D232" s="98">
        <f t="shared" si="2"/>
        <v>187.39999999999998</v>
      </c>
      <c r="E232" s="98">
        <f t="shared" si="3"/>
        <v>46972.529999999955</v>
      </c>
      <c r="F232" s="115">
        <v>0</v>
      </c>
      <c r="G232" s="115">
        <f t="shared" si="5"/>
        <v>324.95</v>
      </c>
      <c r="I232" s="38">
        <v>196</v>
      </c>
      <c r="J232" s="115">
        <f t="shared" si="6"/>
        <v>302.98</v>
      </c>
      <c r="K232" s="115">
        <f t="shared" si="7"/>
        <v>107.67</v>
      </c>
      <c r="L232" s="115">
        <f t="shared" si="8"/>
        <v>195.31</v>
      </c>
      <c r="M232" s="115">
        <f t="shared" si="9"/>
        <v>36719.240000000456</v>
      </c>
      <c r="N232" s="115">
        <v>0</v>
      </c>
      <c r="O232" s="115">
        <f t="shared" si="11"/>
        <v>302.98</v>
      </c>
    </row>
    <row r="233" spans="1:15" ht="14.25" customHeight="1" x14ac:dyDescent="0.35">
      <c r="A233" s="7">
        <v>197</v>
      </c>
      <c r="B233" s="98">
        <f t="shared" si="0"/>
        <v>324.95</v>
      </c>
      <c r="C233" s="98">
        <f t="shared" si="1"/>
        <v>137</v>
      </c>
      <c r="D233" s="98">
        <f t="shared" si="2"/>
        <v>187.95</v>
      </c>
      <c r="E233" s="98">
        <f t="shared" si="3"/>
        <v>46784.579999999958</v>
      </c>
      <c r="F233" s="115">
        <v>0</v>
      </c>
      <c r="G233" s="115">
        <f t="shared" si="5"/>
        <v>324.95</v>
      </c>
      <c r="I233" s="38">
        <v>197</v>
      </c>
      <c r="J233" s="115">
        <f t="shared" si="6"/>
        <v>302.40999999999997</v>
      </c>
      <c r="K233" s="115">
        <f t="shared" si="7"/>
        <v>107.1</v>
      </c>
      <c r="L233" s="115">
        <f t="shared" si="8"/>
        <v>195.31</v>
      </c>
      <c r="M233" s="115">
        <f t="shared" si="9"/>
        <v>36523.930000000459</v>
      </c>
      <c r="N233" s="115">
        <v>0</v>
      </c>
      <c r="O233" s="115">
        <f t="shared" si="11"/>
        <v>302.40999999999997</v>
      </c>
    </row>
    <row r="234" spans="1:15" ht="14.25" customHeight="1" x14ac:dyDescent="0.35">
      <c r="A234" s="7">
        <v>198</v>
      </c>
      <c r="B234" s="98">
        <f t="shared" si="0"/>
        <v>324.95</v>
      </c>
      <c r="C234" s="98">
        <f t="shared" si="1"/>
        <v>136.46</v>
      </c>
      <c r="D234" s="98">
        <f t="shared" si="2"/>
        <v>188.48999999999998</v>
      </c>
      <c r="E234" s="98">
        <f t="shared" si="3"/>
        <v>46596.08999999996</v>
      </c>
      <c r="F234" s="115">
        <v>0</v>
      </c>
      <c r="G234" s="115">
        <f t="shared" si="5"/>
        <v>324.95</v>
      </c>
      <c r="I234" s="38">
        <v>198</v>
      </c>
      <c r="J234" s="115">
        <f t="shared" si="6"/>
        <v>301.84000000000003</v>
      </c>
      <c r="K234" s="115">
        <f t="shared" si="7"/>
        <v>106.53</v>
      </c>
      <c r="L234" s="115">
        <f t="shared" si="8"/>
        <v>195.31</v>
      </c>
      <c r="M234" s="115">
        <f t="shared" si="9"/>
        <v>36328.620000000461</v>
      </c>
      <c r="N234" s="115">
        <v>0</v>
      </c>
      <c r="O234" s="115">
        <f t="shared" si="11"/>
        <v>301.84000000000003</v>
      </c>
    </row>
    <row r="235" spans="1:15" ht="14.25" customHeight="1" x14ac:dyDescent="0.35">
      <c r="A235" s="7">
        <v>199</v>
      </c>
      <c r="B235" s="98">
        <f t="shared" si="0"/>
        <v>324.95</v>
      </c>
      <c r="C235" s="98">
        <f t="shared" si="1"/>
        <v>135.91</v>
      </c>
      <c r="D235" s="98">
        <f t="shared" si="2"/>
        <v>189.04</v>
      </c>
      <c r="E235" s="98">
        <f t="shared" si="3"/>
        <v>46407.049999999959</v>
      </c>
      <c r="F235" s="115">
        <v>0</v>
      </c>
      <c r="G235" s="115">
        <f t="shared" si="5"/>
        <v>324.95</v>
      </c>
      <c r="I235" s="38">
        <v>199</v>
      </c>
      <c r="J235" s="115">
        <f t="shared" si="6"/>
        <v>301.27</v>
      </c>
      <c r="K235" s="115">
        <f t="shared" si="7"/>
        <v>105.96</v>
      </c>
      <c r="L235" s="115">
        <f t="shared" si="8"/>
        <v>195.31</v>
      </c>
      <c r="M235" s="115">
        <f t="shared" si="9"/>
        <v>36133.310000000463</v>
      </c>
      <c r="N235" s="115">
        <v>0</v>
      </c>
      <c r="O235" s="115">
        <f t="shared" si="11"/>
        <v>301.27</v>
      </c>
    </row>
    <row r="236" spans="1:15" ht="14.25" customHeight="1" x14ac:dyDescent="0.35">
      <c r="A236" s="7">
        <v>200</v>
      </c>
      <c r="B236" s="98">
        <f t="shared" si="0"/>
        <v>324.95</v>
      </c>
      <c r="C236" s="98">
        <f t="shared" si="1"/>
        <v>135.35</v>
      </c>
      <c r="D236" s="98">
        <f t="shared" si="2"/>
        <v>189.6</v>
      </c>
      <c r="E236" s="98">
        <f t="shared" si="3"/>
        <v>46217.449999999961</v>
      </c>
      <c r="F236" s="115">
        <v>0</v>
      </c>
      <c r="G236" s="115">
        <f t="shared" si="5"/>
        <v>324.95</v>
      </c>
      <c r="I236" s="38">
        <v>200</v>
      </c>
      <c r="J236" s="115">
        <f t="shared" si="6"/>
        <v>300.7</v>
      </c>
      <c r="K236" s="115">
        <f t="shared" si="7"/>
        <v>105.39</v>
      </c>
      <c r="L236" s="115">
        <f t="shared" si="8"/>
        <v>195.31</v>
      </c>
      <c r="M236" s="115">
        <f t="shared" si="9"/>
        <v>35938.000000000466</v>
      </c>
      <c r="N236" s="115">
        <v>0</v>
      </c>
      <c r="O236" s="115">
        <f t="shared" si="11"/>
        <v>300.7</v>
      </c>
    </row>
    <row r="237" spans="1:15" ht="14.25" customHeight="1" x14ac:dyDescent="0.35">
      <c r="A237" s="7">
        <v>201</v>
      </c>
      <c r="B237" s="98">
        <f t="shared" si="0"/>
        <v>324.95</v>
      </c>
      <c r="C237" s="98">
        <f t="shared" si="1"/>
        <v>134.80000000000001</v>
      </c>
      <c r="D237" s="98">
        <f t="shared" si="2"/>
        <v>190.14999999999998</v>
      </c>
      <c r="E237" s="98">
        <f t="shared" si="3"/>
        <v>46027.299999999959</v>
      </c>
      <c r="F237" s="115">
        <v>0</v>
      </c>
      <c r="G237" s="115">
        <f t="shared" si="5"/>
        <v>324.95</v>
      </c>
      <c r="I237" s="38">
        <v>201</v>
      </c>
      <c r="J237" s="115">
        <f t="shared" si="6"/>
        <v>300.13</v>
      </c>
      <c r="K237" s="115">
        <f t="shared" si="7"/>
        <v>104.82</v>
      </c>
      <c r="L237" s="115">
        <f t="shared" si="8"/>
        <v>195.31</v>
      </c>
      <c r="M237" s="115">
        <f t="shared" si="9"/>
        <v>35742.690000000468</v>
      </c>
      <c r="N237" s="115">
        <v>0</v>
      </c>
      <c r="O237" s="115">
        <f t="shared" si="11"/>
        <v>300.13</v>
      </c>
    </row>
    <row r="238" spans="1:15" ht="14.25" customHeight="1" x14ac:dyDescent="0.35">
      <c r="A238" s="7">
        <v>202</v>
      </c>
      <c r="B238" s="98">
        <f t="shared" si="0"/>
        <v>324.95</v>
      </c>
      <c r="C238" s="98">
        <f t="shared" si="1"/>
        <v>134.25</v>
      </c>
      <c r="D238" s="98">
        <f t="shared" si="2"/>
        <v>190.7</v>
      </c>
      <c r="E238" s="98">
        <f t="shared" si="3"/>
        <v>45836.599999999962</v>
      </c>
      <c r="F238" s="115">
        <v>0</v>
      </c>
      <c r="G238" s="115">
        <f t="shared" si="5"/>
        <v>324.95</v>
      </c>
      <c r="I238" s="38">
        <v>202</v>
      </c>
      <c r="J238" s="115">
        <f t="shared" si="6"/>
        <v>299.56</v>
      </c>
      <c r="K238" s="115">
        <f t="shared" si="7"/>
        <v>104.25</v>
      </c>
      <c r="L238" s="115">
        <f t="shared" si="8"/>
        <v>195.31</v>
      </c>
      <c r="M238" s="115">
        <f t="shared" si="9"/>
        <v>35547.38000000047</v>
      </c>
      <c r="N238" s="115">
        <v>0</v>
      </c>
      <c r="O238" s="115">
        <f t="shared" si="11"/>
        <v>299.56</v>
      </c>
    </row>
    <row r="239" spans="1:15" ht="14.25" customHeight="1" x14ac:dyDescent="0.35">
      <c r="A239" s="7">
        <v>203</v>
      </c>
      <c r="B239" s="98">
        <f t="shared" si="0"/>
        <v>324.95</v>
      </c>
      <c r="C239" s="98">
        <f t="shared" si="1"/>
        <v>133.69</v>
      </c>
      <c r="D239" s="98">
        <f t="shared" si="2"/>
        <v>191.26</v>
      </c>
      <c r="E239" s="98">
        <f t="shared" si="3"/>
        <v>45645.33999999996</v>
      </c>
      <c r="F239" s="115">
        <v>0</v>
      </c>
      <c r="G239" s="115">
        <f t="shared" si="5"/>
        <v>324.95</v>
      </c>
      <c r="I239" s="38">
        <v>203</v>
      </c>
      <c r="J239" s="115">
        <f t="shared" si="6"/>
        <v>298.99</v>
      </c>
      <c r="K239" s="115">
        <f t="shared" si="7"/>
        <v>103.68</v>
      </c>
      <c r="L239" s="115">
        <f t="shared" si="8"/>
        <v>195.31</v>
      </c>
      <c r="M239" s="115">
        <f t="shared" si="9"/>
        <v>35352.070000000473</v>
      </c>
      <c r="N239" s="115">
        <v>0</v>
      </c>
      <c r="O239" s="115">
        <f t="shared" si="11"/>
        <v>298.99</v>
      </c>
    </row>
    <row r="240" spans="1:15" ht="14.25" customHeight="1" x14ac:dyDescent="0.35">
      <c r="A240" s="7">
        <v>204</v>
      </c>
      <c r="B240" s="98">
        <f t="shared" si="0"/>
        <v>324.95</v>
      </c>
      <c r="C240" s="98">
        <f t="shared" si="1"/>
        <v>133.13</v>
      </c>
      <c r="D240" s="98">
        <f t="shared" si="2"/>
        <v>191.82</v>
      </c>
      <c r="E240" s="98">
        <f t="shared" si="3"/>
        <v>45453.51999999996</v>
      </c>
      <c r="F240" s="115">
        <v>0</v>
      </c>
      <c r="G240" s="115">
        <f t="shared" si="5"/>
        <v>324.95</v>
      </c>
      <c r="I240" s="38">
        <v>204</v>
      </c>
      <c r="J240" s="115">
        <f t="shared" si="6"/>
        <v>298.42</v>
      </c>
      <c r="K240" s="115">
        <f t="shared" si="7"/>
        <v>103.11</v>
      </c>
      <c r="L240" s="115">
        <f t="shared" si="8"/>
        <v>195.31</v>
      </c>
      <c r="M240" s="115">
        <f t="shared" si="9"/>
        <v>35156.760000000475</v>
      </c>
      <c r="N240" s="115">
        <v>0</v>
      </c>
      <c r="O240" s="115">
        <f t="shared" si="11"/>
        <v>298.42</v>
      </c>
    </row>
    <row r="241" spans="1:15" ht="14.25" customHeight="1" x14ac:dyDescent="0.35">
      <c r="A241" s="7">
        <v>205</v>
      </c>
      <c r="B241" s="98">
        <f t="shared" si="0"/>
        <v>324.95</v>
      </c>
      <c r="C241" s="98">
        <f t="shared" si="1"/>
        <v>132.57</v>
      </c>
      <c r="D241" s="98">
        <f t="shared" si="2"/>
        <v>192.38</v>
      </c>
      <c r="E241" s="98">
        <f t="shared" si="3"/>
        <v>45261.139999999963</v>
      </c>
      <c r="F241" s="115">
        <v>0</v>
      </c>
      <c r="G241" s="115">
        <f t="shared" si="5"/>
        <v>324.95</v>
      </c>
      <c r="I241" s="38">
        <v>205</v>
      </c>
      <c r="J241" s="115">
        <f t="shared" si="6"/>
        <v>297.85000000000002</v>
      </c>
      <c r="K241" s="115">
        <f t="shared" si="7"/>
        <v>102.54</v>
      </c>
      <c r="L241" s="115">
        <f t="shared" si="8"/>
        <v>195.31</v>
      </c>
      <c r="M241" s="115">
        <f t="shared" si="9"/>
        <v>34961.450000000477</v>
      </c>
      <c r="N241" s="115">
        <v>0</v>
      </c>
      <c r="O241" s="115">
        <f t="shared" si="11"/>
        <v>297.85000000000002</v>
      </c>
    </row>
    <row r="242" spans="1:15" ht="14.25" customHeight="1" x14ac:dyDescent="0.35">
      <c r="A242" s="7">
        <v>206</v>
      </c>
      <c r="B242" s="98">
        <f t="shared" si="0"/>
        <v>324.95</v>
      </c>
      <c r="C242" s="98">
        <f t="shared" si="1"/>
        <v>132.01</v>
      </c>
      <c r="D242" s="98">
        <f t="shared" si="2"/>
        <v>192.94</v>
      </c>
      <c r="E242" s="98">
        <f t="shared" si="3"/>
        <v>45068.199999999961</v>
      </c>
      <c r="F242" s="115">
        <v>0</v>
      </c>
      <c r="G242" s="115">
        <f t="shared" si="5"/>
        <v>324.95</v>
      </c>
      <c r="I242" s="38">
        <v>206</v>
      </c>
      <c r="J242" s="115">
        <f t="shared" si="6"/>
        <v>297.27999999999997</v>
      </c>
      <c r="K242" s="115">
        <f t="shared" si="7"/>
        <v>101.97</v>
      </c>
      <c r="L242" s="115">
        <f t="shared" si="8"/>
        <v>195.31</v>
      </c>
      <c r="M242" s="115">
        <f t="shared" si="9"/>
        <v>34766.14000000048</v>
      </c>
      <c r="N242" s="115">
        <v>0</v>
      </c>
      <c r="O242" s="115">
        <f t="shared" si="11"/>
        <v>297.27999999999997</v>
      </c>
    </row>
    <row r="243" spans="1:15" ht="14.25" customHeight="1" x14ac:dyDescent="0.35">
      <c r="A243" s="7">
        <v>207</v>
      </c>
      <c r="B243" s="98">
        <f t="shared" si="0"/>
        <v>324.95</v>
      </c>
      <c r="C243" s="98">
        <f t="shared" si="1"/>
        <v>131.44999999999999</v>
      </c>
      <c r="D243" s="98">
        <f t="shared" si="2"/>
        <v>193.5</v>
      </c>
      <c r="E243" s="98">
        <f t="shared" si="3"/>
        <v>44874.699999999961</v>
      </c>
      <c r="F243" s="115">
        <v>0</v>
      </c>
      <c r="G243" s="115">
        <f t="shared" si="5"/>
        <v>324.95</v>
      </c>
      <c r="I243" s="38">
        <v>207</v>
      </c>
      <c r="J243" s="115">
        <f t="shared" si="6"/>
        <v>296.71000000000004</v>
      </c>
      <c r="K243" s="115">
        <f t="shared" si="7"/>
        <v>101.4</v>
      </c>
      <c r="L243" s="115">
        <f t="shared" si="8"/>
        <v>195.31</v>
      </c>
      <c r="M243" s="115">
        <f t="shared" si="9"/>
        <v>34570.830000000482</v>
      </c>
      <c r="N243" s="115">
        <v>0</v>
      </c>
      <c r="O243" s="115">
        <f t="shared" si="11"/>
        <v>296.71000000000004</v>
      </c>
    </row>
    <row r="244" spans="1:15" ht="14.25" customHeight="1" x14ac:dyDescent="0.35">
      <c r="A244" s="7">
        <v>208</v>
      </c>
      <c r="B244" s="98">
        <f t="shared" si="0"/>
        <v>324.95</v>
      </c>
      <c r="C244" s="98">
        <f t="shared" si="1"/>
        <v>130.88</v>
      </c>
      <c r="D244" s="98">
        <f t="shared" si="2"/>
        <v>194.07</v>
      </c>
      <c r="E244" s="98">
        <f t="shared" si="3"/>
        <v>44680.629999999961</v>
      </c>
      <c r="F244" s="115">
        <v>0</v>
      </c>
      <c r="G244" s="115">
        <f t="shared" si="5"/>
        <v>324.95</v>
      </c>
      <c r="I244" s="38">
        <v>208</v>
      </c>
      <c r="J244" s="115">
        <f t="shared" si="6"/>
        <v>296.14</v>
      </c>
      <c r="K244" s="115">
        <f t="shared" si="7"/>
        <v>100.83</v>
      </c>
      <c r="L244" s="115">
        <f t="shared" si="8"/>
        <v>195.31</v>
      </c>
      <c r="M244" s="115">
        <f t="shared" si="9"/>
        <v>34375.520000000484</v>
      </c>
      <c r="N244" s="115">
        <v>0</v>
      </c>
      <c r="O244" s="115">
        <f t="shared" si="11"/>
        <v>296.14</v>
      </c>
    </row>
    <row r="245" spans="1:15" ht="14.25" customHeight="1" x14ac:dyDescent="0.35">
      <c r="A245" s="7">
        <v>209</v>
      </c>
      <c r="B245" s="98">
        <f t="shared" si="0"/>
        <v>324.95</v>
      </c>
      <c r="C245" s="98">
        <f t="shared" si="1"/>
        <v>130.32</v>
      </c>
      <c r="D245" s="98">
        <f t="shared" si="2"/>
        <v>194.63</v>
      </c>
      <c r="E245" s="98">
        <f t="shared" si="3"/>
        <v>44485.999999999964</v>
      </c>
      <c r="F245" s="115">
        <v>0</v>
      </c>
      <c r="G245" s="115">
        <f t="shared" si="5"/>
        <v>324.95</v>
      </c>
      <c r="I245" s="38">
        <v>209</v>
      </c>
      <c r="J245" s="115">
        <f t="shared" si="6"/>
        <v>295.57</v>
      </c>
      <c r="K245" s="115">
        <f t="shared" si="7"/>
        <v>100.26</v>
      </c>
      <c r="L245" s="115">
        <f t="shared" si="8"/>
        <v>195.31</v>
      </c>
      <c r="M245" s="115">
        <f t="shared" si="9"/>
        <v>34180.210000000487</v>
      </c>
      <c r="N245" s="115">
        <v>0</v>
      </c>
      <c r="O245" s="115">
        <f t="shared" si="11"/>
        <v>295.57</v>
      </c>
    </row>
    <row r="246" spans="1:15" ht="14.25" customHeight="1" x14ac:dyDescent="0.35">
      <c r="A246" s="7">
        <v>210</v>
      </c>
      <c r="B246" s="98">
        <f t="shared" si="0"/>
        <v>324.95</v>
      </c>
      <c r="C246" s="98">
        <f t="shared" si="1"/>
        <v>129.75</v>
      </c>
      <c r="D246" s="98">
        <f t="shared" si="2"/>
        <v>195.2</v>
      </c>
      <c r="E246" s="98">
        <f t="shared" si="3"/>
        <v>44290.799999999967</v>
      </c>
      <c r="F246" s="115">
        <v>0</v>
      </c>
      <c r="G246" s="115">
        <f t="shared" si="5"/>
        <v>324.95</v>
      </c>
      <c r="I246" s="38">
        <v>210</v>
      </c>
      <c r="J246" s="115">
        <f t="shared" si="6"/>
        <v>295</v>
      </c>
      <c r="K246" s="115">
        <f t="shared" si="7"/>
        <v>99.69</v>
      </c>
      <c r="L246" s="115">
        <f t="shared" si="8"/>
        <v>195.31</v>
      </c>
      <c r="M246" s="115">
        <f t="shared" si="9"/>
        <v>33984.900000000489</v>
      </c>
      <c r="N246" s="115">
        <v>0</v>
      </c>
      <c r="O246" s="115">
        <f t="shared" si="11"/>
        <v>295</v>
      </c>
    </row>
    <row r="247" spans="1:15" ht="14.25" customHeight="1" x14ac:dyDescent="0.35">
      <c r="A247" s="7">
        <v>211</v>
      </c>
      <c r="B247" s="98">
        <f t="shared" si="0"/>
        <v>324.95</v>
      </c>
      <c r="C247" s="98">
        <f t="shared" si="1"/>
        <v>129.18</v>
      </c>
      <c r="D247" s="98">
        <f t="shared" si="2"/>
        <v>195.76999999999998</v>
      </c>
      <c r="E247" s="98">
        <f t="shared" si="3"/>
        <v>44095.02999999997</v>
      </c>
      <c r="F247" s="115">
        <v>0</v>
      </c>
      <c r="G247" s="115">
        <f t="shared" si="5"/>
        <v>324.95</v>
      </c>
      <c r="I247" s="38">
        <v>211</v>
      </c>
      <c r="J247" s="115">
        <f t="shared" si="6"/>
        <v>294.43</v>
      </c>
      <c r="K247" s="115">
        <f t="shared" si="7"/>
        <v>99.12</v>
      </c>
      <c r="L247" s="115">
        <f t="shared" si="8"/>
        <v>195.31</v>
      </c>
      <c r="M247" s="115">
        <f t="shared" si="9"/>
        <v>33789.590000000491</v>
      </c>
      <c r="N247" s="115">
        <v>0</v>
      </c>
      <c r="O247" s="115">
        <f t="shared" si="11"/>
        <v>294.43</v>
      </c>
    </row>
    <row r="248" spans="1:15" ht="14.25" customHeight="1" x14ac:dyDescent="0.35">
      <c r="A248" s="7">
        <v>212</v>
      </c>
      <c r="B248" s="98">
        <f t="shared" si="0"/>
        <v>324.95</v>
      </c>
      <c r="C248" s="98">
        <f t="shared" si="1"/>
        <v>128.61000000000001</v>
      </c>
      <c r="D248" s="98">
        <f t="shared" si="2"/>
        <v>196.33999999999997</v>
      </c>
      <c r="E248" s="98">
        <f t="shared" si="3"/>
        <v>43898.689999999973</v>
      </c>
      <c r="F248" s="115">
        <v>0</v>
      </c>
      <c r="G248" s="115">
        <f t="shared" si="5"/>
        <v>324.95</v>
      </c>
      <c r="I248" s="38">
        <v>212</v>
      </c>
      <c r="J248" s="115">
        <f t="shared" si="6"/>
        <v>293.86</v>
      </c>
      <c r="K248" s="115">
        <f t="shared" si="7"/>
        <v>98.55</v>
      </c>
      <c r="L248" s="115">
        <f t="shared" si="8"/>
        <v>195.31</v>
      </c>
      <c r="M248" s="115">
        <f t="shared" si="9"/>
        <v>33594.280000000494</v>
      </c>
      <c r="N248" s="115">
        <v>0</v>
      </c>
      <c r="O248" s="115">
        <f t="shared" si="11"/>
        <v>293.86</v>
      </c>
    </row>
    <row r="249" spans="1:15" ht="14.25" customHeight="1" x14ac:dyDescent="0.35">
      <c r="A249" s="7">
        <v>213</v>
      </c>
      <c r="B249" s="98">
        <f t="shared" si="0"/>
        <v>324.95</v>
      </c>
      <c r="C249" s="98">
        <f t="shared" si="1"/>
        <v>128.04</v>
      </c>
      <c r="D249" s="98">
        <f t="shared" si="2"/>
        <v>196.91</v>
      </c>
      <c r="E249" s="98">
        <f t="shared" si="3"/>
        <v>43701.77999999997</v>
      </c>
      <c r="F249" s="115">
        <v>0</v>
      </c>
      <c r="G249" s="115">
        <f t="shared" si="5"/>
        <v>324.95</v>
      </c>
      <c r="I249" s="38">
        <v>213</v>
      </c>
      <c r="J249" s="115">
        <f t="shared" si="6"/>
        <v>293.29000000000002</v>
      </c>
      <c r="K249" s="115">
        <f t="shared" si="7"/>
        <v>97.98</v>
      </c>
      <c r="L249" s="115">
        <f t="shared" si="8"/>
        <v>195.31</v>
      </c>
      <c r="M249" s="115">
        <f t="shared" si="9"/>
        <v>33398.970000000496</v>
      </c>
      <c r="N249" s="115">
        <v>0</v>
      </c>
      <c r="O249" s="115">
        <f t="shared" si="11"/>
        <v>293.29000000000002</v>
      </c>
    </row>
    <row r="250" spans="1:15" ht="14.25" customHeight="1" x14ac:dyDescent="0.35">
      <c r="A250" s="7">
        <v>214</v>
      </c>
      <c r="B250" s="98">
        <f t="shared" si="0"/>
        <v>324.95</v>
      </c>
      <c r="C250" s="98">
        <f t="shared" si="1"/>
        <v>127.46</v>
      </c>
      <c r="D250" s="98">
        <f t="shared" si="2"/>
        <v>197.49</v>
      </c>
      <c r="E250" s="98">
        <f t="shared" si="3"/>
        <v>43504.289999999972</v>
      </c>
      <c r="F250" s="115">
        <v>0</v>
      </c>
      <c r="G250" s="115">
        <f t="shared" si="5"/>
        <v>324.95</v>
      </c>
      <c r="I250" s="38">
        <v>214</v>
      </c>
      <c r="J250" s="115">
        <f t="shared" si="6"/>
        <v>292.72000000000003</v>
      </c>
      <c r="K250" s="115">
        <f t="shared" si="7"/>
        <v>97.41</v>
      </c>
      <c r="L250" s="115">
        <f t="shared" si="8"/>
        <v>195.31</v>
      </c>
      <c r="M250" s="115">
        <f t="shared" si="9"/>
        <v>33203.660000000498</v>
      </c>
      <c r="N250" s="115">
        <v>0</v>
      </c>
      <c r="O250" s="115">
        <f t="shared" si="11"/>
        <v>292.72000000000003</v>
      </c>
    </row>
    <row r="251" spans="1:15" ht="14.25" customHeight="1" x14ac:dyDescent="0.35">
      <c r="A251" s="7">
        <v>215</v>
      </c>
      <c r="B251" s="98">
        <f t="shared" si="0"/>
        <v>324.95</v>
      </c>
      <c r="C251" s="98">
        <f t="shared" si="1"/>
        <v>126.89</v>
      </c>
      <c r="D251" s="98">
        <f t="shared" si="2"/>
        <v>198.06</v>
      </c>
      <c r="E251" s="98">
        <f t="shared" si="3"/>
        <v>43306.229999999974</v>
      </c>
      <c r="F251" s="115">
        <v>0</v>
      </c>
      <c r="G251" s="115">
        <f t="shared" si="5"/>
        <v>324.95</v>
      </c>
      <c r="I251" s="38">
        <v>215</v>
      </c>
      <c r="J251" s="115">
        <f t="shared" si="6"/>
        <v>292.14999999999998</v>
      </c>
      <c r="K251" s="115">
        <f t="shared" si="7"/>
        <v>96.84</v>
      </c>
      <c r="L251" s="115">
        <f t="shared" si="8"/>
        <v>195.31</v>
      </c>
      <c r="M251" s="115">
        <f t="shared" si="9"/>
        <v>33008.350000000501</v>
      </c>
      <c r="N251" s="115">
        <v>0</v>
      </c>
      <c r="O251" s="115">
        <f t="shared" si="11"/>
        <v>292.14999999999998</v>
      </c>
    </row>
    <row r="252" spans="1:15" ht="14.25" customHeight="1" x14ac:dyDescent="0.35">
      <c r="A252" s="7">
        <v>216</v>
      </c>
      <c r="B252" s="98">
        <f t="shared" si="0"/>
        <v>324.95</v>
      </c>
      <c r="C252" s="98">
        <f t="shared" si="1"/>
        <v>126.31</v>
      </c>
      <c r="D252" s="98">
        <f t="shared" si="2"/>
        <v>198.64</v>
      </c>
      <c r="E252" s="98">
        <f t="shared" si="3"/>
        <v>43107.589999999975</v>
      </c>
      <c r="F252" s="115">
        <v>0</v>
      </c>
      <c r="G252" s="115">
        <f t="shared" si="5"/>
        <v>324.95</v>
      </c>
      <c r="I252" s="38">
        <v>216</v>
      </c>
      <c r="J252" s="115">
        <f t="shared" si="6"/>
        <v>291.58</v>
      </c>
      <c r="K252" s="115">
        <f t="shared" si="7"/>
        <v>96.27</v>
      </c>
      <c r="L252" s="115">
        <f t="shared" si="8"/>
        <v>195.31</v>
      </c>
      <c r="M252" s="115">
        <f t="shared" si="9"/>
        <v>32813.040000000503</v>
      </c>
      <c r="N252" s="115">
        <v>0</v>
      </c>
      <c r="O252" s="115">
        <f t="shared" si="11"/>
        <v>291.58</v>
      </c>
    </row>
    <row r="253" spans="1:15" ht="14.25" customHeight="1" x14ac:dyDescent="0.35">
      <c r="A253" s="7">
        <v>217</v>
      </c>
      <c r="B253" s="98">
        <f t="shared" si="0"/>
        <v>324.95</v>
      </c>
      <c r="C253" s="98">
        <f t="shared" si="1"/>
        <v>125.73</v>
      </c>
      <c r="D253" s="98">
        <f t="shared" si="2"/>
        <v>199.21999999999997</v>
      </c>
      <c r="E253" s="98">
        <f t="shared" si="3"/>
        <v>42908.369999999974</v>
      </c>
      <c r="F253" s="115">
        <v>0</v>
      </c>
      <c r="G253" s="115">
        <f t="shared" si="5"/>
        <v>324.95</v>
      </c>
      <c r="I253" s="38">
        <v>217</v>
      </c>
      <c r="J253" s="115">
        <f t="shared" si="6"/>
        <v>291.01</v>
      </c>
      <c r="K253" s="115">
        <f t="shared" si="7"/>
        <v>95.7</v>
      </c>
      <c r="L253" s="115">
        <f t="shared" si="8"/>
        <v>195.31</v>
      </c>
      <c r="M253" s="115">
        <f t="shared" si="9"/>
        <v>32617.730000000502</v>
      </c>
      <c r="N253" s="115">
        <v>0</v>
      </c>
      <c r="O253" s="115">
        <f t="shared" si="11"/>
        <v>291.01</v>
      </c>
    </row>
    <row r="254" spans="1:15" ht="14.25" customHeight="1" x14ac:dyDescent="0.35">
      <c r="A254" s="7">
        <v>218</v>
      </c>
      <c r="B254" s="98">
        <f t="shared" si="0"/>
        <v>324.95</v>
      </c>
      <c r="C254" s="98">
        <f t="shared" si="1"/>
        <v>125.15</v>
      </c>
      <c r="D254" s="98">
        <f t="shared" si="2"/>
        <v>199.79999999999998</v>
      </c>
      <c r="E254" s="98">
        <f t="shared" si="3"/>
        <v>42708.569999999971</v>
      </c>
      <c r="F254" s="115">
        <v>0</v>
      </c>
      <c r="G254" s="115">
        <f t="shared" si="5"/>
        <v>324.95</v>
      </c>
      <c r="I254" s="38">
        <v>218</v>
      </c>
      <c r="J254" s="115">
        <f t="shared" si="6"/>
        <v>290.45</v>
      </c>
      <c r="K254" s="115">
        <f t="shared" si="7"/>
        <v>95.14</v>
      </c>
      <c r="L254" s="115">
        <f t="shared" si="8"/>
        <v>195.31</v>
      </c>
      <c r="M254" s="115">
        <f t="shared" si="9"/>
        <v>32422.4200000005</v>
      </c>
      <c r="N254" s="115">
        <v>0</v>
      </c>
      <c r="O254" s="115">
        <f t="shared" si="11"/>
        <v>290.45</v>
      </c>
    </row>
    <row r="255" spans="1:15" ht="14.25" customHeight="1" x14ac:dyDescent="0.35">
      <c r="A255" s="7">
        <v>219</v>
      </c>
      <c r="B255" s="98">
        <f t="shared" si="0"/>
        <v>324.95</v>
      </c>
      <c r="C255" s="98">
        <f t="shared" si="1"/>
        <v>124.57</v>
      </c>
      <c r="D255" s="98">
        <f t="shared" si="2"/>
        <v>200.38</v>
      </c>
      <c r="E255" s="98">
        <f t="shared" si="3"/>
        <v>42508.189999999973</v>
      </c>
      <c r="F255" s="115">
        <v>0</v>
      </c>
      <c r="G255" s="115">
        <f t="shared" si="5"/>
        <v>324.95</v>
      </c>
      <c r="I255" s="38">
        <v>219</v>
      </c>
      <c r="J255" s="115">
        <f t="shared" si="6"/>
        <v>289.88</v>
      </c>
      <c r="K255" s="115">
        <f t="shared" si="7"/>
        <v>94.57</v>
      </c>
      <c r="L255" s="115">
        <f t="shared" si="8"/>
        <v>195.31</v>
      </c>
      <c r="M255" s="115">
        <f t="shared" si="9"/>
        <v>32227.110000000499</v>
      </c>
      <c r="N255" s="115">
        <v>0</v>
      </c>
      <c r="O255" s="115">
        <f t="shared" si="11"/>
        <v>289.88</v>
      </c>
    </row>
    <row r="256" spans="1:15" ht="14.25" customHeight="1" x14ac:dyDescent="0.35">
      <c r="A256" s="7">
        <v>220</v>
      </c>
      <c r="B256" s="98">
        <f t="shared" si="0"/>
        <v>324.95</v>
      </c>
      <c r="C256" s="98">
        <f t="shared" si="1"/>
        <v>123.98</v>
      </c>
      <c r="D256" s="98">
        <f t="shared" si="2"/>
        <v>200.96999999999997</v>
      </c>
      <c r="E256" s="98">
        <f t="shared" si="3"/>
        <v>42307.219999999972</v>
      </c>
      <c r="F256" s="115">
        <v>0</v>
      </c>
      <c r="G256" s="115">
        <f t="shared" si="5"/>
        <v>324.95</v>
      </c>
      <c r="I256" s="38">
        <v>220</v>
      </c>
      <c r="J256" s="115">
        <f t="shared" si="6"/>
        <v>289.31</v>
      </c>
      <c r="K256" s="115">
        <f t="shared" si="7"/>
        <v>94</v>
      </c>
      <c r="L256" s="115">
        <f t="shared" si="8"/>
        <v>195.31</v>
      </c>
      <c r="M256" s="115">
        <f t="shared" si="9"/>
        <v>32031.800000000498</v>
      </c>
      <c r="N256" s="115">
        <v>0</v>
      </c>
      <c r="O256" s="115">
        <f t="shared" si="11"/>
        <v>289.31</v>
      </c>
    </row>
    <row r="257" spans="1:15" ht="14.25" customHeight="1" x14ac:dyDescent="0.35">
      <c r="A257" s="7">
        <v>221</v>
      </c>
      <c r="B257" s="98">
        <f t="shared" si="0"/>
        <v>324.95</v>
      </c>
      <c r="C257" s="98">
        <f t="shared" si="1"/>
        <v>123.4</v>
      </c>
      <c r="D257" s="98">
        <f t="shared" si="2"/>
        <v>201.54999999999998</v>
      </c>
      <c r="E257" s="98">
        <f t="shared" si="3"/>
        <v>42105.669999999969</v>
      </c>
      <c r="F257" s="115">
        <v>0</v>
      </c>
      <c r="G257" s="115">
        <f t="shared" si="5"/>
        <v>324.95</v>
      </c>
      <c r="I257" s="38">
        <v>221</v>
      </c>
      <c r="J257" s="115">
        <f t="shared" si="6"/>
        <v>288.74</v>
      </c>
      <c r="K257" s="115">
        <f t="shared" si="7"/>
        <v>93.43</v>
      </c>
      <c r="L257" s="115">
        <f t="shared" si="8"/>
        <v>195.31</v>
      </c>
      <c r="M257" s="115">
        <f t="shared" si="9"/>
        <v>31836.490000000496</v>
      </c>
      <c r="N257" s="115">
        <v>0</v>
      </c>
      <c r="O257" s="115">
        <f t="shared" si="11"/>
        <v>288.74</v>
      </c>
    </row>
    <row r="258" spans="1:15" ht="14.25" customHeight="1" x14ac:dyDescent="0.35">
      <c r="A258" s="7">
        <v>222</v>
      </c>
      <c r="B258" s="98">
        <f t="shared" si="0"/>
        <v>324.95</v>
      </c>
      <c r="C258" s="98">
        <f t="shared" si="1"/>
        <v>122.81</v>
      </c>
      <c r="D258" s="98">
        <f t="shared" si="2"/>
        <v>202.14</v>
      </c>
      <c r="E258" s="98">
        <f t="shared" si="3"/>
        <v>41903.52999999997</v>
      </c>
      <c r="F258" s="115">
        <v>0</v>
      </c>
      <c r="G258" s="115">
        <f t="shared" si="5"/>
        <v>324.95</v>
      </c>
      <c r="I258" s="38">
        <v>222</v>
      </c>
      <c r="J258" s="115">
        <f t="shared" si="6"/>
        <v>288.17</v>
      </c>
      <c r="K258" s="115">
        <f t="shared" si="7"/>
        <v>92.86</v>
      </c>
      <c r="L258" s="115">
        <f t="shared" si="8"/>
        <v>195.31</v>
      </c>
      <c r="M258" s="115">
        <f t="shared" si="9"/>
        <v>31641.180000000495</v>
      </c>
      <c r="N258" s="115">
        <v>0</v>
      </c>
      <c r="O258" s="115">
        <f t="shared" si="11"/>
        <v>288.17</v>
      </c>
    </row>
    <row r="259" spans="1:15" ht="14.25" customHeight="1" x14ac:dyDescent="0.35">
      <c r="A259" s="7">
        <v>223</v>
      </c>
      <c r="B259" s="98">
        <f t="shared" si="0"/>
        <v>324.95</v>
      </c>
      <c r="C259" s="98">
        <f t="shared" si="1"/>
        <v>122.22</v>
      </c>
      <c r="D259" s="98">
        <f t="shared" si="2"/>
        <v>202.73</v>
      </c>
      <c r="E259" s="98">
        <f t="shared" si="3"/>
        <v>41700.799999999967</v>
      </c>
      <c r="F259" s="115">
        <v>0</v>
      </c>
      <c r="G259" s="115">
        <f t="shared" si="5"/>
        <v>324.95</v>
      </c>
      <c r="I259" s="38">
        <v>223</v>
      </c>
      <c r="J259" s="115">
        <f t="shared" si="6"/>
        <v>287.60000000000002</v>
      </c>
      <c r="K259" s="115">
        <f t="shared" si="7"/>
        <v>92.29</v>
      </c>
      <c r="L259" s="115">
        <f t="shared" si="8"/>
        <v>195.31</v>
      </c>
      <c r="M259" s="115">
        <f t="shared" si="9"/>
        <v>31445.870000000494</v>
      </c>
      <c r="N259" s="115">
        <v>0</v>
      </c>
      <c r="O259" s="115">
        <f t="shared" si="11"/>
        <v>287.60000000000002</v>
      </c>
    </row>
    <row r="260" spans="1:15" ht="14.25" customHeight="1" x14ac:dyDescent="0.35">
      <c r="A260" s="7">
        <v>224</v>
      </c>
      <c r="B260" s="98">
        <f t="shared" si="0"/>
        <v>324.95</v>
      </c>
      <c r="C260" s="98">
        <f t="shared" si="1"/>
        <v>121.63</v>
      </c>
      <c r="D260" s="98">
        <f t="shared" si="2"/>
        <v>203.32</v>
      </c>
      <c r="E260" s="98">
        <f t="shared" si="3"/>
        <v>41497.479999999967</v>
      </c>
      <c r="F260" s="115">
        <v>0</v>
      </c>
      <c r="G260" s="115">
        <f t="shared" si="5"/>
        <v>324.95</v>
      </c>
      <c r="I260" s="38">
        <v>224</v>
      </c>
      <c r="J260" s="115">
        <f t="shared" si="6"/>
        <v>287.02999999999997</v>
      </c>
      <c r="K260" s="115">
        <f t="shared" si="7"/>
        <v>91.72</v>
      </c>
      <c r="L260" s="115">
        <f t="shared" si="8"/>
        <v>195.31</v>
      </c>
      <c r="M260" s="115">
        <f t="shared" si="9"/>
        <v>31250.560000000492</v>
      </c>
      <c r="N260" s="115">
        <v>0</v>
      </c>
      <c r="O260" s="115">
        <f t="shared" si="11"/>
        <v>287.02999999999997</v>
      </c>
    </row>
    <row r="261" spans="1:15" ht="14.25" customHeight="1" x14ac:dyDescent="0.35">
      <c r="A261" s="7">
        <v>225</v>
      </c>
      <c r="B261" s="98">
        <f t="shared" si="0"/>
        <v>324.95</v>
      </c>
      <c r="C261" s="98">
        <f t="shared" si="1"/>
        <v>121.03</v>
      </c>
      <c r="D261" s="98">
        <f t="shared" si="2"/>
        <v>203.92</v>
      </c>
      <c r="E261" s="98">
        <f t="shared" si="3"/>
        <v>41293.559999999969</v>
      </c>
      <c r="F261" s="115">
        <v>0</v>
      </c>
      <c r="G261" s="115">
        <f t="shared" si="5"/>
        <v>324.95</v>
      </c>
      <c r="I261" s="38">
        <v>225</v>
      </c>
      <c r="J261" s="115">
        <f t="shared" si="6"/>
        <v>286.46000000000004</v>
      </c>
      <c r="K261" s="115">
        <f t="shared" si="7"/>
        <v>91.15</v>
      </c>
      <c r="L261" s="115">
        <f t="shared" si="8"/>
        <v>195.31</v>
      </c>
      <c r="M261" s="115">
        <f t="shared" si="9"/>
        <v>31055.250000000491</v>
      </c>
      <c r="N261" s="115">
        <v>0</v>
      </c>
      <c r="O261" s="115">
        <f t="shared" si="11"/>
        <v>286.46000000000004</v>
      </c>
    </row>
    <row r="262" spans="1:15" ht="14.25" customHeight="1" x14ac:dyDescent="0.35">
      <c r="A262" s="7">
        <v>226</v>
      </c>
      <c r="B262" s="98">
        <f t="shared" si="0"/>
        <v>324.95</v>
      </c>
      <c r="C262" s="98">
        <f t="shared" si="1"/>
        <v>120.44</v>
      </c>
      <c r="D262" s="98">
        <f t="shared" si="2"/>
        <v>204.51</v>
      </c>
      <c r="E262" s="98">
        <f t="shared" si="3"/>
        <v>41089.049999999967</v>
      </c>
      <c r="F262" s="115">
        <v>0</v>
      </c>
      <c r="G262" s="115">
        <f t="shared" si="5"/>
        <v>324.95</v>
      </c>
      <c r="I262" s="38">
        <v>226</v>
      </c>
      <c r="J262" s="115">
        <f t="shared" si="6"/>
        <v>285.89</v>
      </c>
      <c r="K262" s="115">
        <f t="shared" si="7"/>
        <v>90.58</v>
      </c>
      <c r="L262" s="115">
        <f t="shared" si="8"/>
        <v>195.31</v>
      </c>
      <c r="M262" s="115">
        <f t="shared" si="9"/>
        <v>30859.94000000049</v>
      </c>
      <c r="N262" s="115">
        <v>0</v>
      </c>
      <c r="O262" s="115">
        <f t="shared" si="11"/>
        <v>285.89</v>
      </c>
    </row>
    <row r="263" spans="1:15" ht="14.25" customHeight="1" x14ac:dyDescent="0.35">
      <c r="A263" s="7">
        <v>227</v>
      </c>
      <c r="B263" s="98">
        <f t="shared" si="0"/>
        <v>324.95</v>
      </c>
      <c r="C263" s="98">
        <f t="shared" si="1"/>
        <v>119.84</v>
      </c>
      <c r="D263" s="98">
        <f t="shared" si="2"/>
        <v>205.10999999999999</v>
      </c>
      <c r="E263" s="98">
        <f t="shared" si="3"/>
        <v>40883.939999999966</v>
      </c>
      <c r="F263" s="115">
        <v>0</v>
      </c>
      <c r="G263" s="115">
        <f t="shared" si="5"/>
        <v>324.95</v>
      </c>
      <c r="I263" s="38">
        <v>227</v>
      </c>
      <c r="J263" s="115">
        <f t="shared" si="6"/>
        <v>285.32</v>
      </c>
      <c r="K263" s="115">
        <f t="shared" si="7"/>
        <v>90.01</v>
      </c>
      <c r="L263" s="115">
        <f t="shared" si="8"/>
        <v>195.31</v>
      </c>
      <c r="M263" s="115">
        <f t="shared" si="9"/>
        <v>30664.630000000489</v>
      </c>
      <c r="N263" s="115">
        <v>0</v>
      </c>
      <c r="O263" s="115">
        <f t="shared" si="11"/>
        <v>285.32</v>
      </c>
    </row>
    <row r="264" spans="1:15" ht="14.25" customHeight="1" x14ac:dyDescent="0.35">
      <c r="A264" s="7">
        <v>228</v>
      </c>
      <c r="B264" s="98">
        <f t="shared" si="0"/>
        <v>324.95</v>
      </c>
      <c r="C264" s="98">
        <f t="shared" si="1"/>
        <v>119.24</v>
      </c>
      <c r="D264" s="98">
        <f t="shared" si="2"/>
        <v>205.70999999999998</v>
      </c>
      <c r="E264" s="98">
        <f t="shared" si="3"/>
        <v>40678.229999999967</v>
      </c>
      <c r="F264" s="115">
        <v>0</v>
      </c>
      <c r="G264" s="115">
        <f t="shared" si="5"/>
        <v>324.95</v>
      </c>
      <c r="I264" s="38">
        <v>228</v>
      </c>
      <c r="J264" s="115">
        <f t="shared" si="6"/>
        <v>284.75</v>
      </c>
      <c r="K264" s="115">
        <f t="shared" si="7"/>
        <v>89.44</v>
      </c>
      <c r="L264" s="115">
        <f t="shared" si="8"/>
        <v>195.31</v>
      </c>
      <c r="M264" s="115">
        <f t="shared" si="9"/>
        <v>30469.320000000487</v>
      </c>
      <c r="N264" s="115">
        <v>0</v>
      </c>
      <c r="O264" s="115">
        <f t="shared" si="11"/>
        <v>284.75</v>
      </c>
    </row>
    <row r="265" spans="1:15" ht="14.25" customHeight="1" x14ac:dyDescent="0.35">
      <c r="A265" s="7">
        <v>229</v>
      </c>
      <c r="B265" s="98">
        <f t="shared" si="0"/>
        <v>324.95</v>
      </c>
      <c r="C265" s="98">
        <f t="shared" si="1"/>
        <v>118.64</v>
      </c>
      <c r="D265" s="98">
        <f t="shared" si="2"/>
        <v>206.31</v>
      </c>
      <c r="E265" s="98">
        <f t="shared" si="3"/>
        <v>40471.919999999969</v>
      </c>
      <c r="F265" s="115">
        <v>0</v>
      </c>
      <c r="G265" s="115">
        <f t="shared" si="5"/>
        <v>324.95</v>
      </c>
      <c r="I265" s="38">
        <v>229</v>
      </c>
      <c r="J265" s="115">
        <f t="shared" si="6"/>
        <v>284.18</v>
      </c>
      <c r="K265" s="115">
        <f t="shared" si="7"/>
        <v>88.87</v>
      </c>
      <c r="L265" s="115">
        <f t="shared" si="8"/>
        <v>195.31</v>
      </c>
      <c r="M265" s="115">
        <f t="shared" si="9"/>
        <v>30274.010000000486</v>
      </c>
      <c r="N265" s="115">
        <v>0</v>
      </c>
      <c r="O265" s="115">
        <f t="shared" si="11"/>
        <v>284.18</v>
      </c>
    </row>
    <row r="266" spans="1:15" ht="14.25" customHeight="1" x14ac:dyDescent="0.35">
      <c r="A266" s="7">
        <v>230</v>
      </c>
      <c r="B266" s="98">
        <f t="shared" si="0"/>
        <v>324.95</v>
      </c>
      <c r="C266" s="98">
        <f t="shared" si="1"/>
        <v>118.04</v>
      </c>
      <c r="D266" s="98">
        <f t="shared" si="2"/>
        <v>206.90999999999997</v>
      </c>
      <c r="E266" s="98">
        <f t="shared" si="3"/>
        <v>40265.009999999966</v>
      </c>
      <c r="F266" s="115">
        <v>0</v>
      </c>
      <c r="G266" s="115">
        <f t="shared" si="5"/>
        <v>324.95</v>
      </c>
      <c r="I266" s="38">
        <v>230</v>
      </c>
      <c r="J266" s="115">
        <f t="shared" si="6"/>
        <v>283.61</v>
      </c>
      <c r="K266" s="115">
        <f t="shared" si="7"/>
        <v>88.3</v>
      </c>
      <c r="L266" s="115">
        <f t="shared" si="8"/>
        <v>195.31</v>
      </c>
      <c r="M266" s="115">
        <f t="shared" si="9"/>
        <v>30078.700000000485</v>
      </c>
      <c r="N266" s="115">
        <v>0</v>
      </c>
      <c r="O266" s="115">
        <f t="shared" si="11"/>
        <v>283.61</v>
      </c>
    </row>
    <row r="267" spans="1:15" ht="14.25" customHeight="1" x14ac:dyDescent="0.35">
      <c r="A267" s="7">
        <v>231</v>
      </c>
      <c r="B267" s="98">
        <f t="shared" si="0"/>
        <v>324.95</v>
      </c>
      <c r="C267" s="98">
        <f t="shared" si="1"/>
        <v>117.44</v>
      </c>
      <c r="D267" s="98">
        <f t="shared" si="2"/>
        <v>207.51</v>
      </c>
      <c r="E267" s="98">
        <f t="shared" si="3"/>
        <v>40057.499999999964</v>
      </c>
      <c r="F267" s="115">
        <v>0</v>
      </c>
      <c r="G267" s="115">
        <f t="shared" si="5"/>
        <v>324.95</v>
      </c>
      <c r="I267" s="38">
        <v>231</v>
      </c>
      <c r="J267" s="115">
        <f t="shared" si="6"/>
        <v>283.04000000000002</v>
      </c>
      <c r="K267" s="115">
        <f t="shared" si="7"/>
        <v>87.73</v>
      </c>
      <c r="L267" s="115">
        <f t="shared" si="8"/>
        <v>195.31</v>
      </c>
      <c r="M267" s="115">
        <f t="shared" si="9"/>
        <v>29883.390000000483</v>
      </c>
      <c r="N267" s="115">
        <v>0</v>
      </c>
      <c r="O267" s="115">
        <f t="shared" si="11"/>
        <v>283.04000000000002</v>
      </c>
    </row>
    <row r="268" spans="1:15" ht="14.25" customHeight="1" x14ac:dyDescent="0.35">
      <c r="A268" s="7">
        <v>232</v>
      </c>
      <c r="B268" s="98">
        <f t="shared" si="0"/>
        <v>324.95</v>
      </c>
      <c r="C268" s="98">
        <f t="shared" si="1"/>
        <v>116.83</v>
      </c>
      <c r="D268" s="98">
        <f t="shared" si="2"/>
        <v>208.12</v>
      </c>
      <c r="E268" s="98">
        <f t="shared" si="3"/>
        <v>39849.379999999961</v>
      </c>
      <c r="F268" s="115">
        <v>0</v>
      </c>
      <c r="G268" s="115">
        <f t="shared" si="5"/>
        <v>324.95</v>
      </c>
      <c r="I268" s="38">
        <v>232</v>
      </c>
      <c r="J268" s="115">
        <f t="shared" si="6"/>
        <v>282.47000000000003</v>
      </c>
      <c r="K268" s="115">
        <f t="shared" si="7"/>
        <v>87.16</v>
      </c>
      <c r="L268" s="115">
        <f t="shared" si="8"/>
        <v>195.31</v>
      </c>
      <c r="M268" s="115">
        <f t="shared" si="9"/>
        <v>29688.080000000482</v>
      </c>
      <c r="N268" s="115">
        <v>0</v>
      </c>
      <c r="O268" s="115">
        <f t="shared" si="11"/>
        <v>282.47000000000003</v>
      </c>
    </row>
    <row r="269" spans="1:15" ht="14.25" customHeight="1" x14ac:dyDescent="0.35">
      <c r="A269" s="7">
        <v>233</v>
      </c>
      <c r="B269" s="98">
        <f t="shared" si="0"/>
        <v>324.95</v>
      </c>
      <c r="C269" s="98">
        <f t="shared" si="1"/>
        <v>116.23</v>
      </c>
      <c r="D269" s="98">
        <f t="shared" si="2"/>
        <v>208.71999999999997</v>
      </c>
      <c r="E269" s="98">
        <f t="shared" si="3"/>
        <v>39640.65999999996</v>
      </c>
      <c r="F269" s="115">
        <v>0</v>
      </c>
      <c r="G269" s="115">
        <f t="shared" si="5"/>
        <v>324.95</v>
      </c>
      <c r="I269" s="38">
        <v>233</v>
      </c>
      <c r="J269" s="115">
        <f t="shared" si="6"/>
        <v>281.89999999999998</v>
      </c>
      <c r="K269" s="115">
        <f t="shared" si="7"/>
        <v>86.59</v>
      </c>
      <c r="L269" s="115">
        <f t="shared" si="8"/>
        <v>195.31</v>
      </c>
      <c r="M269" s="115">
        <f t="shared" si="9"/>
        <v>29492.770000000481</v>
      </c>
      <c r="N269" s="115">
        <v>0</v>
      </c>
      <c r="O269" s="115">
        <f t="shared" si="11"/>
        <v>281.89999999999998</v>
      </c>
    </row>
    <row r="270" spans="1:15" ht="14.25" customHeight="1" x14ac:dyDescent="0.35">
      <c r="A270" s="7">
        <v>234</v>
      </c>
      <c r="B270" s="98">
        <f t="shared" si="0"/>
        <v>324.95</v>
      </c>
      <c r="C270" s="98">
        <f t="shared" si="1"/>
        <v>115.62</v>
      </c>
      <c r="D270" s="98">
        <f t="shared" si="2"/>
        <v>209.32999999999998</v>
      </c>
      <c r="E270" s="98">
        <f t="shared" si="3"/>
        <v>39431.329999999958</v>
      </c>
      <c r="F270" s="115">
        <v>0</v>
      </c>
      <c r="G270" s="115">
        <f t="shared" si="5"/>
        <v>324.95</v>
      </c>
      <c r="I270" s="38">
        <v>234</v>
      </c>
      <c r="J270" s="115">
        <f t="shared" si="6"/>
        <v>281.33</v>
      </c>
      <c r="K270" s="115">
        <f t="shared" si="7"/>
        <v>86.02</v>
      </c>
      <c r="L270" s="115">
        <f t="shared" si="8"/>
        <v>195.31</v>
      </c>
      <c r="M270" s="115">
        <f t="shared" si="9"/>
        <v>29297.460000000479</v>
      </c>
      <c r="N270" s="115">
        <v>0</v>
      </c>
      <c r="O270" s="115">
        <f t="shared" si="11"/>
        <v>281.33</v>
      </c>
    </row>
    <row r="271" spans="1:15" ht="14.25" customHeight="1" x14ac:dyDescent="0.35">
      <c r="A271" s="7">
        <v>235</v>
      </c>
      <c r="B271" s="98">
        <f t="shared" si="0"/>
        <v>324.95</v>
      </c>
      <c r="C271" s="98">
        <f t="shared" si="1"/>
        <v>115.01</v>
      </c>
      <c r="D271" s="98">
        <f t="shared" si="2"/>
        <v>209.94</v>
      </c>
      <c r="E271" s="98">
        <f t="shared" si="3"/>
        <v>39221.389999999956</v>
      </c>
      <c r="F271" s="115">
        <v>0</v>
      </c>
      <c r="G271" s="115">
        <f t="shared" si="5"/>
        <v>324.95</v>
      </c>
      <c r="I271" s="38">
        <v>235</v>
      </c>
      <c r="J271" s="115">
        <f t="shared" si="6"/>
        <v>280.76</v>
      </c>
      <c r="K271" s="115">
        <f t="shared" si="7"/>
        <v>85.45</v>
      </c>
      <c r="L271" s="115">
        <f t="shared" si="8"/>
        <v>195.31</v>
      </c>
      <c r="M271" s="115">
        <f t="shared" si="9"/>
        <v>29102.150000000478</v>
      </c>
      <c r="N271" s="115">
        <v>0</v>
      </c>
      <c r="O271" s="115">
        <f t="shared" si="11"/>
        <v>280.76</v>
      </c>
    </row>
    <row r="272" spans="1:15" ht="14.25" customHeight="1" x14ac:dyDescent="0.35">
      <c r="A272" s="7">
        <v>236</v>
      </c>
      <c r="B272" s="98">
        <f t="shared" si="0"/>
        <v>324.95</v>
      </c>
      <c r="C272" s="98">
        <f t="shared" si="1"/>
        <v>114.4</v>
      </c>
      <c r="D272" s="98">
        <f t="shared" si="2"/>
        <v>210.54999999999998</v>
      </c>
      <c r="E272" s="98">
        <f t="shared" si="3"/>
        <v>39010.839999999953</v>
      </c>
      <c r="F272" s="115">
        <v>0</v>
      </c>
      <c r="G272" s="115">
        <f t="shared" si="5"/>
        <v>324.95</v>
      </c>
      <c r="I272" s="38">
        <v>236</v>
      </c>
      <c r="J272" s="115">
        <f t="shared" si="6"/>
        <v>280.19</v>
      </c>
      <c r="K272" s="115">
        <f t="shared" si="7"/>
        <v>84.88</v>
      </c>
      <c r="L272" s="115">
        <f t="shared" si="8"/>
        <v>195.31</v>
      </c>
      <c r="M272" s="115">
        <f t="shared" si="9"/>
        <v>28906.840000000477</v>
      </c>
      <c r="N272" s="115">
        <v>0</v>
      </c>
      <c r="O272" s="115">
        <f t="shared" si="11"/>
        <v>280.19</v>
      </c>
    </row>
    <row r="273" spans="1:15" ht="14.25" customHeight="1" x14ac:dyDescent="0.35">
      <c r="A273" s="7">
        <v>237</v>
      </c>
      <c r="B273" s="98">
        <f t="shared" si="0"/>
        <v>324.95</v>
      </c>
      <c r="C273" s="98">
        <f t="shared" si="1"/>
        <v>113.78</v>
      </c>
      <c r="D273" s="98">
        <f t="shared" si="2"/>
        <v>211.17</v>
      </c>
      <c r="E273" s="98">
        <f t="shared" si="3"/>
        <v>38799.669999999955</v>
      </c>
      <c r="F273" s="115">
        <v>0</v>
      </c>
      <c r="G273" s="115">
        <f t="shared" si="5"/>
        <v>324.95</v>
      </c>
      <c r="I273" s="38">
        <v>237</v>
      </c>
      <c r="J273" s="115">
        <f t="shared" si="6"/>
        <v>279.62</v>
      </c>
      <c r="K273" s="115">
        <f t="shared" si="7"/>
        <v>84.31</v>
      </c>
      <c r="L273" s="115">
        <f t="shared" si="8"/>
        <v>195.31</v>
      </c>
      <c r="M273" s="115">
        <f t="shared" si="9"/>
        <v>28711.530000000475</v>
      </c>
      <c r="N273" s="115">
        <v>0</v>
      </c>
      <c r="O273" s="115">
        <f t="shared" si="11"/>
        <v>279.62</v>
      </c>
    </row>
    <row r="274" spans="1:15" ht="14.25" customHeight="1" x14ac:dyDescent="0.35">
      <c r="A274" s="7">
        <v>238</v>
      </c>
      <c r="B274" s="98">
        <f t="shared" si="0"/>
        <v>324.95</v>
      </c>
      <c r="C274" s="98">
        <f t="shared" si="1"/>
        <v>113.17</v>
      </c>
      <c r="D274" s="98">
        <f t="shared" si="2"/>
        <v>211.77999999999997</v>
      </c>
      <c r="E274" s="98">
        <f t="shared" si="3"/>
        <v>38587.889999999956</v>
      </c>
      <c r="F274" s="115">
        <v>0</v>
      </c>
      <c r="G274" s="115">
        <f t="shared" si="5"/>
        <v>324.95</v>
      </c>
      <c r="I274" s="38">
        <v>238</v>
      </c>
      <c r="J274" s="115">
        <f t="shared" si="6"/>
        <v>279.05</v>
      </c>
      <c r="K274" s="115">
        <f t="shared" si="7"/>
        <v>83.74</v>
      </c>
      <c r="L274" s="115">
        <f t="shared" si="8"/>
        <v>195.31</v>
      </c>
      <c r="M274" s="115">
        <f t="shared" si="9"/>
        <v>28516.220000000474</v>
      </c>
      <c r="N274" s="115">
        <v>0</v>
      </c>
      <c r="O274" s="115">
        <f t="shared" si="11"/>
        <v>279.05</v>
      </c>
    </row>
    <row r="275" spans="1:15" ht="14.25" customHeight="1" x14ac:dyDescent="0.35">
      <c r="A275" s="7">
        <v>239</v>
      </c>
      <c r="B275" s="98">
        <f t="shared" si="0"/>
        <v>324.95</v>
      </c>
      <c r="C275" s="98">
        <f t="shared" si="1"/>
        <v>112.55</v>
      </c>
      <c r="D275" s="98">
        <f t="shared" si="2"/>
        <v>212.39999999999998</v>
      </c>
      <c r="E275" s="98">
        <f t="shared" si="3"/>
        <v>38375.489999999954</v>
      </c>
      <c r="F275" s="115">
        <v>0</v>
      </c>
      <c r="G275" s="115">
        <f t="shared" si="5"/>
        <v>324.95</v>
      </c>
      <c r="I275" s="38">
        <v>239</v>
      </c>
      <c r="J275" s="115">
        <f t="shared" si="6"/>
        <v>278.48</v>
      </c>
      <c r="K275" s="115">
        <f t="shared" si="7"/>
        <v>83.17</v>
      </c>
      <c r="L275" s="115">
        <f t="shared" si="8"/>
        <v>195.31</v>
      </c>
      <c r="M275" s="115">
        <f t="shared" si="9"/>
        <v>28320.910000000473</v>
      </c>
      <c r="N275" s="115">
        <v>0</v>
      </c>
      <c r="O275" s="115">
        <f t="shared" si="11"/>
        <v>278.48</v>
      </c>
    </row>
    <row r="276" spans="1:15" ht="14.25" customHeight="1" x14ac:dyDescent="0.35">
      <c r="A276" s="7">
        <v>240</v>
      </c>
      <c r="B276" s="98">
        <f t="shared" si="0"/>
        <v>324.95</v>
      </c>
      <c r="C276" s="98">
        <f t="shared" si="1"/>
        <v>111.93</v>
      </c>
      <c r="D276" s="98">
        <f t="shared" si="2"/>
        <v>213.01999999999998</v>
      </c>
      <c r="E276" s="98">
        <f t="shared" si="3"/>
        <v>38162.469999999958</v>
      </c>
      <c r="F276" s="115">
        <v>0</v>
      </c>
      <c r="G276" s="115">
        <f t="shared" si="5"/>
        <v>324.95</v>
      </c>
      <c r="I276" s="38">
        <v>240</v>
      </c>
      <c r="J276" s="115">
        <f t="shared" si="6"/>
        <v>277.90999999999997</v>
      </c>
      <c r="K276" s="115">
        <f t="shared" si="7"/>
        <v>82.6</v>
      </c>
      <c r="L276" s="115">
        <f t="shared" si="8"/>
        <v>195.31</v>
      </c>
      <c r="M276" s="115">
        <f t="shared" si="9"/>
        <v>28125.600000000471</v>
      </c>
      <c r="N276" s="115">
        <v>0</v>
      </c>
      <c r="O276" s="115">
        <f t="shared" si="11"/>
        <v>277.90999999999997</v>
      </c>
    </row>
    <row r="277" spans="1:15" ht="14.25" customHeight="1" x14ac:dyDescent="0.35">
      <c r="A277" s="7">
        <v>241</v>
      </c>
      <c r="B277" s="98">
        <f t="shared" si="0"/>
        <v>324.95</v>
      </c>
      <c r="C277" s="98">
        <f t="shared" si="1"/>
        <v>111.31</v>
      </c>
      <c r="D277" s="98">
        <f t="shared" si="2"/>
        <v>213.64</v>
      </c>
      <c r="E277" s="98">
        <f t="shared" si="3"/>
        <v>37948.829999999958</v>
      </c>
      <c r="F277" s="115">
        <v>0</v>
      </c>
      <c r="G277" s="115">
        <f t="shared" si="5"/>
        <v>324.95</v>
      </c>
      <c r="I277" s="38">
        <v>241</v>
      </c>
      <c r="J277" s="115">
        <f t="shared" si="6"/>
        <v>277.34000000000003</v>
      </c>
      <c r="K277" s="115">
        <f t="shared" si="7"/>
        <v>82.03</v>
      </c>
      <c r="L277" s="115">
        <f t="shared" si="8"/>
        <v>195.31</v>
      </c>
      <c r="M277" s="115">
        <f t="shared" si="9"/>
        <v>27930.29000000047</v>
      </c>
      <c r="N277" s="115">
        <v>0</v>
      </c>
      <c r="O277" s="115">
        <f t="shared" si="11"/>
        <v>277.34000000000003</v>
      </c>
    </row>
    <row r="278" spans="1:15" ht="14.25" customHeight="1" x14ac:dyDescent="0.35">
      <c r="A278" s="7">
        <v>242</v>
      </c>
      <c r="B278" s="98">
        <f t="shared" si="0"/>
        <v>324.95</v>
      </c>
      <c r="C278" s="98">
        <f t="shared" si="1"/>
        <v>110.68</v>
      </c>
      <c r="D278" s="98">
        <f t="shared" si="2"/>
        <v>214.26999999999998</v>
      </c>
      <c r="E278" s="98">
        <f t="shared" si="3"/>
        <v>37734.559999999961</v>
      </c>
      <c r="F278" s="115">
        <v>0</v>
      </c>
      <c r="G278" s="115">
        <f t="shared" si="5"/>
        <v>324.95</v>
      </c>
      <c r="I278" s="38">
        <v>242</v>
      </c>
      <c r="J278" s="115">
        <f t="shared" si="6"/>
        <v>276.77</v>
      </c>
      <c r="K278" s="115">
        <f t="shared" si="7"/>
        <v>81.459999999999994</v>
      </c>
      <c r="L278" s="115">
        <f t="shared" si="8"/>
        <v>195.31</v>
      </c>
      <c r="M278" s="115">
        <f t="shared" si="9"/>
        <v>27734.980000000469</v>
      </c>
      <c r="N278" s="115">
        <v>0</v>
      </c>
      <c r="O278" s="115">
        <f t="shared" si="11"/>
        <v>276.77</v>
      </c>
    </row>
    <row r="279" spans="1:15" ht="14.25" customHeight="1" x14ac:dyDescent="0.35">
      <c r="A279" s="7">
        <v>243</v>
      </c>
      <c r="B279" s="98">
        <f t="shared" si="0"/>
        <v>324.95</v>
      </c>
      <c r="C279" s="98">
        <f t="shared" si="1"/>
        <v>110.06</v>
      </c>
      <c r="D279" s="98">
        <f t="shared" si="2"/>
        <v>214.89</v>
      </c>
      <c r="E279" s="98">
        <f t="shared" si="3"/>
        <v>37519.669999999962</v>
      </c>
      <c r="F279" s="115">
        <v>0</v>
      </c>
      <c r="G279" s="115">
        <f t="shared" si="5"/>
        <v>324.95</v>
      </c>
      <c r="I279" s="38">
        <v>243</v>
      </c>
      <c r="J279" s="115">
        <f t="shared" si="6"/>
        <v>276.2</v>
      </c>
      <c r="K279" s="115">
        <f t="shared" si="7"/>
        <v>80.89</v>
      </c>
      <c r="L279" s="115">
        <f t="shared" si="8"/>
        <v>195.31</v>
      </c>
      <c r="M279" s="115">
        <f t="shared" si="9"/>
        <v>27539.670000000468</v>
      </c>
      <c r="N279" s="115">
        <v>0</v>
      </c>
      <c r="O279" s="115">
        <f t="shared" si="11"/>
        <v>276.2</v>
      </c>
    </row>
    <row r="280" spans="1:15" ht="14.25" customHeight="1" x14ac:dyDescent="0.35">
      <c r="A280" s="7">
        <v>244</v>
      </c>
      <c r="B280" s="98">
        <f t="shared" si="0"/>
        <v>324.95</v>
      </c>
      <c r="C280" s="98">
        <f t="shared" si="1"/>
        <v>109.43</v>
      </c>
      <c r="D280" s="98">
        <f t="shared" si="2"/>
        <v>215.51999999999998</v>
      </c>
      <c r="E280" s="98">
        <f t="shared" si="3"/>
        <v>37304.149999999965</v>
      </c>
      <c r="F280" s="115">
        <v>0</v>
      </c>
      <c r="G280" s="115">
        <f t="shared" si="5"/>
        <v>324.95</v>
      </c>
      <c r="I280" s="38">
        <v>244</v>
      </c>
      <c r="J280" s="115">
        <f t="shared" si="6"/>
        <v>275.63</v>
      </c>
      <c r="K280" s="115">
        <f t="shared" si="7"/>
        <v>80.319999999999993</v>
      </c>
      <c r="L280" s="115">
        <f t="shared" si="8"/>
        <v>195.31</v>
      </c>
      <c r="M280" s="115">
        <f t="shared" si="9"/>
        <v>27344.360000000466</v>
      </c>
      <c r="N280" s="115">
        <v>0</v>
      </c>
      <c r="O280" s="115">
        <f t="shared" si="11"/>
        <v>275.63</v>
      </c>
    </row>
    <row r="281" spans="1:15" ht="14.25" customHeight="1" x14ac:dyDescent="0.35">
      <c r="A281" s="7">
        <v>245</v>
      </c>
      <c r="B281" s="98">
        <f t="shared" si="0"/>
        <v>324.95</v>
      </c>
      <c r="C281" s="98">
        <f t="shared" si="1"/>
        <v>108.8</v>
      </c>
      <c r="D281" s="98">
        <f t="shared" si="2"/>
        <v>216.14999999999998</v>
      </c>
      <c r="E281" s="98">
        <f t="shared" si="3"/>
        <v>37087.999999999964</v>
      </c>
      <c r="F281" s="115">
        <v>0</v>
      </c>
      <c r="G281" s="115">
        <f t="shared" si="5"/>
        <v>324.95</v>
      </c>
      <c r="I281" s="38">
        <v>245</v>
      </c>
      <c r="J281" s="115">
        <f t="shared" si="6"/>
        <v>275.06</v>
      </c>
      <c r="K281" s="115">
        <f t="shared" si="7"/>
        <v>79.75</v>
      </c>
      <c r="L281" s="115">
        <f t="shared" si="8"/>
        <v>195.31</v>
      </c>
      <c r="M281" s="115">
        <f t="shared" si="9"/>
        <v>27149.050000000465</v>
      </c>
      <c r="N281" s="115">
        <v>0</v>
      </c>
      <c r="O281" s="115">
        <f t="shared" si="11"/>
        <v>275.06</v>
      </c>
    </row>
    <row r="282" spans="1:15" ht="14.25" customHeight="1" x14ac:dyDescent="0.35">
      <c r="A282" s="7">
        <v>246</v>
      </c>
      <c r="B282" s="98">
        <f t="shared" si="0"/>
        <v>324.95</v>
      </c>
      <c r="C282" s="98">
        <f t="shared" si="1"/>
        <v>108.17</v>
      </c>
      <c r="D282" s="98">
        <f t="shared" si="2"/>
        <v>216.77999999999997</v>
      </c>
      <c r="E282" s="98">
        <f t="shared" si="3"/>
        <v>36871.219999999965</v>
      </c>
      <c r="F282" s="115">
        <v>0</v>
      </c>
      <c r="G282" s="115">
        <f t="shared" si="5"/>
        <v>324.95</v>
      </c>
      <c r="I282" s="38">
        <v>246</v>
      </c>
      <c r="J282" s="115">
        <f t="shared" si="6"/>
        <v>274.49</v>
      </c>
      <c r="K282" s="115">
        <f t="shared" si="7"/>
        <v>79.180000000000007</v>
      </c>
      <c r="L282" s="115">
        <f t="shared" si="8"/>
        <v>195.31</v>
      </c>
      <c r="M282" s="115">
        <f t="shared" si="9"/>
        <v>26953.740000000464</v>
      </c>
      <c r="N282" s="115">
        <v>0</v>
      </c>
      <c r="O282" s="115">
        <f t="shared" si="11"/>
        <v>274.49</v>
      </c>
    </row>
    <row r="283" spans="1:15" ht="14.25" customHeight="1" x14ac:dyDescent="0.35">
      <c r="A283" s="7">
        <v>247</v>
      </c>
      <c r="B283" s="98">
        <f t="shared" si="0"/>
        <v>324.95</v>
      </c>
      <c r="C283" s="98">
        <f t="shared" si="1"/>
        <v>107.54</v>
      </c>
      <c r="D283" s="98">
        <f t="shared" si="2"/>
        <v>217.40999999999997</v>
      </c>
      <c r="E283" s="98">
        <f t="shared" si="3"/>
        <v>36653.809999999961</v>
      </c>
      <c r="F283" s="115">
        <v>0</v>
      </c>
      <c r="G283" s="115">
        <f t="shared" si="5"/>
        <v>324.95</v>
      </c>
      <c r="I283" s="38">
        <v>247</v>
      </c>
      <c r="J283" s="115">
        <f t="shared" si="6"/>
        <v>273.93</v>
      </c>
      <c r="K283" s="115">
        <f t="shared" si="7"/>
        <v>78.62</v>
      </c>
      <c r="L283" s="115">
        <f t="shared" si="8"/>
        <v>195.31</v>
      </c>
      <c r="M283" s="115">
        <f t="shared" si="9"/>
        <v>26758.430000000462</v>
      </c>
      <c r="N283" s="115">
        <v>0</v>
      </c>
      <c r="O283" s="115">
        <f t="shared" si="11"/>
        <v>273.93</v>
      </c>
    </row>
    <row r="284" spans="1:15" ht="14.25" customHeight="1" x14ac:dyDescent="0.35">
      <c r="A284" s="7">
        <v>248</v>
      </c>
      <c r="B284" s="98">
        <f t="shared" si="0"/>
        <v>324.95</v>
      </c>
      <c r="C284" s="98">
        <f t="shared" si="1"/>
        <v>106.91</v>
      </c>
      <c r="D284" s="98">
        <f t="shared" si="2"/>
        <v>218.04</v>
      </c>
      <c r="E284" s="98">
        <f t="shared" si="3"/>
        <v>36435.76999999996</v>
      </c>
      <c r="F284" s="115">
        <v>0</v>
      </c>
      <c r="G284" s="115">
        <f t="shared" si="5"/>
        <v>324.95</v>
      </c>
      <c r="I284" s="38">
        <v>248</v>
      </c>
      <c r="J284" s="115">
        <f t="shared" si="6"/>
        <v>273.36</v>
      </c>
      <c r="K284" s="115">
        <f t="shared" si="7"/>
        <v>78.05</v>
      </c>
      <c r="L284" s="115">
        <f t="shared" si="8"/>
        <v>195.31</v>
      </c>
      <c r="M284" s="115">
        <f t="shared" si="9"/>
        <v>26563.120000000461</v>
      </c>
      <c r="N284" s="115">
        <v>0</v>
      </c>
      <c r="O284" s="115">
        <f t="shared" si="11"/>
        <v>273.36</v>
      </c>
    </row>
    <row r="285" spans="1:15" ht="14.25" customHeight="1" x14ac:dyDescent="0.35">
      <c r="A285" s="7">
        <v>249</v>
      </c>
      <c r="B285" s="98">
        <f t="shared" si="0"/>
        <v>324.95</v>
      </c>
      <c r="C285" s="98">
        <f t="shared" si="1"/>
        <v>106.27</v>
      </c>
      <c r="D285" s="98">
        <f t="shared" si="2"/>
        <v>218.68</v>
      </c>
      <c r="E285" s="98">
        <f t="shared" si="3"/>
        <v>36217.08999999996</v>
      </c>
      <c r="F285" s="115">
        <v>0</v>
      </c>
      <c r="G285" s="115">
        <f t="shared" si="5"/>
        <v>324.95</v>
      </c>
      <c r="I285" s="38">
        <v>249</v>
      </c>
      <c r="J285" s="115">
        <f t="shared" si="6"/>
        <v>272.79000000000002</v>
      </c>
      <c r="K285" s="115">
        <f t="shared" si="7"/>
        <v>77.48</v>
      </c>
      <c r="L285" s="115">
        <f t="shared" si="8"/>
        <v>195.31</v>
      </c>
      <c r="M285" s="115">
        <f t="shared" si="9"/>
        <v>26367.81000000046</v>
      </c>
      <c r="N285" s="115">
        <v>0</v>
      </c>
      <c r="O285" s="115">
        <f t="shared" si="11"/>
        <v>272.79000000000002</v>
      </c>
    </row>
    <row r="286" spans="1:15" ht="14.25" customHeight="1" x14ac:dyDescent="0.35">
      <c r="A286" s="7">
        <v>250</v>
      </c>
      <c r="B286" s="98">
        <f t="shared" si="0"/>
        <v>324.95</v>
      </c>
      <c r="C286" s="98">
        <f t="shared" si="1"/>
        <v>105.63</v>
      </c>
      <c r="D286" s="98">
        <f t="shared" si="2"/>
        <v>219.32</v>
      </c>
      <c r="E286" s="98">
        <f t="shared" si="3"/>
        <v>35997.76999999996</v>
      </c>
      <c r="F286" s="115">
        <v>0</v>
      </c>
      <c r="G286" s="115">
        <f t="shared" si="5"/>
        <v>324.95</v>
      </c>
      <c r="I286" s="38">
        <v>250</v>
      </c>
      <c r="J286" s="115">
        <f t="shared" si="6"/>
        <v>272.22000000000003</v>
      </c>
      <c r="K286" s="115">
        <f t="shared" si="7"/>
        <v>76.91</v>
      </c>
      <c r="L286" s="115">
        <f t="shared" si="8"/>
        <v>195.31</v>
      </c>
      <c r="M286" s="115">
        <f t="shared" si="9"/>
        <v>26172.500000000458</v>
      </c>
      <c r="N286" s="115">
        <v>0</v>
      </c>
      <c r="O286" s="115">
        <f t="shared" si="11"/>
        <v>272.22000000000003</v>
      </c>
    </row>
    <row r="287" spans="1:15" ht="14.25" customHeight="1" x14ac:dyDescent="0.35">
      <c r="A287" s="7">
        <v>251</v>
      </c>
      <c r="B287" s="98">
        <f t="shared" si="0"/>
        <v>324.95</v>
      </c>
      <c r="C287" s="98">
        <f t="shared" si="1"/>
        <v>104.99</v>
      </c>
      <c r="D287" s="98">
        <f t="shared" si="2"/>
        <v>219.95999999999998</v>
      </c>
      <c r="E287" s="98">
        <f t="shared" si="3"/>
        <v>35777.809999999961</v>
      </c>
      <c r="F287" s="115">
        <v>0</v>
      </c>
      <c r="G287" s="115">
        <f t="shared" si="5"/>
        <v>324.95</v>
      </c>
      <c r="I287" s="38">
        <v>251</v>
      </c>
      <c r="J287" s="115">
        <f t="shared" si="6"/>
        <v>271.64999999999998</v>
      </c>
      <c r="K287" s="115">
        <f t="shared" si="7"/>
        <v>76.34</v>
      </c>
      <c r="L287" s="115">
        <f t="shared" si="8"/>
        <v>195.31</v>
      </c>
      <c r="M287" s="115">
        <f t="shared" si="9"/>
        <v>25977.190000000457</v>
      </c>
      <c r="N287" s="115">
        <v>0</v>
      </c>
      <c r="O287" s="115">
        <f t="shared" si="11"/>
        <v>271.64999999999998</v>
      </c>
    </row>
    <row r="288" spans="1:15" ht="14.25" customHeight="1" x14ac:dyDescent="0.35">
      <c r="A288" s="7">
        <v>252</v>
      </c>
      <c r="B288" s="98">
        <f t="shared" si="0"/>
        <v>324.95</v>
      </c>
      <c r="C288" s="98">
        <f t="shared" si="1"/>
        <v>104.35</v>
      </c>
      <c r="D288" s="98">
        <f t="shared" si="2"/>
        <v>220.6</v>
      </c>
      <c r="E288" s="98">
        <f t="shared" si="3"/>
        <v>35557.209999999963</v>
      </c>
      <c r="F288" s="115">
        <v>0</v>
      </c>
      <c r="G288" s="115">
        <f t="shared" si="5"/>
        <v>324.95</v>
      </c>
      <c r="I288" s="38">
        <v>252</v>
      </c>
      <c r="J288" s="115">
        <f t="shared" si="6"/>
        <v>271.08</v>
      </c>
      <c r="K288" s="115">
        <f t="shared" si="7"/>
        <v>75.77</v>
      </c>
      <c r="L288" s="115">
        <f t="shared" si="8"/>
        <v>195.31</v>
      </c>
      <c r="M288" s="115">
        <f t="shared" si="9"/>
        <v>25781.880000000456</v>
      </c>
      <c r="N288" s="115">
        <v>0</v>
      </c>
      <c r="O288" s="115">
        <f t="shared" si="11"/>
        <v>271.08</v>
      </c>
    </row>
    <row r="289" spans="1:15" ht="14.25" customHeight="1" x14ac:dyDescent="0.35">
      <c r="A289" s="7">
        <v>253</v>
      </c>
      <c r="B289" s="98">
        <f t="shared" si="0"/>
        <v>324.95</v>
      </c>
      <c r="C289" s="98">
        <f t="shared" si="1"/>
        <v>103.71</v>
      </c>
      <c r="D289" s="98">
        <f t="shared" si="2"/>
        <v>221.24</v>
      </c>
      <c r="E289" s="98">
        <f t="shared" si="3"/>
        <v>35335.969999999965</v>
      </c>
      <c r="F289" s="115">
        <v>0</v>
      </c>
      <c r="G289" s="115">
        <f t="shared" si="5"/>
        <v>324.95</v>
      </c>
      <c r="I289" s="38">
        <v>253</v>
      </c>
      <c r="J289" s="115">
        <f t="shared" si="6"/>
        <v>270.51</v>
      </c>
      <c r="K289" s="115">
        <f t="shared" si="7"/>
        <v>75.2</v>
      </c>
      <c r="L289" s="115">
        <f t="shared" si="8"/>
        <v>195.31</v>
      </c>
      <c r="M289" s="115">
        <f t="shared" si="9"/>
        <v>25586.570000000454</v>
      </c>
      <c r="N289" s="115">
        <v>0</v>
      </c>
      <c r="O289" s="115">
        <f t="shared" si="11"/>
        <v>270.51</v>
      </c>
    </row>
    <row r="290" spans="1:15" ht="14.25" customHeight="1" x14ac:dyDescent="0.35">
      <c r="A290" s="7">
        <v>254</v>
      </c>
      <c r="B290" s="98">
        <f t="shared" si="0"/>
        <v>324.95</v>
      </c>
      <c r="C290" s="98">
        <f t="shared" si="1"/>
        <v>103.06</v>
      </c>
      <c r="D290" s="98">
        <f t="shared" si="2"/>
        <v>221.89</v>
      </c>
      <c r="E290" s="98">
        <f t="shared" si="3"/>
        <v>35114.079999999965</v>
      </c>
      <c r="F290" s="115">
        <v>0</v>
      </c>
      <c r="G290" s="115">
        <f t="shared" si="5"/>
        <v>324.95</v>
      </c>
      <c r="I290" s="38">
        <v>254</v>
      </c>
      <c r="J290" s="115">
        <f t="shared" si="6"/>
        <v>269.94</v>
      </c>
      <c r="K290" s="115">
        <f t="shared" si="7"/>
        <v>74.63</v>
      </c>
      <c r="L290" s="115">
        <f t="shared" si="8"/>
        <v>195.31</v>
      </c>
      <c r="M290" s="115">
        <f t="shared" si="9"/>
        <v>25391.260000000453</v>
      </c>
      <c r="N290" s="115">
        <v>0</v>
      </c>
      <c r="O290" s="115">
        <f t="shared" si="11"/>
        <v>269.94</v>
      </c>
    </row>
    <row r="291" spans="1:15" ht="14.25" customHeight="1" x14ac:dyDescent="0.35">
      <c r="A291" s="7">
        <v>255</v>
      </c>
      <c r="B291" s="98">
        <f t="shared" si="0"/>
        <v>324.95</v>
      </c>
      <c r="C291" s="98">
        <f t="shared" si="1"/>
        <v>102.42</v>
      </c>
      <c r="D291" s="98">
        <f t="shared" si="2"/>
        <v>222.52999999999997</v>
      </c>
      <c r="E291" s="98">
        <f t="shared" si="3"/>
        <v>34891.549999999967</v>
      </c>
      <c r="F291" s="115">
        <v>0</v>
      </c>
      <c r="G291" s="115">
        <f t="shared" si="5"/>
        <v>324.95</v>
      </c>
      <c r="I291" s="38">
        <v>255</v>
      </c>
      <c r="J291" s="115">
        <f t="shared" si="6"/>
        <v>269.37</v>
      </c>
      <c r="K291" s="115">
        <f t="shared" si="7"/>
        <v>74.06</v>
      </c>
      <c r="L291" s="115">
        <f t="shared" si="8"/>
        <v>195.31</v>
      </c>
      <c r="M291" s="115">
        <f t="shared" si="9"/>
        <v>25195.950000000452</v>
      </c>
      <c r="N291" s="115">
        <v>0</v>
      </c>
      <c r="O291" s="115">
        <f t="shared" si="11"/>
        <v>269.37</v>
      </c>
    </row>
    <row r="292" spans="1:15" ht="14.25" customHeight="1" x14ac:dyDescent="0.35">
      <c r="A292" s="7">
        <v>256</v>
      </c>
      <c r="B292" s="98">
        <f t="shared" ref="B292:B420" si="12">-$B$21</f>
        <v>324.95</v>
      </c>
      <c r="C292" s="98">
        <f t="shared" ref="C292:C420" si="13">ROUND(E291*$B$16,2)</f>
        <v>101.77</v>
      </c>
      <c r="D292" s="98">
        <f t="shared" ref="D292:D420" si="14">B292-C292</f>
        <v>223.18</v>
      </c>
      <c r="E292" s="98">
        <f t="shared" ref="E292:E420" si="15">E291-D292</f>
        <v>34668.369999999966</v>
      </c>
      <c r="F292" s="115">
        <v>0</v>
      </c>
      <c r="G292" s="115">
        <f t="shared" ref="G292:G420" si="16">B292-F292</f>
        <v>324.95</v>
      </c>
      <c r="I292" s="38">
        <v>256</v>
      </c>
      <c r="J292" s="115">
        <f t="shared" ref="J292:J420" si="17">L292+K292</f>
        <v>268.8</v>
      </c>
      <c r="K292" s="115">
        <f t="shared" ref="K292:K420" si="18">ROUND(M291*$B$16,2)</f>
        <v>73.489999999999995</v>
      </c>
      <c r="L292" s="115">
        <f t="shared" ref="L292:L420" si="19">$B$24</f>
        <v>195.31</v>
      </c>
      <c r="M292" s="115">
        <f t="shared" ref="M292:M420" si="20">M291-L292</f>
        <v>25000.640000000451</v>
      </c>
      <c r="N292" s="115">
        <v>0</v>
      </c>
      <c r="O292" s="115">
        <f t="shared" ref="O292:O420" si="21">J292-N292</f>
        <v>268.8</v>
      </c>
    </row>
    <row r="293" spans="1:15" ht="14.25" customHeight="1" x14ac:dyDescent="0.35">
      <c r="A293" s="7">
        <v>257</v>
      </c>
      <c r="B293" s="98">
        <f t="shared" si="12"/>
        <v>324.95</v>
      </c>
      <c r="C293" s="98">
        <f t="shared" si="13"/>
        <v>101.12</v>
      </c>
      <c r="D293" s="98">
        <f t="shared" si="14"/>
        <v>223.82999999999998</v>
      </c>
      <c r="E293" s="98">
        <f t="shared" si="15"/>
        <v>34444.539999999964</v>
      </c>
      <c r="F293" s="115">
        <v>0</v>
      </c>
      <c r="G293" s="115">
        <f t="shared" si="16"/>
        <v>324.95</v>
      </c>
      <c r="I293" s="38">
        <v>257</v>
      </c>
      <c r="J293" s="115">
        <f t="shared" si="17"/>
        <v>268.23</v>
      </c>
      <c r="K293" s="115">
        <f t="shared" si="18"/>
        <v>72.92</v>
      </c>
      <c r="L293" s="115">
        <f t="shared" si="19"/>
        <v>195.31</v>
      </c>
      <c r="M293" s="115">
        <f t="shared" si="20"/>
        <v>24805.330000000449</v>
      </c>
      <c r="N293" s="115">
        <v>0</v>
      </c>
      <c r="O293" s="115">
        <f t="shared" si="21"/>
        <v>268.23</v>
      </c>
    </row>
    <row r="294" spans="1:15" ht="14.25" customHeight="1" x14ac:dyDescent="0.35">
      <c r="A294" s="7">
        <v>258</v>
      </c>
      <c r="B294" s="98">
        <f t="shared" si="12"/>
        <v>324.95</v>
      </c>
      <c r="C294" s="98">
        <f t="shared" si="13"/>
        <v>100.46</v>
      </c>
      <c r="D294" s="98">
        <f t="shared" si="14"/>
        <v>224.49</v>
      </c>
      <c r="E294" s="98">
        <f t="shared" si="15"/>
        <v>34220.049999999967</v>
      </c>
      <c r="F294" s="115">
        <v>0</v>
      </c>
      <c r="G294" s="115">
        <f t="shared" si="16"/>
        <v>324.95</v>
      </c>
      <c r="I294" s="38">
        <v>258</v>
      </c>
      <c r="J294" s="115">
        <f t="shared" si="17"/>
        <v>267.65999999999997</v>
      </c>
      <c r="K294" s="115">
        <f t="shared" si="18"/>
        <v>72.349999999999994</v>
      </c>
      <c r="L294" s="115">
        <f t="shared" si="19"/>
        <v>195.31</v>
      </c>
      <c r="M294" s="115">
        <f t="shared" si="20"/>
        <v>24610.020000000448</v>
      </c>
      <c r="N294" s="115">
        <v>0</v>
      </c>
      <c r="O294" s="115">
        <f t="shared" si="21"/>
        <v>267.65999999999997</v>
      </c>
    </row>
    <row r="295" spans="1:15" ht="14.25" customHeight="1" x14ac:dyDescent="0.35">
      <c r="A295" s="7">
        <v>259</v>
      </c>
      <c r="B295" s="98">
        <f t="shared" si="12"/>
        <v>324.95</v>
      </c>
      <c r="C295" s="98">
        <f t="shared" si="13"/>
        <v>99.81</v>
      </c>
      <c r="D295" s="98">
        <f t="shared" si="14"/>
        <v>225.14</v>
      </c>
      <c r="E295" s="98">
        <f t="shared" si="15"/>
        <v>33994.909999999967</v>
      </c>
      <c r="F295" s="115">
        <v>0</v>
      </c>
      <c r="G295" s="115">
        <f t="shared" si="16"/>
        <v>324.95</v>
      </c>
      <c r="I295" s="38">
        <v>259</v>
      </c>
      <c r="J295" s="115">
        <f t="shared" si="17"/>
        <v>267.09000000000003</v>
      </c>
      <c r="K295" s="115">
        <f t="shared" si="18"/>
        <v>71.78</v>
      </c>
      <c r="L295" s="115">
        <f t="shared" si="19"/>
        <v>195.31</v>
      </c>
      <c r="M295" s="115">
        <f t="shared" si="20"/>
        <v>24414.710000000447</v>
      </c>
      <c r="N295" s="115">
        <v>0</v>
      </c>
      <c r="O295" s="115">
        <f t="shared" si="21"/>
        <v>267.09000000000003</v>
      </c>
    </row>
    <row r="296" spans="1:15" ht="14.25" customHeight="1" x14ac:dyDescent="0.35">
      <c r="A296" s="7">
        <v>260</v>
      </c>
      <c r="B296" s="98">
        <f t="shared" si="12"/>
        <v>324.95</v>
      </c>
      <c r="C296" s="98">
        <f t="shared" si="13"/>
        <v>99.15</v>
      </c>
      <c r="D296" s="98">
        <f t="shared" si="14"/>
        <v>225.79999999999998</v>
      </c>
      <c r="E296" s="98">
        <f t="shared" si="15"/>
        <v>33769.109999999964</v>
      </c>
      <c r="F296" s="115">
        <v>0</v>
      </c>
      <c r="G296" s="115">
        <f t="shared" si="16"/>
        <v>324.95</v>
      </c>
      <c r="I296" s="38">
        <v>260</v>
      </c>
      <c r="J296" s="115">
        <f t="shared" si="17"/>
        <v>266.52</v>
      </c>
      <c r="K296" s="115">
        <f t="shared" si="18"/>
        <v>71.209999999999994</v>
      </c>
      <c r="L296" s="115">
        <f t="shared" si="19"/>
        <v>195.31</v>
      </c>
      <c r="M296" s="115">
        <f t="shared" si="20"/>
        <v>24219.400000000445</v>
      </c>
      <c r="N296" s="115">
        <v>0</v>
      </c>
      <c r="O296" s="115">
        <f t="shared" si="21"/>
        <v>266.52</v>
      </c>
    </row>
    <row r="297" spans="1:15" ht="14.25" customHeight="1" x14ac:dyDescent="0.35">
      <c r="A297" s="7">
        <v>261</v>
      </c>
      <c r="B297" s="98">
        <f t="shared" si="12"/>
        <v>324.95</v>
      </c>
      <c r="C297" s="98">
        <f t="shared" si="13"/>
        <v>98.49</v>
      </c>
      <c r="D297" s="98">
        <f t="shared" si="14"/>
        <v>226.45999999999998</v>
      </c>
      <c r="E297" s="98">
        <f t="shared" si="15"/>
        <v>33542.649999999965</v>
      </c>
      <c r="F297" s="115">
        <v>0</v>
      </c>
      <c r="G297" s="115">
        <f t="shared" si="16"/>
        <v>324.95</v>
      </c>
      <c r="I297" s="38">
        <v>261</v>
      </c>
      <c r="J297" s="115">
        <f t="shared" si="17"/>
        <v>265.95</v>
      </c>
      <c r="K297" s="115">
        <f t="shared" si="18"/>
        <v>70.64</v>
      </c>
      <c r="L297" s="115">
        <f t="shared" si="19"/>
        <v>195.31</v>
      </c>
      <c r="M297" s="115">
        <f t="shared" si="20"/>
        <v>24024.090000000444</v>
      </c>
      <c r="N297" s="115">
        <v>0</v>
      </c>
      <c r="O297" s="115">
        <f t="shared" si="21"/>
        <v>265.95</v>
      </c>
    </row>
    <row r="298" spans="1:15" ht="14.25" customHeight="1" x14ac:dyDescent="0.35">
      <c r="A298" s="7">
        <v>262</v>
      </c>
      <c r="B298" s="98">
        <f t="shared" si="12"/>
        <v>324.95</v>
      </c>
      <c r="C298" s="98">
        <f t="shared" si="13"/>
        <v>97.83</v>
      </c>
      <c r="D298" s="98">
        <f t="shared" si="14"/>
        <v>227.12</v>
      </c>
      <c r="E298" s="98">
        <f t="shared" si="15"/>
        <v>33315.529999999962</v>
      </c>
      <c r="F298" s="115">
        <v>0</v>
      </c>
      <c r="G298" s="115">
        <f t="shared" si="16"/>
        <v>324.95</v>
      </c>
      <c r="I298" s="38">
        <v>262</v>
      </c>
      <c r="J298" s="115">
        <f t="shared" si="17"/>
        <v>265.38</v>
      </c>
      <c r="K298" s="115">
        <f t="shared" si="18"/>
        <v>70.069999999999993</v>
      </c>
      <c r="L298" s="115">
        <f t="shared" si="19"/>
        <v>195.31</v>
      </c>
      <c r="M298" s="115">
        <f t="shared" si="20"/>
        <v>23828.780000000443</v>
      </c>
      <c r="N298" s="115">
        <v>0</v>
      </c>
      <c r="O298" s="115">
        <f t="shared" si="21"/>
        <v>265.38</v>
      </c>
    </row>
    <row r="299" spans="1:15" ht="14.25" customHeight="1" x14ac:dyDescent="0.35">
      <c r="A299" s="7">
        <v>263</v>
      </c>
      <c r="B299" s="98">
        <f t="shared" si="12"/>
        <v>324.95</v>
      </c>
      <c r="C299" s="98">
        <f t="shared" si="13"/>
        <v>97.17</v>
      </c>
      <c r="D299" s="98">
        <f t="shared" si="14"/>
        <v>227.77999999999997</v>
      </c>
      <c r="E299" s="98">
        <f t="shared" si="15"/>
        <v>33087.749999999964</v>
      </c>
      <c r="F299" s="115">
        <v>0</v>
      </c>
      <c r="G299" s="115">
        <f t="shared" si="16"/>
        <v>324.95</v>
      </c>
      <c r="I299" s="38">
        <v>263</v>
      </c>
      <c r="J299" s="115">
        <f t="shared" si="17"/>
        <v>264.81</v>
      </c>
      <c r="K299" s="115">
        <f t="shared" si="18"/>
        <v>69.5</v>
      </c>
      <c r="L299" s="115">
        <f t="shared" si="19"/>
        <v>195.31</v>
      </c>
      <c r="M299" s="115">
        <f t="shared" si="20"/>
        <v>23633.470000000441</v>
      </c>
      <c r="N299" s="115">
        <v>0</v>
      </c>
      <c r="O299" s="115">
        <f t="shared" si="21"/>
        <v>264.81</v>
      </c>
    </row>
    <row r="300" spans="1:15" ht="14.25" customHeight="1" x14ac:dyDescent="0.35">
      <c r="A300" s="7">
        <v>264</v>
      </c>
      <c r="B300" s="98">
        <f t="shared" si="12"/>
        <v>324.95</v>
      </c>
      <c r="C300" s="98">
        <f t="shared" si="13"/>
        <v>96.51</v>
      </c>
      <c r="D300" s="98">
        <f t="shared" si="14"/>
        <v>228.44</v>
      </c>
      <c r="E300" s="98">
        <f t="shared" si="15"/>
        <v>32859.309999999961</v>
      </c>
      <c r="F300" s="115">
        <v>0</v>
      </c>
      <c r="G300" s="115">
        <f t="shared" si="16"/>
        <v>324.95</v>
      </c>
      <c r="I300" s="38">
        <v>264</v>
      </c>
      <c r="J300" s="115">
        <f t="shared" si="17"/>
        <v>264.24</v>
      </c>
      <c r="K300" s="115">
        <f t="shared" si="18"/>
        <v>68.930000000000007</v>
      </c>
      <c r="L300" s="115">
        <f t="shared" si="19"/>
        <v>195.31</v>
      </c>
      <c r="M300" s="115">
        <f t="shared" si="20"/>
        <v>23438.16000000044</v>
      </c>
      <c r="N300" s="115">
        <v>0</v>
      </c>
      <c r="O300" s="115">
        <f t="shared" si="21"/>
        <v>264.24</v>
      </c>
    </row>
    <row r="301" spans="1:15" ht="14.25" customHeight="1" x14ac:dyDescent="0.35">
      <c r="A301" s="7">
        <v>265</v>
      </c>
      <c r="B301" s="98">
        <f t="shared" si="12"/>
        <v>324.95</v>
      </c>
      <c r="C301" s="98">
        <f t="shared" si="13"/>
        <v>95.84</v>
      </c>
      <c r="D301" s="98">
        <f t="shared" si="14"/>
        <v>229.10999999999999</v>
      </c>
      <c r="E301" s="98">
        <f t="shared" si="15"/>
        <v>32630.199999999961</v>
      </c>
      <c r="F301" s="115">
        <v>0</v>
      </c>
      <c r="G301" s="115">
        <f t="shared" si="16"/>
        <v>324.95</v>
      </c>
      <c r="I301" s="38">
        <v>265</v>
      </c>
      <c r="J301" s="115">
        <f t="shared" si="17"/>
        <v>263.67</v>
      </c>
      <c r="K301" s="115">
        <f t="shared" si="18"/>
        <v>68.36</v>
      </c>
      <c r="L301" s="115">
        <f t="shared" si="19"/>
        <v>195.31</v>
      </c>
      <c r="M301" s="115">
        <f t="shared" si="20"/>
        <v>23242.850000000439</v>
      </c>
      <c r="N301" s="115">
        <v>0</v>
      </c>
      <c r="O301" s="115">
        <f t="shared" si="21"/>
        <v>263.67</v>
      </c>
    </row>
    <row r="302" spans="1:15" ht="14.25" customHeight="1" x14ac:dyDescent="0.35">
      <c r="A302" s="7">
        <v>266</v>
      </c>
      <c r="B302" s="98">
        <f t="shared" si="12"/>
        <v>324.95</v>
      </c>
      <c r="C302" s="98">
        <f t="shared" si="13"/>
        <v>95.17</v>
      </c>
      <c r="D302" s="98">
        <f t="shared" si="14"/>
        <v>229.77999999999997</v>
      </c>
      <c r="E302" s="98">
        <f t="shared" si="15"/>
        <v>32400.419999999962</v>
      </c>
      <c r="F302" s="115">
        <v>0</v>
      </c>
      <c r="G302" s="115">
        <f t="shared" si="16"/>
        <v>324.95</v>
      </c>
      <c r="I302" s="38">
        <v>266</v>
      </c>
      <c r="J302" s="115">
        <f t="shared" si="17"/>
        <v>263.10000000000002</v>
      </c>
      <c r="K302" s="115">
        <f t="shared" si="18"/>
        <v>67.790000000000006</v>
      </c>
      <c r="L302" s="115">
        <f t="shared" si="19"/>
        <v>195.31</v>
      </c>
      <c r="M302" s="115">
        <f t="shared" si="20"/>
        <v>23047.540000000437</v>
      </c>
      <c r="N302" s="115">
        <v>0</v>
      </c>
      <c r="O302" s="115">
        <f t="shared" si="21"/>
        <v>263.10000000000002</v>
      </c>
    </row>
    <row r="303" spans="1:15" ht="14.25" customHeight="1" x14ac:dyDescent="0.35">
      <c r="A303" s="7">
        <v>267</v>
      </c>
      <c r="B303" s="98">
        <f t="shared" si="12"/>
        <v>324.95</v>
      </c>
      <c r="C303" s="98">
        <f t="shared" si="13"/>
        <v>94.5</v>
      </c>
      <c r="D303" s="98">
        <f t="shared" si="14"/>
        <v>230.45</v>
      </c>
      <c r="E303" s="98">
        <f t="shared" si="15"/>
        <v>32169.969999999961</v>
      </c>
      <c r="F303" s="115">
        <v>0</v>
      </c>
      <c r="G303" s="115">
        <f t="shared" si="16"/>
        <v>324.95</v>
      </c>
      <c r="I303" s="38">
        <v>267</v>
      </c>
      <c r="J303" s="115">
        <f t="shared" si="17"/>
        <v>262.52999999999997</v>
      </c>
      <c r="K303" s="115">
        <f t="shared" si="18"/>
        <v>67.22</v>
      </c>
      <c r="L303" s="115">
        <f t="shared" si="19"/>
        <v>195.31</v>
      </c>
      <c r="M303" s="115">
        <f t="shared" si="20"/>
        <v>22852.230000000436</v>
      </c>
      <c r="N303" s="115">
        <v>0</v>
      </c>
      <c r="O303" s="115">
        <f t="shared" si="21"/>
        <v>262.52999999999997</v>
      </c>
    </row>
    <row r="304" spans="1:15" ht="14.25" customHeight="1" x14ac:dyDescent="0.35">
      <c r="A304" s="7">
        <v>268</v>
      </c>
      <c r="B304" s="98">
        <f t="shared" si="12"/>
        <v>324.95</v>
      </c>
      <c r="C304" s="98">
        <f t="shared" si="13"/>
        <v>93.83</v>
      </c>
      <c r="D304" s="98">
        <f t="shared" si="14"/>
        <v>231.12</v>
      </c>
      <c r="E304" s="98">
        <f t="shared" si="15"/>
        <v>31938.849999999962</v>
      </c>
      <c r="F304" s="115">
        <v>0</v>
      </c>
      <c r="G304" s="115">
        <f t="shared" si="16"/>
        <v>324.95</v>
      </c>
      <c r="I304" s="38">
        <v>268</v>
      </c>
      <c r="J304" s="115">
        <f t="shared" si="17"/>
        <v>261.96000000000004</v>
      </c>
      <c r="K304" s="115">
        <f t="shared" si="18"/>
        <v>66.650000000000006</v>
      </c>
      <c r="L304" s="115">
        <f t="shared" si="19"/>
        <v>195.31</v>
      </c>
      <c r="M304" s="115">
        <f t="shared" si="20"/>
        <v>22656.920000000435</v>
      </c>
      <c r="N304" s="115">
        <v>0</v>
      </c>
      <c r="O304" s="115">
        <f t="shared" si="21"/>
        <v>261.96000000000004</v>
      </c>
    </row>
    <row r="305" spans="1:15" ht="14.25" customHeight="1" x14ac:dyDescent="0.35">
      <c r="A305" s="7">
        <v>269</v>
      </c>
      <c r="B305" s="98">
        <f t="shared" si="12"/>
        <v>324.95</v>
      </c>
      <c r="C305" s="98">
        <f t="shared" si="13"/>
        <v>93.15</v>
      </c>
      <c r="D305" s="98">
        <f t="shared" si="14"/>
        <v>231.79999999999998</v>
      </c>
      <c r="E305" s="98">
        <f t="shared" si="15"/>
        <v>31707.049999999963</v>
      </c>
      <c r="F305" s="115">
        <v>0</v>
      </c>
      <c r="G305" s="115">
        <f t="shared" si="16"/>
        <v>324.95</v>
      </c>
      <c r="I305" s="38">
        <v>269</v>
      </c>
      <c r="J305" s="115">
        <f t="shared" si="17"/>
        <v>261.39</v>
      </c>
      <c r="K305" s="115">
        <f t="shared" si="18"/>
        <v>66.08</v>
      </c>
      <c r="L305" s="115">
        <f t="shared" si="19"/>
        <v>195.31</v>
      </c>
      <c r="M305" s="115">
        <f t="shared" si="20"/>
        <v>22461.610000000434</v>
      </c>
      <c r="N305" s="115">
        <v>0</v>
      </c>
      <c r="O305" s="115">
        <f t="shared" si="21"/>
        <v>261.39</v>
      </c>
    </row>
    <row r="306" spans="1:15" ht="14.25" customHeight="1" x14ac:dyDescent="0.35">
      <c r="A306" s="7">
        <v>270</v>
      </c>
      <c r="B306" s="98">
        <f t="shared" si="12"/>
        <v>324.95</v>
      </c>
      <c r="C306" s="98">
        <f t="shared" si="13"/>
        <v>92.48</v>
      </c>
      <c r="D306" s="98">
        <f t="shared" si="14"/>
        <v>232.46999999999997</v>
      </c>
      <c r="E306" s="98">
        <f t="shared" si="15"/>
        <v>31474.579999999962</v>
      </c>
      <c r="F306" s="115">
        <v>0</v>
      </c>
      <c r="G306" s="115">
        <f t="shared" si="16"/>
        <v>324.95</v>
      </c>
      <c r="I306" s="38">
        <v>270</v>
      </c>
      <c r="J306" s="115">
        <f t="shared" si="17"/>
        <v>260.82</v>
      </c>
      <c r="K306" s="115">
        <f t="shared" si="18"/>
        <v>65.510000000000005</v>
      </c>
      <c r="L306" s="115">
        <f t="shared" si="19"/>
        <v>195.31</v>
      </c>
      <c r="M306" s="115">
        <f t="shared" si="20"/>
        <v>22266.300000000432</v>
      </c>
      <c r="N306" s="115">
        <v>0</v>
      </c>
      <c r="O306" s="115">
        <f t="shared" si="21"/>
        <v>260.82</v>
      </c>
    </row>
    <row r="307" spans="1:15" ht="14.25" customHeight="1" x14ac:dyDescent="0.35">
      <c r="A307" s="7">
        <v>271</v>
      </c>
      <c r="B307" s="98">
        <f t="shared" si="12"/>
        <v>324.95</v>
      </c>
      <c r="C307" s="98">
        <f t="shared" si="13"/>
        <v>91.8</v>
      </c>
      <c r="D307" s="98">
        <f t="shared" si="14"/>
        <v>233.14999999999998</v>
      </c>
      <c r="E307" s="98">
        <f t="shared" si="15"/>
        <v>31241.42999999996</v>
      </c>
      <c r="F307" s="115">
        <v>0</v>
      </c>
      <c r="G307" s="115">
        <f t="shared" si="16"/>
        <v>324.95</v>
      </c>
      <c r="I307" s="38">
        <v>271</v>
      </c>
      <c r="J307" s="115">
        <f t="shared" si="17"/>
        <v>260.25</v>
      </c>
      <c r="K307" s="115">
        <f t="shared" si="18"/>
        <v>64.94</v>
      </c>
      <c r="L307" s="115">
        <f t="shared" si="19"/>
        <v>195.31</v>
      </c>
      <c r="M307" s="115">
        <f t="shared" si="20"/>
        <v>22070.990000000431</v>
      </c>
      <c r="N307" s="115">
        <v>0</v>
      </c>
      <c r="O307" s="115">
        <f t="shared" si="21"/>
        <v>260.25</v>
      </c>
    </row>
    <row r="308" spans="1:15" ht="14.25" customHeight="1" x14ac:dyDescent="0.35">
      <c r="A308" s="7">
        <v>272</v>
      </c>
      <c r="B308" s="98">
        <f t="shared" si="12"/>
        <v>324.95</v>
      </c>
      <c r="C308" s="98">
        <f t="shared" si="13"/>
        <v>91.12</v>
      </c>
      <c r="D308" s="98">
        <f t="shared" si="14"/>
        <v>233.82999999999998</v>
      </c>
      <c r="E308" s="98">
        <f t="shared" si="15"/>
        <v>31007.599999999959</v>
      </c>
      <c r="F308" s="115">
        <v>0</v>
      </c>
      <c r="G308" s="115">
        <f t="shared" si="16"/>
        <v>324.95</v>
      </c>
      <c r="I308" s="38">
        <v>272</v>
      </c>
      <c r="J308" s="115">
        <f t="shared" si="17"/>
        <v>259.68</v>
      </c>
      <c r="K308" s="115">
        <f t="shared" si="18"/>
        <v>64.37</v>
      </c>
      <c r="L308" s="115">
        <f t="shared" si="19"/>
        <v>195.31</v>
      </c>
      <c r="M308" s="115">
        <f t="shared" si="20"/>
        <v>21875.68000000043</v>
      </c>
      <c r="N308" s="115">
        <v>0</v>
      </c>
      <c r="O308" s="115">
        <f t="shared" si="21"/>
        <v>259.68</v>
      </c>
    </row>
    <row r="309" spans="1:15" ht="14.25" customHeight="1" x14ac:dyDescent="0.35">
      <c r="A309" s="7">
        <v>273</v>
      </c>
      <c r="B309" s="98">
        <f t="shared" si="12"/>
        <v>324.95</v>
      </c>
      <c r="C309" s="98">
        <f t="shared" si="13"/>
        <v>90.44</v>
      </c>
      <c r="D309" s="98">
        <f t="shared" si="14"/>
        <v>234.51</v>
      </c>
      <c r="E309" s="98">
        <f t="shared" si="15"/>
        <v>30773.08999999996</v>
      </c>
      <c r="F309" s="115">
        <v>0</v>
      </c>
      <c r="G309" s="115">
        <f t="shared" si="16"/>
        <v>324.95</v>
      </c>
      <c r="I309" s="38">
        <v>273</v>
      </c>
      <c r="J309" s="115">
        <f t="shared" si="17"/>
        <v>259.11</v>
      </c>
      <c r="K309" s="115">
        <f t="shared" si="18"/>
        <v>63.8</v>
      </c>
      <c r="L309" s="115">
        <f t="shared" si="19"/>
        <v>195.31</v>
      </c>
      <c r="M309" s="115">
        <f t="shared" si="20"/>
        <v>21680.370000000428</v>
      </c>
      <c r="N309" s="115">
        <v>0</v>
      </c>
      <c r="O309" s="115">
        <f t="shared" si="21"/>
        <v>259.11</v>
      </c>
    </row>
    <row r="310" spans="1:15" ht="14.25" customHeight="1" x14ac:dyDescent="0.35">
      <c r="A310" s="7">
        <v>274</v>
      </c>
      <c r="B310" s="98">
        <f t="shared" si="12"/>
        <v>324.95</v>
      </c>
      <c r="C310" s="98">
        <f t="shared" si="13"/>
        <v>89.75</v>
      </c>
      <c r="D310" s="98">
        <f t="shared" si="14"/>
        <v>235.2</v>
      </c>
      <c r="E310" s="98">
        <f t="shared" si="15"/>
        <v>30537.889999999959</v>
      </c>
      <c r="F310" s="115">
        <v>0</v>
      </c>
      <c r="G310" s="115">
        <f t="shared" si="16"/>
        <v>324.95</v>
      </c>
      <c r="I310" s="38">
        <v>274</v>
      </c>
      <c r="J310" s="115">
        <f t="shared" si="17"/>
        <v>258.54000000000002</v>
      </c>
      <c r="K310" s="115">
        <f t="shared" si="18"/>
        <v>63.23</v>
      </c>
      <c r="L310" s="115">
        <f t="shared" si="19"/>
        <v>195.31</v>
      </c>
      <c r="M310" s="115">
        <f t="shared" si="20"/>
        <v>21485.060000000427</v>
      </c>
      <c r="N310" s="115">
        <v>0</v>
      </c>
      <c r="O310" s="115">
        <f t="shared" si="21"/>
        <v>258.54000000000002</v>
      </c>
    </row>
    <row r="311" spans="1:15" ht="14.25" customHeight="1" x14ac:dyDescent="0.35">
      <c r="A311" s="7">
        <v>275</v>
      </c>
      <c r="B311" s="98">
        <f t="shared" si="12"/>
        <v>324.95</v>
      </c>
      <c r="C311" s="98">
        <f t="shared" si="13"/>
        <v>89.07</v>
      </c>
      <c r="D311" s="98">
        <f t="shared" si="14"/>
        <v>235.88</v>
      </c>
      <c r="E311" s="98">
        <f t="shared" si="15"/>
        <v>30302.009999999958</v>
      </c>
      <c r="F311" s="115">
        <v>0</v>
      </c>
      <c r="G311" s="115">
        <f t="shared" si="16"/>
        <v>324.95</v>
      </c>
      <c r="I311" s="38">
        <v>275</v>
      </c>
      <c r="J311" s="115">
        <f t="shared" si="17"/>
        <v>257.97000000000003</v>
      </c>
      <c r="K311" s="115">
        <f t="shared" si="18"/>
        <v>62.66</v>
      </c>
      <c r="L311" s="115">
        <f t="shared" si="19"/>
        <v>195.31</v>
      </c>
      <c r="M311" s="115">
        <f t="shared" si="20"/>
        <v>21289.750000000426</v>
      </c>
      <c r="N311" s="115">
        <v>0</v>
      </c>
      <c r="O311" s="115">
        <f t="shared" si="21"/>
        <v>257.97000000000003</v>
      </c>
    </row>
    <row r="312" spans="1:15" ht="14.25" customHeight="1" x14ac:dyDescent="0.35">
      <c r="A312" s="7">
        <v>276</v>
      </c>
      <c r="B312" s="98">
        <f t="shared" si="12"/>
        <v>324.95</v>
      </c>
      <c r="C312" s="98">
        <f t="shared" si="13"/>
        <v>88.38</v>
      </c>
      <c r="D312" s="98">
        <f t="shared" si="14"/>
        <v>236.57</v>
      </c>
      <c r="E312" s="98">
        <f t="shared" si="15"/>
        <v>30065.439999999959</v>
      </c>
      <c r="F312" s="115">
        <v>0</v>
      </c>
      <c r="G312" s="115">
        <f t="shared" si="16"/>
        <v>324.95</v>
      </c>
      <c r="I312" s="38">
        <v>276</v>
      </c>
      <c r="J312" s="115">
        <f t="shared" si="17"/>
        <v>257.41000000000003</v>
      </c>
      <c r="K312" s="115">
        <f t="shared" si="18"/>
        <v>62.1</v>
      </c>
      <c r="L312" s="115">
        <f t="shared" si="19"/>
        <v>195.31</v>
      </c>
      <c r="M312" s="115">
        <f t="shared" si="20"/>
        <v>21094.440000000424</v>
      </c>
      <c r="N312" s="115">
        <v>0</v>
      </c>
      <c r="O312" s="115">
        <f t="shared" si="21"/>
        <v>257.41000000000003</v>
      </c>
    </row>
    <row r="313" spans="1:15" ht="14.25" customHeight="1" x14ac:dyDescent="0.35">
      <c r="A313" s="7">
        <v>277</v>
      </c>
      <c r="B313" s="98">
        <f t="shared" si="12"/>
        <v>324.95</v>
      </c>
      <c r="C313" s="98">
        <f t="shared" si="13"/>
        <v>87.69</v>
      </c>
      <c r="D313" s="98">
        <f t="shared" si="14"/>
        <v>237.26</v>
      </c>
      <c r="E313" s="98">
        <f t="shared" si="15"/>
        <v>29828.17999999996</v>
      </c>
      <c r="F313" s="115">
        <v>0</v>
      </c>
      <c r="G313" s="115">
        <f t="shared" si="16"/>
        <v>324.95</v>
      </c>
      <c r="I313" s="38">
        <v>277</v>
      </c>
      <c r="J313" s="115">
        <f t="shared" si="17"/>
        <v>256.84000000000003</v>
      </c>
      <c r="K313" s="115">
        <f t="shared" si="18"/>
        <v>61.53</v>
      </c>
      <c r="L313" s="115">
        <f t="shared" si="19"/>
        <v>195.31</v>
      </c>
      <c r="M313" s="115">
        <f t="shared" si="20"/>
        <v>20899.130000000423</v>
      </c>
      <c r="N313" s="115">
        <v>0</v>
      </c>
      <c r="O313" s="115">
        <f t="shared" si="21"/>
        <v>256.84000000000003</v>
      </c>
    </row>
    <row r="314" spans="1:15" ht="14.25" customHeight="1" x14ac:dyDescent="0.35">
      <c r="A314" s="7">
        <v>278</v>
      </c>
      <c r="B314" s="98">
        <f t="shared" si="12"/>
        <v>324.95</v>
      </c>
      <c r="C314" s="98">
        <f t="shared" si="13"/>
        <v>87</v>
      </c>
      <c r="D314" s="98">
        <f t="shared" si="14"/>
        <v>237.95</v>
      </c>
      <c r="E314" s="98">
        <f t="shared" si="15"/>
        <v>29590.22999999996</v>
      </c>
      <c r="F314" s="115">
        <v>0</v>
      </c>
      <c r="G314" s="115">
        <f t="shared" si="16"/>
        <v>324.95</v>
      </c>
      <c r="I314" s="38">
        <v>278</v>
      </c>
      <c r="J314" s="115">
        <f t="shared" si="17"/>
        <v>256.27</v>
      </c>
      <c r="K314" s="115">
        <f t="shared" si="18"/>
        <v>60.96</v>
      </c>
      <c r="L314" s="115">
        <f t="shared" si="19"/>
        <v>195.31</v>
      </c>
      <c r="M314" s="115">
        <f t="shared" si="20"/>
        <v>20703.820000000422</v>
      </c>
      <c r="N314" s="115">
        <v>0</v>
      </c>
      <c r="O314" s="115">
        <f t="shared" si="21"/>
        <v>256.27</v>
      </c>
    </row>
    <row r="315" spans="1:15" ht="14.25" customHeight="1" x14ac:dyDescent="0.35">
      <c r="A315" s="7">
        <v>279</v>
      </c>
      <c r="B315" s="98">
        <f t="shared" si="12"/>
        <v>324.95</v>
      </c>
      <c r="C315" s="98">
        <f t="shared" si="13"/>
        <v>86.3</v>
      </c>
      <c r="D315" s="98">
        <f t="shared" si="14"/>
        <v>238.64999999999998</v>
      </c>
      <c r="E315" s="98">
        <f t="shared" si="15"/>
        <v>29351.579999999958</v>
      </c>
      <c r="F315" s="115">
        <v>0</v>
      </c>
      <c r="G315" s="115">
        <f t="shared" si="16"/>
        <v>324.95</v>
      </c>
      <c r="I315" s="38">
        <v>279</v>
      </c>
      <c r="J315" s="115">
        <f t="shared" si="17"/>
        <v>255.7</v>
      </c>
      <c r="K315" s="115">
        <f t="shared" si="18"/>
        <v>60.39</v>
      </c>
      <c r="L315" s="115">
        <f t="shared" si="19"/>
        <v>195.31</v>
      </c>
      <c r="M315" s="115">
        <f t="shared" si="20"/>
        <v>20508.51000000042</v>
      </c>
      <c r="N315" s="115">
        <v>0</v>
      </c>
      <c r="O315" s="115">
        <f t="shared" si="21"/>
        <v>255.7</v>
      </c>
    </row>
    <row r="316" spans="1:15" ht="14.25" customHeight="1" x14ac:dyDescent="0.35">
      <c r="A316" s="7">
        <v>280</v>
      </c>
      <c r="B316" s="98">
        <f t="shared" si="12"/>
        <v>324.95</v>
      </c>
      <c r="C316" s="98">
        <f t="shared" si="13"/>
        <v>85.61</v>
      </c>
      <c r="D316" s="98">
        <f t="shared" si="14"/>
        <v>239.33999999999997</v>
      </c>
      <c r="E316" s="98">
        <f t="shared" si="15"/>
        <v>29112.239999999958</v>
      </c>
      <c r="F316" s="115">
        <v>0</v>
      </c>
      <c r="G316" s="115">
        <f t="shared" si="16"/>
        <v>324.95</v>
      </c>
      <c r="I316" s="38">
        <v>280</v>
      </c>
      <c r="J316" s="115">
        <f t="shared" si="17"/>
        <v>255.13</v>
      </c>
      <c r="K316" s="115">
        <f t="shared" si="18"/>
        <v>59.82</v>
      </c>
      <c r="L316" s="115">
        <f t="shared" si="19"/>
        <v>195.31</v>
      </c>
      <c r="M316" s="115">
        <f t="shared" si="20"/>
        <v>20313.200000000419</v>
      </c>
      <c r="N316" s="115">
        <v>0</v>
      </c>
      <c r="O316" s="115">
        <f t="shared" si="21"/>
        <v>255.13</v>
      </c>
    </row>
    <row r="317" spans="1:15" ht="14.25" customHeight="1" x14ac:dyDescent="0.35">
      <c r="A317" s="7">
        <v>281</v>
      </c>
      <c r="B317" s="98">
        <f t="shared" si="12"/>
        <v>324.95</v>
      </c>
      <c r="C317" s="98">
        <f t="shared" si="13"/>
        <v>84.91</v>
      </c>
      <c r="D317" s="98">
        <f t="shared" si="14"/>
        <v>240.04</v>
      </c>
      <c r="E317" s="98">
        <f t="shared" si="15"/>
        <v>28872.199999999957</v>
      </c>
      <c r="F317" s="115">
        <v>0</v>
      </c>
      <c r="G317" s="115">
        <f t="shared" si="16"/>
        <v>324.95</v>
      </c>
      <c r="I317" s="38">
        <v>281</v>
      </c>
      <c r="J317" s="115">
        <f t="shared" si="17"/>
        <v>254.56</v>
      </c>
      <c r="K317" s="115">
        <f t="shared" si="18"/>
        <v>59.25</v>
      </c>
      <c r="L317" s="115">
        <f t="shared" si="19"/>
        <v>195.31</v>
      </c>
      <c r="M317" s="115">
        <f t="shared" si="20"/>
        <v>20117.890000000418</v>
      </c>
      <c r="N317" s="115">
        <v>0</v>
      </c>
      <c r="O317" s="115">
        <f t="shared" si="21"/>
        <v>254.56</v>
      </c>
    </row>
    <row r="318" spans="1:15" ht="14.25" customHeight="1" x14ac:dyDescent="0.35">
      <c r="A318" s="7">
        <v>282</v>
      </c>
      <c r="B318" s="98">
        <f t="shared" si="12"/>
        <v>324.95</v>
      </c>
      <c r="C318" s="98">
        <f t="shared" si="13"/>
        <v>84.21</v>
      </c>
      <c r="D318" s="98">
        <f t="shared" si="14"/>
        <v>240.74</v>
      </c>
      <c r="E318" s="98">
        <f t="shared" si="15"/>
        <v>28631.459999999955</v>
      </c>
      <c r="F318" s="115">
        <v>0</v>
      </c>
      <c r="G318" s="115">
        <f t="shared" si="16"/>
        <v>324.95</v>
      </c>
      <c r="I318" s="38">
        <v>282</v>
      </c>
      <c r="J318" s="115">
        <f t="shared" si="17"/>
        <v>253.99</v>
      </c>
      <c r="K318" s="115">
        <f t="shared" si="18"/>
        <v>58.68</v>
      </c>
      <c r="L318" s="115">
        <f t="shared" si="19"/>
        <v>195.31</v>
      </c>
      <c r="M318" s="115">
        <f t="shared" si="20"/>
        <v>19922.580000000416</v>
      </c>
      <c r="N318" s="115">
        <v>0</v>
      </c>
      <c r="O318" s="115">
        <f t="shared" si="21"/>
        <v>253.99</v>
      </c>
    </row>
    <row r="319" spans="1:15" ht="14.25" customHeight="1" x14ac:dyDescent="0.35">
      <c r="A319" s="7">
        <v>283</v>
      </c>
      <c r="B319" s="98">
        <f t="shared" si="12"/>
        <v>324.95</v>
      </c>
      <c r="C319" s="98">
        <f t="shared" si="13"/>
        <v>83.51</v>
      </c>
      <c r="D319" s="98">
        <f t="shared" si="14"/>
        <v>241.44</v>
      </c>
      <c r="E319" s="98">
        <f t="shared" si="15"/>
        <v>28390.019999999957</v>
      </c>
      <c r="F319" s="115">
        <v>0</v>
      </c>
      <c r="G319" s="115">
        <f t="shared" si="16"/>
        <v>324.95</v>
      </c>
      <c r="I319" s="38">
        <v>283</v>
      </c>
      <c r="J319" s="115">
        <f t="shared" si="17"/>
        <v>253.42000000000002</v>
      </c>
      <c r="K319" s="115">
        <f t="shared" si="18"/>
        <v>58.11</v>
      </c>
      <c r="L319" s="115">
        <f t="shared" si="19"/>
        <v>195.31</v>
      </c>
      <c r="M319" s="115">
        <f t="shared" si="20"/>
        <v>19727.270000000415</v>
      </c>
      <c r="N319" s="115">
        <v>0</v>
      </c>
      <c r="O319" s="115">
        <f t="shared" si="21"/>
        <v>253.42000000000002</v>
      </c>
    </row>
    <row r="320" spans="1:15" ht="14.25" customHeight="1" x14ac:dyDescent="0.35">
      <c r="A320" s="7">
        <v>284</v>
      </c>
      <c r="B320" s="98">
        <f t="shared" si="12"/>
        <v>324.95</v>
      </c>
      <c r="C320" s="98">
        <f t="shared" si="13"/>
        <v>82.8</v>
      </c>
      <c r="D320" s="98">
        <f t="shared" si="14"/>
        <v>242.14999999999998</v>
      </c>
      <c r="E320" s="98">
        <f t="shared" si="15"/>
        <v>28147.869999999955</v>
      </c>
      <c r="F320" s="115">
        <v>0</v>
      </c>
      <c r="G320" s="115">
        <f t="shared" si="16"/>
        <v>324.95</v>
      </c>
      <c r="I320" s="38">
        <v>284</v>
      </c>
      <c r="J320" s="115">
        <f t="shared" si="17"/>
        <v>252.85</v>
      </c>
      <c r="K320" s="115">
        <f t="shared" si="18"/>
        <v>57.54</v>
      </c>
      <c r="L320" s="115">
        <f t="shared" si="19"/>
        <v>195.31</v>
      </c>
      <c r="M320" s="115">
        <f t="shared" si="20"/>
        <v>19531.960000000414</v>
      </c>
      <c r="N320" s="115">
        <v>0</v>
      </c>
      <c r="O320" s="115">
        <f t="shared" si="21"/>
        <v>252.85</v>
      </c>
    </row>
    <row r="321" spans="1:15" ht="14.25" customHeight="1" x14ac:dyDescent="0.35">
      <c r="A321" s="7">
        <v>285</v>
      </c>
      <c r="B321" s="98">
        <f t="shared" si="12"/>
        <v>324.95</v>
      </c>
      <c r="C321" s="98">
        <f t="shared" si="13"/>
        <v>82.1</v>
      </c>
      <c r="D321" s="98">
        <f t="shared" si="14"/>
        <v>242.85</v>
      </c>
      <c r="E321" s="98">
        <f t="shared" si="15"/>
        <v>27905.019999999957</v>
      </c>
      <c r="F321" s="115">
        <v>0</v>
      </c>
      <c r="G321" s="115">
        <f t="shared" si="16"/>
        <v>324.95</v>
      </c>
      <c r="I321" s="38">
        <v>285</v>
      </c>
      <c r="J321" s="115">
        <f t="shared" si="17"/>
        <v>252.28</v>
      </c>
      <c r="K321" s="115">
        <f t="shared" si="18"/>
        <v>56.97</v>
      </c>
      <c r="L321" s="115">
        <f t="shared" si="19"/>
        <v>195.31</v>
      </c>
      <c r="M321" s="115">
        <f t="shared" si="20"/>
        <v>19336.650000000413</v>
      </c>
      <c r="N321" s="115">
        <v>0</v>
      </c>
      <c r="O321" s="115">
        <f t="shared" si="21"/>
        <v>252.28</v>
      </c>
    </row>
    <row r="322" spans="1:15" ht="14.25" customHeight="1" x14ac:dyDescent="0.35">
      <c r="A322" s="7">
        <v>286</v>
      </c>
      <c r="B322" s="98">
        <f t="shared" si="12"/>
        <v>324.95</v>
      </c>
      <c r="C322" s="98">
        <f t="shared" si="13"/>
        <v>81.39</v>
      </c>
      <c r="D322" s="98">
        <f t="shared" si="14"/>
        <v>243.56</v>
      </c>
      <c r="E322" s="98">
        <f t="shared" si="15"/>
        <v>27661.459999999955</v>
      </c>
      <c r="F322" s="115">
        <v>0</v>
      </c>
      <c r="G322" s="115">
        <f t="shared" si="16"/>
        <v>324.95</v>
      </c>
      <c r="I322" s="38">
        <v>286</v>
      </c>
      <c r="J322" s="115">
        <f t="shared" si="17"/>
        <v>251.71</v>
      </c>
      <c r="K322" s="115">
        <f t="shared" si="18"/>
        <v>56.4</v>
      </c>
      <c r="L322" s="115">
        <f t="shared" si="19"/>
        <v>195.31</v>
      </c>
      <c r="M322" s="115">
        <f t="shared" si="20"/>
        <v>19141.340000000411</v>
      </c>
      <c r="N322" s="115">
        <v>0</v>
      </c>
      <c r="O322" s="115">
        <f t="shared" si="21"/>
        <v>251.71</v>
      </c>
    </row>
    <row r="323" spans="1:15" ht="14.25" customHeight="1" x14ac:dyDescent="0.35">
      <c r="A323" s="7">
        <v>287</v>
      </c>
      <c r="B323" s="98">
        <f t="shared" si="12"/>
        <v>324.95</v>
      </c>
      <c r="C323" s="98">
        <f t="shared" si="13"/>
        <v>80.680000000000007</v>
      </c>
      <c r="D323" s="98">
        <f t="shared" si="14"/>
        <v>244.26999999999998</v>
      </c>
      <c r="E323" s="98">
        <f t="shared" si="15"/>
        <v>27417.189999999955</v>
      </c>
      <c r="F323" s="115">
        <v>0</v>
      </c>
      <c r="G323" s="115">
        <f t="shared" si="16"/>
        <v>324.95</v>
      </c>
      <c r="I323" s="38">
        <v>287</v>
      </c>
      <c r="J323" s="115">
        <f t="shared" si="17"/>
        <v>251.14</v>
      </c>
      <c r="K323" s="115">
        <f t="shared" si="18"/>
        <v>55.83</v>
      </c>
      <c r="L323" s="115">
        <f t="shared" si="19"/>
        <v>195.31</v>
      </c>
      <c r="M323" s="115">
        <f t="shared" si="20"/>
        <v>18946.03000000041</v>
      </c>
      <c r="N323" s="115">
        <v>0</v>
      </c>
      <c r="O323" s="115">
        <f t="shared" si="21"/>
        <v>251.14</v>
      </c>
    </row>
    <row r="324" spans="1:15" ht="14.25" customHeight="1" x14ac:dyDescent="0.35">
      <c r="A324" s="7">
        <v>288</v>
      </c>
      <c r="B324" s="98">
        <f t="shared" si="12"/>
        <v>324.95</v>
      </c>
      <c r="C324" s="98">
        <f t="shared" si="13"/>
        <v>79.97</v>
      </c>
      <c r="D324" s="98">
        <f t="shared" si="14"/>
        <v>244.98</v>
      </c>
      <c r="E324" s="98">
        <f t="shared" si="15"/>
        <v>27172.209999999955</v>
      </c>
      <c r="F324" s="115">
        <v>0</v>
      </c>
      <c r="G324" s="115">
        <f t="shared" si="16"/>
        <v>324.95</v>
      </c>
      <c r="I324" s="38">
        <v>288</v>
      </c>
      <c r="J324" s="115">
        <f t="shared" si="17"/>
        <v>250.57</v>
      </c>
      <c r="K324" s="115">
        <f t="shared" si="18"/>
        <v>55.26</v>
      </c>
      <c r="L324" s="115">
        <f t="shared" si="19"/>
        <v>195.31</v>
      </c>
      <c r="M324" s="115">
        <f t="shared" si="20"/>
        <v>18750.720000000409</v>
      </c>
      <c r="N324" s="115">
        <v>0</v>
      </c>
      <c r="O324" s="115">
        <f t="shared" si="21"/>
        <v>250.57</v>
      </c>
    </row>
    <row r="325" spans="1:15" ht="14.25" customHeight="1" x14ac:dyDescent="0.35">
      <c r="A325" s="7">
        <v>289</v>
      </c>
      <c r="B325" s="98">
        <f t="shared" si="12"/>
        <v>324.95</v>
      </c>
      <c r="C325" s="98">
        <f t="shared" si="13"/>
        <v>79.25</v>
      </c>
      <c r="D325" s="98">
        <f t="shared" si="14"/>
        <v>245.7</v>
      </c>
      <c r="E325" s="98">
        <f t="shared" si="15"/>
        <v>26926.509999999955</v>
      </c>
      <c r="F325" s="115">
        <v>0</v>
      </c>
      <c r="G325" s="115">
        <f t="shared" si="16"/>
        <v>324.95</v>
      </c>
      <c r="I325" s="38">
        <v>289</v>
      </c>
      <c r="J325" s="115">
        <f t="shared" si="17"/>
        <v>250</v>
      </c>
      <c r="K325" s="115">
        <f t="shared" si="18"/>
        <v>54.69</v>
      </c>
      <c r="L325" s="115">
        <f t="shared" si="19"/>
        <v>195.31</v>
      </c>
      <c r="M325" s="115">
        <f t="shared" si="20"/>
        <v>18555.410000000407</v>
      </c>
      <c r="N325" s="115">
        <v>0</v>
      </c>
      <c r="O325" s="115">
        <f t="shared" si="21"/>
        <v>250</v>
      </c>
    </row>
    <row r="326" spans="1:15" ht="14.25" customHeight="1" x14ac:dyDescent="0.35">
      <c r="A326" s="7">
        <v>290</v>
      </c>
      <c r="B326" s="98">
        <f t="shared" si="12"/>
        <v>324.95</v>
      </c>
      <c r="C326" s="98">
        <f t="shared" si="13"/>
        <v>78.540000000000006</v>
      </c>
      <c r="D326" s="98">
        <f t="shared" si="14"/>
        <v>246.40999999999997</v>
      </c>
      <c r="E326" s="98">
        <f t="shared" si="15"/>
        <v>26680.099999999955</v>
      </c>
      <c r="F326" s="115">
        <v>0</v>
      </c>
      <c r="G326" s="115">
        <f t="shared" si="16"/>
        <v>324.95</v>
      </c>
      <c r="I326" s="38">
        <v>290</v>
      </c>
      <c r="J326" s="115">
        <f t="shared" si="17"/>
        <v>249.43</v>
      </c>
      <c r="K326" s="115">
        <f t="shared" si="18"/>
        <v>54.12</v>
      </c>
      <c r="L326" s="115">
        <f t="shared" si="19"/>
        <v>195.31</v>
      </c>
      <c r="M326" s="115">
        <f t="shared" si="20"/>
        <v>18360.100000000406</v>
      </c>
      <c r="N326" s="115">
        <v>0</v>
      </c>
      <c r="O326" s="115">
        <f t="shared" si="21"/>
        <v>249.43</v>
      </c>
    </row>
    <row r="327" spans="1:15" ht="14.25" customHeight="1" x14ac:dyDescent="0.35">
      <c r="A327" s="7">
        <v>291</v>
      </c>
      <c r="B327" s="98">
        <f t="shared" si="12"/>
        <v>324.95</v>
      </c>
      <c r="C327" s="98">
        <f t="shared" si="13"/>
        <v>77.819999999999993</v>
      </c>
      <c r="D327" s="98">
        <f t="shared" si="14"/>
        <v>247.13</v>
      </c>
      <c r="E327" s="98">
        <f t="shared" si="15"/>
        <v>26432.969999999954</v>
      </c>
      <c r="F327" s="115">
        <v>0</v>
      </c>
      <c r="G327" s="115">
        <f t="shared" si="16"/>
        <v>324.95</v>
      </c>
      <c r="I327" s="38">
        <v>291</v>
      </c>
      <c r="J327" s="115">
        <f t="shared" si="17"/>
        <v>248.86</v>
      </c>
      <c r="K327" s="115">
        <f t="shared" si="18"/>
        <v>53.55</v>
      </c>
      <c r="L327" s="115">
        <f t="shared" si="19"/>
        <v>195.31</v>
      </c>
      <c r="M327" s="115">
        <f t="shared" si="20"/>
        <v>18164.790000000405</v>
      </c>
      <c r="N327" s="115">
        <v>0</v>
      </c>
      <c r="O327" s="115">
        <f t="shared" si="21"/>
        <v>248.86</v>
      </c>
    </row>
    <row r="328" spans="1:15" ht="14.25" customHeight="1" x14ac:dyDescent="0.35">
      <c r="A328" s="7">
        <v>292</v>
      </c>
      <c r="B328" s="98">
        <f t="shared" si="12"/>
        <v>324.95</v>
      </c>
      <c r="C328" s="98">
        <f t="shared" si="13"/>
        <v>77.099999999999994</v>
      </c>
      <c r="D328" s="98">
        <f t="shared" si="14"/>
        <v>247.85</v>
      </c>
      <c r="E328" s="98">
        <f t="shared" si="15"/>
        <v>26185.119999999955</v>
      </c>
      <c r="F328" s="115">
        <v>0</v>
      </c>
      <c r="G328" s="115">
        <f t="shared" si="16"/>
        <v>324.95</v>
      </c>
      <c r="I328" s="38">
        <v>292</v>
      </c>
      <c r="J328" s="115">
        <f t="shared" si="17"/>
        <v>248.29</v>
      </c>
      <c r="K328" s="115">
        <f t="shared" si="18"/>
        <v>52.98</v>
      </c>
      <c r="L328" s="115">
        <f t="shared" si="19"/>
        <v>195.31</v>
      </c>
      <c r="M328" s="115">
        <f t="shared" si="20"/>
        <v>17969.480000000403</v>
      </c>
      <c r="N328" s="115">
        <v>0</v>
      </c>
      <c r="O328" s="115">
        <f t="shared" si="21"/>
        <v>248.29</v>
      </c>
    </row>
    <row r="329" spans="1:15" ht="14.25" customHeight="1" x14ac:dyDescent="0.35">
      <c r="A329" s="7">
        <v>293</v>
      </c>
      <c r="B329" s="98">
        <f t="shared" si="12"/>
        <v>324.95</v>
      </c>
      <c r="C329" s="98">
        <f t="shared" si="13"/>
        <v>76.37</v>
      </c>
      <c r="D329" s="98">
        <f t="shared" si="14"/>
        <v>248.57999999999998</v>
      </c>
      <c r="E329" s="98">
        <f t="shared" si="15"/>
        <v>25936.539999999954</v>
      </c>
      <c r="F329" s="115">
        <v>0</v>
      </c>
      <c r="G329" s="115">
        <f t="shared" si="16"/>
        <v>324.95</v>
      </c>
      <c r="I329" s="38">
        <v>293</v>
      </c>
      <c r="J329" s="115">
        <f t="shared" si="17"/>
        <v>247.72</v>
      </c>
      <c r="K329" s="115">
        <f t="shared" si="18"/>
        <v>52.41</v>
      </c>
      <c r="L329" s="115">
        <f t="shared" si="19"/>
        <v>195.31</v>
      </c>
      <c r="M329" s="115">
        <f t="shared" si="20"/>
        <v>17774.170000000402</v>
      </c>
      <c r="N329" s="115">
        <v>0</v>
      </c>
      <c r="O329" s="115">
        <f t="shared" si="21"/>
        <v>247.72</v>
      </c>
    </row>
    <row r="330" spans="1:15" ht="14.25" customHeight="1" x14ac:dyDescent="0.35">
      <c r="A330" s="7">
        <v>294</v>
      </c>
      <c r="B330" s="98">
        <f t="shared" si="12"/>
        <v>324.95</v>
      </c>
      <c r="C330" s="98">
        <f t="shared" si="13"/>
        <v>75.650000000000006</v>
      </c>
      <c r="D330" s="98">
        <f t="shared" si="14"/>
        <v>249.29999999999998</v>
      </c>
      <c r="E330" s="98">
        <f t="shared" si="15"/>
        <v>25687.239999999954</v>
      </c>
      <c r="F330" s="115">
        <v>0</v>
      </c>
      <c r="G330" s="115">
        <f t="shared" si="16"/>
        <v>324.95</v>
      </c>
      <c r="I330" s="38">
        <v>294</v>
      </c>
      <c r="J330" s="115">
        <f t="shared" si="17"/>
        <v>247.15</v>
      </c>
      <c r="K330" s="115">
        <f t="shared" si="18"/>
        <v>51.84</v>
      </c>
      <c r="L330" s="115">
        <f t="shared" si="19"/>
        <v>195.31</v>
      </c>
      <c r="M330" s="115">
        <f t="shared" si="20"/>
        <v>17578.860000000401</v>
      </c>
      <c r="N330" s="115">
        <v>0</v>
      </c>
      <c r="O330" s="115">
        <f t="shared" si="21"/>
        <v>247.15</v>
      </c>
    </row>
    <row r="331" spans="1:15" ht="14.25" customHeight="1" x14ac:dyDescent="0.35">
      <c r="A331" s="7">
        <v>295</v>
      </c>
      <c r="B331" s="98">
        <f t="shared" si="12"/>
        <v>324.95</v>
      </c>
      <c r="C331" s="98">
        <f t="shared" si="13"/>
        <v>74.92</v>
      </c>
      <c r="D331" s="98">
        <f t="shared" si="14"/>
        <v>250.02999999999997</v>
      </c>
      <c r="E331" s="98">
        <f t="shared" si="15"/>
        <v>25437.209999999955</v>
      </c>
      <c r="F331" s="115">
        <v>0</v>
      </c>
      <c r="G331" s="115">
        <f t="shared" si="16"/>
        <v>324.95</v>
      </c>
      <c r="I331" s="38">
        <v>295</v>
      </c>
      <c r="J331" s="115">
        <f t="shared" si="17"/>
        <v>246.58</v>
      </c>
      <c r="K331" s="115">
        <f t="shared" si="18"/>
        <v>51.27</v>
      </c>
      <c r="L331" s="115">
        <f t="shared" si="19"/>
        <v>195.31</v>
      </c>
      <c r="M331" s="115">
        <f t="shared" si="20"/>
        <v>17383.550000000399</v>
      </c>
      <c r="N331" s="115">
        <v>0</v>
      </c>
      <c r="O331" s="115">
        <f t="shared" si="21"/>
        <v>246.58</v>
      </c>
    </row>
    <row r="332" spans="1:15" ht="14.25" customHeight="1" x14ac:dyDescent="0.35">
      <c r="A332" s="7">
        <v>296</v>
      </c>
      <c r="B332" s="98">
        <f t="shared" si="12"/>
        <v>324.95</v>
      </c>
      <c r="C332" s="98">
        <f t="shared" si="13"/>
        <v>74.19</v>
      </c>
      <c r="D332" s="98">
        <f t="shared" si="14"/>
        <v>250.76</v>
      </c>
      <c r="E332" s="98">
        <f t="shared" si="15"/>
        <v>25186.449999999957</v>
      </c>
      <c r="F332" s="115">
        <v>0</v>
      </c>
      <c r="G332" s="115">
        <f t="shared" si="16"/>
        <v>324.95</v>
      </c>
      <c r="I332" s="38">
        <v>296</v>
      </c>
      <c r="J332" s="115">
        <f t="shared" si="17"/>
        <v>246.01</v>
      </c>
      <c r="K332" s="115">
        <f t="shared" si="18"/>
        <v>50.7</v>
      </c>
      <c r="L332" s="115">
        <f t="shared" si="19"/>
        <v>195.31</v>
      </c>
      <c r="M332" s="115">
        <f t="shared" si="20"/>
        <v>17188.240000000398</v>
      </c>
      <c r="N332" s="115">
        <v>0</v>
      </c>
      <c r="O332" s="115">
        <f t="shared" si="21"/>
        <v>246.01</v>
      </c>
    </row>
    <row r="333" spans="1:15" ht="14.25" customHeight="1" x14ac:dyDescent="0.35">
      <c r="A333" s="7">
        <v>297</v>
      </c>
      <c r="B333" s="98">
        <f t="shared" si="12"/>
        <v>324.95</v>
      </c>
      <c r="C333" s="98">
        <f t="shared" si="13"/>
        <v>73.459999999999994</v>
      </c>
      <c r="D333" s="98">
        <f t="shared" si="14"/>
        <v>251.49</v>
      </c>
      <c r="E333" s="98">
        <f t="shared" si="15"/>
        <v>24934.959999999955</v>
      </c>
      <c r="F333" s="115">
        <v>0</v>
      </c>
      <c r="G333" s="115">
        <f t="shared" si="16"/>
        <v>324.95</v>
      </c>
      <c r="I333" s="38">
        <v>297</v>
      </c>
      <c r="J333" s="115">
        <f t="shared" si="17"/>
        <v>245.44</v>
      </c>
      <c r="K333" s="115">
        <f t="shared" si="18"/>
        <v>50.13</v>
      </c>
      <c r="L333" s="115">
        <f t="shared" si="19"/>
        <v>195.31</v>
      </c>
      <c r="M333" s="115">
        <f t="shared" si="20"/>
        <v>16992.930000000397</v>
      </c>
      <c r="N333" s="115">
        <v>0</v>
      </c>
      <c r="O333" s="115">
        <f t="shared" si="21"/>
        <v>245.44</v>
      </c>
    </row>
    <row r="334" spans="1:15" ht="14.25" customHeight="1" x14ac:dyDescent="0.35">
      <c r="A334" s="7">
        <v>298</v>
      </c>
      <c r="B334" s="98">
        <f t="shared" si="12"/>
        <v>324.95</v>
      </c>
      <c r="C334" s="98">
        <f t="shared" si="13"/>
        <v>72.73</v>
      </c>
      <c r="D334" s="98">
        <f t="shared" si="14"/>
        <v>252.21999999999997</v>
      </c>
      <c r="E334" s="98">
        <f t="shared" si="15"/>
        <v>24682.739999999954</v>
      </c>
      <c r="F334" s="115">
        <v>0</v>
      </c>
      <c r="G334" s="115">
        <f t="shared" si="16"/>
        <v>324.95</v>
      </c>
      <c r="I334" s="38">
        <v>298</v>
      </c>
      <c r="J334" s="115">
        <f t="shared" si="17"/>
        <v>244.87</v>
      </c>
      <c r="K334" s="115">
        <f t="shared" si="18"/>
        <v>49.56</v>
      </c>
      <c r="L334" s="115">
        <f t="shared" si="19"/>
        <v>195.31</v>
      </c>
      <c r="M334" s="115">
        <f t="shared" si="20"/>
        <v>16797.620000000396</v>
      </c>
      <c r="N334" s="115">
        <v>0</v>
      </c>
      <c r="O334" s="115">
        <f t="shared" si="21"/>
        <v>244.87</v>
      </c>
    </row>
    <row r="335" spans="1:15" ht="14.25" customHeight="1" x14ac:dyDescent="0.35">
      <c r="A335" s="7">
        <v>299</v>
      </c>
      <c r="B335" s="98">
        <f t="shared" si="12"/>
        <v>324.95</v>
      </c>
      <c r="C335" s="98">
        <f t="shared" si="13"/>
        <v>71.989999999999995</v>
      </c>
      <c r="D335" s="98">
        <f t="shared" si="14"/>
        <v>252.95999999999998</v>
      </c>
      <c r="E335" s="98">
        <f t="shared" si="15"/>
        <v>24429.779999999955</v>
      </c>
      <c r="F335" s="115">
        <v>0</v>
      </c>
      <c r="G335" s="115">
        <f t="shared" si="16"/>
        <v>324.95</v>
      </c>
      <c r="I335" s="38">
        <v>299</v>
      </c>
      <c r="J335" s="115">
        <f t="shared" si="17"/>
        <v>244.3</v>
      </c>
      <c r="K335" s="115">
        <f t="shared" si="18"/>
        <v>48.99</v>
      </c>
      <c r="L335" s="115">
        <f t="shared" si="19"/>
        <v>195.31</v>
      </c>
      <c r="M335" s="115">
        <f t="shared" si="20"/>
        <v>16602.310000000394</v>
      </c>
      <c r="N335" s="115">
        <v>0</v>
      </c>
      <c r="O335" s="115">
        <f t="shared" si="21"/>
        <v>244.3</v>
      </c>
    </row>
    <row r="336" spans="1:15" ht="14.25" customHeight="1" x14ac:dyDescent="0.35">
      <c r="A336" s="7">
        <v>300</v>
      </c>
      <c r="B336" s="98">
        <f t="shared" si="12"/>
        <v>324.95</v>
      </c>
      <c r="C336" s="98">
        <f t="shared" si="13"/>
        <v>71.25</v>
      </c>
      <c r="D336" s="98">
        <f t="shared" si="14"/>
        <v>253.7</v>
      </c>
      <c r="E336" s="98">
        <f t="shared" si="15"/>
        <v>24176.079999999954</v>
      </c>
      <c r="F336" s="115">
        <v>0</v>
      </c>
      <c r="G336" s="115">
        <f t="shared" si="16"/>
        <v>324.95</v>
      </c>
      <c r="I336" s="38">
        <v>300</v>
      </c>
      <c r="J336" s="115">
        <f t="shared" si="17"/>
        <v>243.73000000000002</v>
      </c>
      <c r="K336" s="115">
        <f t="shared" si="18"/>
        <v>48.42</v>
      </c>
      <c r="L336" s="115">
        <f t="shared" si="19"/>
        <v>195.31</v>
      </c>
      <c r="M336" s="115">
        <f t="shared" si="20"/>
        <v>16407.000000000393</v>
      </c>
      <c r="N336" s="115">
        <v>0</v>
      </c>
      <c r="O336" s="115">
        <f t="shared" si="21"/>
        <v>243.73000000000002</v>
      </c>
    </row>
    <row r="337" spans="1:15" ht="14.25" customHeight="1" x14ac:dyDescent="0.35">
      <c r="A337" s="7">
        <v>301</v>
      </c>
      <c r="B337" s="98">
        <f t="shared" si="12"/>
        <v>324.95</v>
      </c>
      <c r="C337" s="98">
        <f t="shared" si="13"/>
        <v>70.510000000000005</v>
      </c>
      <c r="D337" s="98">
        <f t="shared" si="14"/>
        <v>254.44</v>
      </c>
      <c r="E337" s="98">
        <f t="shared" si="15"/>
        <v>23921.639999999956</v>
      </c>
      <c r="F337" s="115">
        <v>0</v>
      </c>
      <c r="G337" s="115">
        <f t="shared" si="16"/>
        <v>324.95</v>
      </c>
      <c r="I337" s="38">
        <v>301</v>
      </c>
      <c r="J337" s="115">
        <f t="shared" si="17"/>
        <v>243.16</v>
      </c>
      <c r="K337" s="115">
        <f t="shared" si="18"/>
        <v>47.85</v>
      </c>
      <c r="L337" s="115">
        <f t="shared" si="19"/>
        <v>195.31</v>
      </c>
      <c r="M337" s="115">
        <f t="shared" si="20"/>
        <v>16211.690000000393</v>
      </c>
      <c r="N337" s="115">
        <v>0</v>
      </c>
      <c r="O337" s="115">
        <f t="shared" si="21"/>
        <v>243.16</v>
      </c>
    </row>
    <row r="338" spans="1:15" ht="14.25" customHeight="1" x14ac:dyDescent="0.35">
      <c r="A338" s="7">
        <v>302</v>
      </c>
      <c r="B338" s="98">
        <f t="shared" si="12"/>
        <v>324.95</v>
      </c>
      <c r="C338" s="98">
        <f t="shared" si="13"/>
        <v>69.77</v>
      </c>
      <c r="D338" s="98">
        <f t="shared" si="14"/>
        <v>255.18</v>
      </c>
      <c r="E338" s="98">
        <f t="shared" si="15"/>
        <v>23666.459999999955</v>
      </c>
      <c r="F338" s="115">
        <v>0</v>
      </c>
      <c r="G338" s="115">
        <f t="shared" si="16"/>
        <v>324.95</v>
      </c>
      <c r="I338" s="38">
        <v>302</v>
      </c>
      <c r="J338" s="115">
        <f t="shared" si="17"/>
        <v>242.59</v>
      </c>
      <c r="K338" s="115">
        <f t="shared" si="18"/>
        <v>47.28</v>
      </c>
      <c r="L338" s="115">
        <f t="shared" si="19"/>
        <v>195.31</v>
      </c>
      <c r="M338" s="115">
        <f t="shared" si="20"/>
        <v>16016.380000000394</v>
      </c>
      <c r="N338" s="115">
        <v>0</v>
      </c>
      <c r="O338" s="115">
        <f t="shared" si="21"/>
        <v>242.59</v>
      </c>
    </row>
    <row r="339" spans="1:15" ht="14.25" customHeight="1" x14ac:dyDescent="0.35">
      <c r="A339" s="7">
        <v>303</v>
      </c>
      <c r="B339" s="98">
        <f t="shared" si="12"/>
        <v>324.95</v>
      </c>
      <c r="C339" s="98">
        <f t="shared" si="13"/>
        <v>69.03</v>
      </c>
      <c r="D339" s="98">
        <f t="shared" si="14"/>
        <v>255.92</v>
      </c>
      <c r="E339" s="98">
        <f t="shared" si="15"/>
        <v>23410.539999999957</v>
      </c>
      <c r="F339" s="115">
        <v>0</v>
      </c>
      <c r="G339" s="115">
        <f t="shared" si="16"/>
        <v>324.95</v>
      </c>
      <c r="I339" s="38">
        <v>303</v>
      </c>
      <c r="J339" s="115">
        <f t="shared" si="17"/>
        <v>242.02</v>
      </c>
      <c r="K339" s="115">
        <f t="shared" si="18"/>
        <v>46.71</v>
      </c>
      <c r="L339" s="115">
        <f t="shared" si="19"/>
        <v>195.31</v>
      </c>
      <c r="M339" s="115">
        <f t="shared" si="20"/>
        <v>15821.070000000394</v>
      </c>
      <c r="N339" s="115">
        <v>0</v>
      </c>
      <c r="O339" s="115">
        <f t="shared" si="21"/>
        <v>242.02</v>
      </c>
    </row>
    <row r="340" spans="1:15" ht="14.25" customHeight="1" x14ac:dyDescent="0.35">
      <c r="A340" s="7">
        <v>304</v>
      </c>
      <c r="B340" s="98">
        <f t="shared" si="12"/>
        <v>324.95</v>
      </c>
      <c r="C340" s="98">
        <f t="shared" si="13"/>
        <v>68.28</v>
      </c>
      <c r="D340" s="98">
        <f t="shared" si="14"/>
        <v>256.66999999999996</v>
      </c>
      <c r="E340" s="98">
        <f t="shared" si="15"/>
        <v>23153.869999999959</v>
      </c>
      <c r="F340" s="115">
        <v>0</v>
      </c>
      <c r="G340" s="115">
        <f t="shared" si="16"/>
        <v>324.95</v>
      </c>
      <c r="I340" s="38">
        <v>304</v>
      </c>
      <c r="J340" s="115">
        <f t="shared" si="17"/>
        <v>241.45</v>
      </c>
      <c r="K340" s="115">
        <f t="shared" si="18"/>
        <v>46.14</v>
      </c>
      <c r="L340" s="115">
        <f t="shared" si="19"/>
        <v>195.31</v>
      </c>
      <c r="M340" s="115">
        <f t="shared" si="20"/>
        <v>15625.760000000395</v>
      </c>
      <c r="N340" s="115">
        <v>0</v>
      </c>
      <c r="O340" s="115">
        <f t="shared" si="21"/>
        <v>241.45</v>
      </c>
    </row>
    <row r="341" spans="1:15" ht="14.25" customHeight="1" x14ac:dyDescent="0.35">
      <c r="A341" s="7">
        <v>305</v>
      </c>
      <c r="B341" s="98">
        <f t="shared" si="12"/>
        <v>324.95</v>
      </c>
      <c r="C341" s="98">
        <f t="shared" si="13"/>
        <v>67.53</v>
      </c>
      <c r="D341" s="98">
        <f t="shared" si="14"/>
        <v>257.41999999999996</v>
      </c>
      <c r="E341" s="98">
        <f t="shared" si="15"/>
        <v>22896.449999999961</v>
      </c>
      <c r="F341" s="115">
        <v>0</v>
      </c>
      <c r="G341" s="115">
        <f t="shared" si="16"/>
        <v>324.95</v>
      </c>
      <c r="I341" s="38">
        <v>305</v>
      </c>
      <c r="J341" s="115">
        <f t="shared" si="17"/>
        <v>240.89</v>
      </c>
      <c r="K341" s="115">
        <f t="shared" si="18"/>
        <v>45.58</v>
      </c>
      <c r="L341" s="115">
        <f t="shared" si="19"/>
        <v>195.31</v>
      </c>
      <c r="M341" s="115">
        <f t="shared" si="20"/>
        <v>15430.450000000395</v>
      </c>
      <c r="N341" s="115">
        <v>0</v>
      </c>
      <c r="O341" s="115">
        <f t="shared" si="21"/>
        <v>240.89</v>
      </c>
    </row>
    <row r="342" spans="1:15" ht="14.25" customHeight="1" x14ac:dyDescent="0.35">
      <c r="A342" s="7">
        <v>306</v>
      </c>
      <c r="B342" s="98">
        <f t="shared" si="12"/>
        <v>324.95</v>
      </c>
      <c r="C342" s="98">
        <f t="shared" si="13"/>
        <v>66.78</v>
      </c>
      <c r="D342" s="98">
        <f t="shared" si="14"/>
        <v>258.16999999999996</v>
      </c>
      <c r="E342" s="98">
        <f t="shared" si="15"/>
        <v>22638.279999999962</v>
      </c>
      <c r="F342" s="115">
        <v>0</v>
      </c>
      <c r="G342" s="115">
        <f t="shared" si="16"/>
        <v>324.95</v>
      </c>
      <c r="I342" s="38">
        <v>306</v>
      </c>
      <c r="J342" s="115">
        <f t="shared" si="17"/>
        <v>240.32</v>
      </c>
      <c r="K342" s="115">
        <f t="shared" si="18"/>
        <v>45.01</v>
      </c>
      <c r="L342" s="115">
        <f t="shared" si="19"/>
        <v>195.31</v>
      </c>
      <c r="M342" s="115">
        <f t="shared" si="20"/>
        <v>15235.140000000396</v>
      </c>
      <c r="N342" s="115">
        <v>0</v>
      </c>
      <c r="O342" s="115">
        <f t="shared" si="21"/>
        <v>240.32</v>
      </c>
    </row>
    <row r="343" spans="1:15" ht="14.25" customHeight="1" x14ac:dyDescent="0.35">
      <c r="A343" s="7">
        <v>307</v>
      </c>
      <c r="B343" s="98">
        <f t="shared" si="12"/>
        <v>324.95</v>
      </c>
      <c r="C343" s="98">
        <f t="shared" si="13"/>
        <v>66.03</v>
      </c>
      <c r="D343" s="98">
        <f t="shared" si="14"/>
        <v>258.91999999999996</v>
      </c>
      <c r="E343" s="98">
        <f t="shared" si="15"/>
        <v>22379.359999999964</v>
      </c>
      <c r="F343" s="115">
        <v>0</v>
      </c>
      <c r="G343" s="115">
        <f t="shared" si="16"/>
        <v>324.95</v>
      </c>
      <c r="I343" s="38">
        <v>307</v>
      </c>
      <c r="J343" s="115">
        <f t="shared" si="17"/>
        <v>239.75</v>
      </c>
      <c r="K343" s="115">
        <f t="shared" si="18"/>
        <v>44.44</v>
      </c>
      <c r="L343" s="115">
        <f t="shared" si="19"/>
        <v>195.31</v>
      </c>
      <c r="M343" s="115">
        <f t="shared" si="20"/>
        <v>15039.830000000396</v>
      </c>
      <c r="N343" s="115">
        <v>0</v>
      </c>
      <c r="O343" s="115">
        <f t="shared" si="21"/>
        <v>239.75</v>
      </c>
    </row>
    <row r="344" spans="1:15" ht="14.25" customHeight="1" x14ac:dyDescent="0.35">
      <c r="A344" s="7">
        <v>308</v>
      </c>
      <c r="B344" s="98">
        <f t="shared" si="12"/>
        <v>324.95</v>
      </c>
      <c r="C344" s="98">
        <f t="shared" si="13"/>
        <v>65.27</v>
      </c>
      <c r="D344" s="98">
        <f t="shared" si="14"/>
        <v>259.68</v>
      </c>
      <c r="E344" s="98">
        <f t="shared" si="15"/>
        <v>22119.679999999964</v>
      </c>
      <c r="F344" s="115">
        <v>0</v>
      </c>
      <c r="G344" s="115">
        <f t="shared" si="16"/>
        <v>324.95</v>
      </c>
      <c r="I344" s="38">
        <v>308</v>
      </c>
      <c r="J344" s="115">
        <f t="shared" si="17"/>
        <v>239.18</v>
      </c>
      <c r="K344" s="115">
        <f t="shared" si="18"/>
        <v>43.87</v>
      </c>
      <c r="L344" s="115">
        <f t="shared" si="19"/>
        <v>195.31</v>
      </c>
      <c r="M344" s="115">
        <f t="shared" si="20"/>
        <v>14844.520000000397</v>
      </c>
      <c r="N344" s="115">
        <v>0</v>
      </c>
      <c r="O344" s="115">
        <f t="shared" si="21"/>
        <v>239.18</v>
      </c>
    </row>
    <row r="345" spans="1:15" ht="14.25" customHeight="1" x14ac:dyDescent="0.35">
      <c r="A345" s="7">
        <v>309</v>
      </c>
      <c r="B345" s="98">
        <f t="shared" si="12"/>
        <v>324.95</v>
      </c>
      <c r="C345" s="98">
        <f t="shared" si="13"/>
        <v>64.52</v>
      </c>
      <c r="D345" s="98">
        <f t="shared" si="14"/>
        <v>260.43</v>
      </c>
      <c r="E345" s="98">
        <f t="shared" si="15"/>
        <v>21859.249999999964</v>
      </c>
      <c r="F345" s="115">
        <v>0</v>
      </c>
      <c r="G345" s="115">
        <f t="shared" si="16"/>
        <v>324.95</v>
      </c>
      <c r="I345" s="38">
        <v>309</v>
      </c>
      <c r="J345" s="115">
        <f t="shared" si="17"/>
        <v>238.61</v>
      </c>
      <c r="K345" s="115">
        <f t="shared" si="18"/>
        <v>43.3</v>
      </c>
      <c r="L345" s="115">
        <f t="shared" si="19"/>
        <v>195.31</v>
      </c>
      <c r="M345" s="115">
        <f t="shared" si="20"/>
        <v>14649.210000000397</v>
      </c>
      <c r="N345" s="115">
        <v>0</v>
      </c>
      <c r="O345" s="115">
        <f t="shared" si="21"/>
        <v>238.61</v>
      </c>
    </row>
    <row r="346" spans="1:15" ht="14.25" customHeight="1" x14ac:dyDescent="0.35">
      <c r="A346" s="7">
        <v>310</v>
      </c>
      <c r="B346" s="98">
        <f t="shared" si="12"/>
        <v>324.95</v>
      </c>
      <c r="C346" s="98">
        <f t="shared" si="13"/>
        <v>63.76</v>
      </c>
      <c r="D346" s="98">
        <f t="shared" si="14"/>
        <v>261.19</v>
      </c>
      <c r="E346" s="98">
        <f t="shared" si="15"/>
        <v>21598.059999999965</v>
      </c>
      <c r="F346" s="115">
        <v>0</v>
      </c>
      <c r="G346" s="115">
        <f t="shared" si="16"/>
        <v>324.95</v>
      </c>
      <c r="I346" s="38">
        <v>310</v>
      </c>
      <c r="J346" s="115">
        <f t="shared" si="17"/>
        <v>238.04</v>
      </c>
      <c r="K346" s="115">
        <f t="shared" si="18"/>
        <v>42.73</v>
      </c>
      <c r="L346" s="115">
        <f t="shared" si="19"/>
        <v>195.31</v>
      </c>
      <c r="M346" s="115">
        <f t="shared" si="20"/>
        <v>14453.900000000398</v>
      </c>
      <c r="N346" s="115">
        <v>0</v>
      </c>
      <c r="O346" s="115">
        <f t="shared" si="21"/>
        <v>238.04</v>
      </c>
    </row>
    <row r="347" spans="1:15" ht="14.25" customHeight="1" x14ac:dyDescent="0.35">
      <c r="A347" s="7">
        <v>311</v>
      </c>
      <c r="B347" s="98">
        <f t="shared" si="12"/>
        <v>324.95</v>
      </c>
      <c r="C347" s="98">
        <f t="shared" si="13"/>
        <v>62.99</v>
      </c>
      <c r="D347" s="98">
        <f t="shared" si="14"/>
        <v>261.95999999999998</v>
      </c>
      <c r="E347" s="98">
        <f t="shared" si="15"/>
        <v>21336.099999999966</v>
      </c>
      <c r="F347" s="115">
        <v>0</v>
      </c>
      <c r="G347" s="115">
        <f t="shared" si="16"/>
        <v>324.95</v>
      </c>
      <c r="I347" s="38">
        <v>311</v>
      </c>
      <c r="J347" s="115">
        <f t="shared" si="17"/>
        <v>237.47</v>
      </c>
      <c r="K347" s="115">
        <f t="shared" si="18"/>
        <v>42.16</v>
      </c>
      <c r="L347" s="115">
        <f t="shared" si="19"/>
        <v>195.31</v>
      </c>
      <c r="M347" s="115">
        <f t="shared" si="20"/>
        <v>14258.590000000399</v>
      </c>
      <c r="N347" s="115">
        <v>0</v>
      </c>
      <c r="O347" s="115">
        <f t="shared" si="21"/>
        <v>237.47</v>
      </c>
    </row>
    <row r="348" spans="1:15" ht="14.25" customHeight="1" x14ac:dyDescent="0.35">
      <c r="A348" s="7">
        <v>312</v>
      </c>
      <c r="B348" s="98">
        <f t="shared" si="12"/>
        <v>324.95</v>
      </c>
      <c r="C348" s="98">
        <f t="shared" si="13"/>
        <v>62.23</v>
      </c>
      <c r="D348" s="98">
        <f t="shared" si="14"/>
        <v>262.71999999999997</v>
      </c>
      <c r="E348" s="98">
        <f t="shared" si="15"/>
        <v>21073.379999999965</v>
      </c>
      <c r="F348" s="115">
        <v>0</v>
      </c>
      <c r="G348" s="115">
        <f t="shared" si="16"/>
        <v>324.95</v>
      </c>
      <c r="I348" s="38">
        <v>312</v>
      </c>
      <c r="J348" s="115">
        <f t="shared" si="17"/>
        <v>236.9</v>
      </c>
      <c r="K348" s="115">
        <f t="shared" si="18"/>
        <v>41.59</v>
      </c>
      <c r="L348" s="115">
        <f t="shared" si="19"/>
        <v>195.31</v>
      </c>
      <c r="M348" s="115">
        <f t="shared" si="20"/>
        <v>14063.280000000399</v>
      </c>
      <c r="N348" s="115">
        <v>0</v>
      </c>
      <c r="O348" s="115">
        <f t="shared" si="21"/>
        <v>236.9</v>
      </c>
    </row>
    <row r="349" spans="1:15" ht="14.25" customHeight="1" x14ac:dyDescent="0.35">
      <c r="A349" s="7">
        <v>313</v>
      </c>
      <c r="B349" s="98">
        <f t="shared" si="12"/>
        <v>324.95</v>
      </c>
      <c r="C349" s="98">
        <f t="shared" si="13"/>
        <v>61.46</v>
      </c>
      <c r="D349" s="98">
        <f t="shared" si="14"/>
        <v>263.49</v>
      </c>
      <c r="E349" s="98">
        <f t="shared" si="15"/>
        <v>20809.889999999963</v>
      </c>
      <c r="F349" s="115">
        <v>0</v>
      </c>
      <c r="G349" s="115">
        <f t="shared" si="16"/>
        <v>324.95</v>
      </c>
      <c r="I349" s="38">
        <v>313</v>
      </c>
      <c r="J349" s="115">
        <f t="shared" si="17"/>
        <v>236.33</v>
      </c>
      <c r="K349" s="115">
        <f t="shared" si="18"/>
        <v>41.02</v>
      </c>
      <c r="L349" s="115">
        <f t="shared" si="19"/>
        <v>195.31</v>
      </c>
      <c r="M349" s="115">
        <f t="shared" si="20"/>
        <v>13867.9700000004</v>
      </c>
      <c r="N349" s="115">
        <v>0</v>
      </c>
      <c r="O349" s="115">
        <f t="shared" si="21"/>
        <v>236.33</v>
      </c>
    </row>
    <row r="350" spans="1:15" ht="14.25" customHeight="1" x14ac:dyDescent="0.35">
      <c r="A350" s="7">
        <v>314</v>
      </c>
      <c r="B350" s="98">
        <f t="shared" si="12"/>
        <v>324.95</v>
      </c>
      <c r="C350" s="98">
        <f t="shared" si="13"/>
        <v>60.7</v>
      </c>
      <c r="D350" s="98">
        <f t="shared" si="14"/>
        <v>264.25</v>
      </c>
      <c r="E350" s="98">
        <f t="shared" si="15"/>
        <v>20545.639999999963</v>
      </c>
      <c r="F350" s="115">
        <v>0</v>
      </c>
      <c r="G350" s="115">
        <f t="shared" si="16"/>
        <v>324.95</v>
      </c>
      <c r="I350" s="38">
        <v>314</v>
      </c>
      <c r="J350" s="115">
        <f t="shared" si="17"/>
        <v>235.76</v>
      </c>
      <c r="K350" s="115">
        <f t="shared" si="18"/>
        <v>40.450000000000003</v>
      </c>
      <c r="L350" s="115">
        <f t="shared" si="19"/>
        <v>195.31</v>
      </c>
      <c r="M350" s="115">
        <f t="shared" si="20"/>
        <v>13672.6600000004</v>
      </c>
      <c r="N350" s="115">
        <v>0</v>
      </c>
      <c r="O350" s="115">
        <f t="shared" si="21"/>
        <v>235.76</v>
      </c>
    </row>
    <row r="351" spans="1:15" ht="14.25" customHeight="1" x14ac:dyDescent="0.35">
      <c r="A351" s="7">
        <v>315</v>
      </c>
      <c r="B351" s="98">
        <f t="shared" si="12"/>
        <v>324.95</v>
      </c>
      <c r="C351" s="98">
        <f t="shared" si="13"/>
        <v>59.92</v>
      </c>
      <c r="D351" s="98">
        <f t="shared" si="14"/>
        <v>265.02999999999997</v>
      </c>
      <c r="E351" s="98">
        <f t="shared" si="15"/>
        <v>20280.609999999964</v>
      </c>
      <c r="F351" s="115">
        <v>0</v>
      </c>
      <c r="G351" s="115">
        <f t="shared" si="16"/>
        <v>324.95</v>
      </c>
      <c r="I351" s="38">
        <v>315</v>
      </c>
      <c r="J351" s="115">
        <f t="shared" si="17"/>
        <v>235.19</v>
      </c>
      <c r="K351" s="115">
        <f t="shared" si="18"/>
        <v>39.880000000000003</v>
      </c>
      <c r="L351" s="115">
        <f t="shared" si="19"/>
        <v>195.31</v>
      </c>
      <c r="M351" s="115">
        <f t="shared" si="20"/>
        <v>13477.350000000401</v>
      </c>
      <c r="N351" s="115">
        <v>0</v>
      </c>
      <c r="O351" s="115">
        <f t="shared" si="21"/>
        <v>235.19</v>
      </c>
    </row>
    <row r="352" spans="1:15" ht="14.25" customHeight="1" x14ac:dyDescent="0.35">
      <c r="A352" s="7">
        <v>316</v>
      </c>
      <c r="B352" s="98">
        <f t="shared" si="12"/>
        <v>324.95</v>
      </c>
      <c r="C352" s="98">
        <f t="shared" si="13"/>
        <v>59.15</v>
      </c>
      <c r="D352" s="98">
        <f t="shared" si="14"/>
        <v>265.8</v>
      </c>
      <c r="E352" s="98">
        <f t="shared" si="15"/>
        <v>20014.809999999965</v>
      </c>
      <c r="F352" s="115">
        <v>0</v>
      </c>
      <c r="G352" s="115">
        <f t="shared" si="16"/>
        <v>324.95</v>
      </c>
      <c r="I352" s="38">
        <v>316</v>
      </c>
      <c r="J352" s="115">
        <f t="shared" si="17"/>
        <v>234.62</v>
      </c>
      <c r="K352" s="115">
        <f t="shared" si="18"/>
        <v>39.31</v>
      </c>
      <c r="L352" s="115">
        <f t="shared" si="19"/>
        <v>195.31</v>
      </c>
      <c r="M352" s="115">
        <f t="shared" si="20"/>
        <v>13282.040000000401</v>
      </c>
      <c r="N352" s="115">
        <v>0</v>
      </c>
      <c r="O352" s="115">
        <f t="shared" si="21"/>
        <v>234.62</v>
      </c>
    </row>
    <row r="353" spans="1:15" ht="14.25" customHeight="1" x14ac:dyDescent="0.35">
      <c r="A353" s="7">
        <v>317</v>
      </c>
      <c r="B353" s="98">
        <f t="shared" si="12"/>
        <v>324.95</v>
      </c>
      <c r="C353" s="98">
        <f t="shared" si="13"/>
        <v>58.38</v>
      </c>
      <c r="D353" s="98">
        <f t="shared" si="14"/>
        <v>266.57</v>
      </c>
      <c r="E353" s="98">
        <f t="shared" si="15"/>
        <v>19748.239999999965</v>
      </c>
      <c r="F353" s="115">
        <v>0</v>
      </c>
      <c r="G353" s="115">
        <f t="shared" si="16"/>
        <v>324.95</v>
      </c>
      <c r="I353" s="38">
        <v>317</v>
      </c>
      <c r="J353" s="115">
        <f t="shared" si="17"/>
        <v>234.05</v>
      </c>
      <c r="K353" s="115">
        <f t="shared" si="18"/>
        <v>38.74</v>
      </c>
      <c r="L353" s="115">
        <f t="shared" si="19"/>
        <v>195.31</v>
      </c>
      <c r="M353" s="115">
        <f t="shared" si="20"/>
        <v>13086.730000000402</v>
      </c>
      <c r="N353" s="115">
        <v>0</v>
      </c>
      <c r="O353" s="115">
        <f t="shared" si="21"/>
        <v>234.05</v>
      </c>
    </row>
    <row r="354" spans="1:15" ht="14.25" customHeight="1" x14ac:dyDescent="0.35">
      <c r="A354" s="7">
        <v>318</v>
      </c>
      <c r="B354" s="98">
        <f t="shared" si="12"/>
        <v>324.95</v>
      </c>
      <c r="C354" s="98">
        <f t="shared" si="13"/>
        <v>57.6</v>
      </c>
      <c r="D354" s="98">
        <f t="shared" si="14"/>
        <v>267.34999999999997</v>
      </c>
      <c r="E354" s="98">
        <f t="shared" si="15"/>
        <v>19480.889999999967</v>
      </c>
      <c r="F354" s="115">
        <v>0</v>
      </c>
      <c r="G354" s="115">
        <f t="shared" si="16"/>
        <v>324.95</v>
      </c>
      <c r="I354" s="38">
        <v>318</v>
      </c>
      <c r="J354" s="115">
        <f t="shared" si="17"/>
        <v>233.48000000000002</v>
      </c>
      <c r="K354" s="115">
        <f t="shared" si="18"/>
        <v>38.17</v>
      </c>
      <c r="L354" s="115">
        <f t="shared" si="19"/>
        <v>195.31</v>
      </c>
      <c r="M354" s="115">
        <f t="shared" si="20"/>
        <v>12891.420000000402</v>
      </c>
      <c r="N354" s="115">
        <v>0</v>
      </c>
      <c r="O354" s="115">
        <f t="shared" si="21"/>
        <v>233.48000000000002</v>
      </c>
    </row>
    <row r="355" spans="1:15" ht="14.25" customHeight="1" x14ac:dyDescent="0.35">
      <c r="A355" s="7">
        <v>319</v>
      </c>
      <c r="B355" s="98">
        <f t="shared" si="12"/>
        <v>324.95</v>
      </c>
      <c r="C355" s="98">
        <f t="shared" si="13"/>
        <v>56.82</v>
      </c>
      <c r="D355" s="98">
        <f t="shared" si="14"/>
        <v>268.13</v>
      </c>
      <c r="E355" s="98">
        <f t="shared" si="15"/>
        <v>19212.759999999966</v>
      </c>
      <c r="F355" s="115">
        <v>0</v>
      </c>
      <c r="G355" s="115">
        <f t="shared" si="16"/>
        <v>324.95</v>
      </c>
      <c r="I355" s="38">
        <v>319</v>
      </c>
      <c r="J355" s="115">
        <f t="shared" si="17"/>
        <v>232.91</v>
      </c>
      <c r="K355" s="115">
        <f t="shared" si="18"/>
        <v>37.6</v>
      </c>
      <c r="L355" s="115">
        <f t="shared" si="19"/>
        <v>195.31</v>
      </c>
      <c r="M355" s="115">
        <f t="shared" si="20"/>
        <v>12696.110000000403</v>
      </c>
      <c r="N355" s="115">
        <v>0</v>
      </c>
      <c r="O355" s="115">
        <f t="shared" si="21"/>
        <v>232.91</v>
      </c>
    </row>
    <row r="356" spans="1:15" ht="14.25" customHeight="1" x14ac:dyDescent="0.35">
      <c r="A356" s="7">
        <v>320</v>
      </c>
      <c r="B356" s="98">
        <f t="shared" si="12"/>
        <v>324.95</v>
      </c>
      <c r="C356" s="98">
        <f t="shared" si="13"/>
        <v>56.04</v>
      </c>
      <c r="D356" s="98">
        <f t="shared" si="14"/>
        <v>268.90999999999997</v>
      </c>
      <c r="E356" s="98">
        <f t="shared" si="15"/>
        <v>18943.849999999966</v>
      </c>
      <c r="F356" s="115">
        <v>0</v>
      </c>
      <c r="G356" s="115">
        <f t="shared" si="16"/>
        <v>324.95</v>
      </c>
      <c r="I356" s="38">
        <v>320</v>
      </c>
      <c r="J356" s="115">
        <f t="shared" si="17"/>
        <v>232.34</v>
      </c>
      <c r="K356" s="115">
        <f t="shared" si="18"/>
        <v>37.03</v>
      </c>
      <c r="L356" s="115">
        <f t="shared" si="19"/>
        <v>195.31</v>
      </c>
      <c r="M356" s="115">
        <f t="shared" si="20"/>
        <v>12500.800000000403</v>
      </c>
      <c r="N356" s="115">
        <v>0</v>
      </c>
      <c r="O356" s="115">
        <f t="shared" si="21"/>
        <v>232.34</v>
      </c>
    </row>
    <row r="357" spans="1:15" ht="14.25" customHeight="1" x14ac:dyDescent="0.35">
      <c r="A357" s="7">
        <v>321</v>
      </c>
      <c r="B357" s="98">
        <f t="shared" si="12"/>
        <v>324.95</v>
      </c>
      <c r="C357" s="98">
        <f t="shared" si="13"/>
        <v>55.25</v>
      </c>
      <c r="D357" s="98">
        <f t="shared" si="14"/>
        <v>269.7</v>
      </c>
      <c r="E357" s="98">
        <f t="shared" si="15"/>
        <v>18674.149999999965</v>
      </c>
      <c r="F357" s="115">
        <v>0</v>
      </c>
      <c r="G357" s="115">
        <f t="shared" si="16"/>
        <v>324.95</v>
      </c>
      <c r="I357" s="38">
        <v>321</v>
      </c>
      <c r="J357" s="115">
        <f t="shared" si="17"/>
        <v>231.77</v>
      </c>
      <c r="K357" s="115">
        <f t="shared" si="18"/>
        <v>36.46</v>
      </c>
      <c r="L357" s="115">
        <f t="shared" si="19"/>
        <v>195.31</v>
      </c>
      <c r="M357" s="115">
        <f t="shared" si="20"/>
        <v>12305.490000000404</v>
      </c>
      <c r="N357" s="115">
        <v>0</v>
      </c>
      <c r="O357" s="115">
        <f t="shared" si="21"/>
        <v>231.77</v>
      </c>
    </row>
    <row r="358" spans="1:15" ht="14.25" customHeight="1" x14ac:dyDescent="0.35">
      <c r="A358" s="7">
        <v>322</v>
      </c>
      <c r="B358" s="98">
        <f t="shared" si="12"/>
        <v>324.95</v>
      </c>
      <c r="C358" s="98">
        <f t="shared" si="13"/>
        <v>54.47</v>
      </c>
      <c r="D358" s="98">
        <f t="shared" si="14"/>
        <v>270.48</v>
      </c>
      <c r="E358" s="98">
        <f t="shared" si="15"/>
        <v>18403.669999999966</v>
      </c>
      <c r="F358" s="115">
        <v>0</v>
      </c>
      <c r="G358" s="115">
        <f t="shared" si="16"/>
        <v>324.95</v>
      </c>
      <c r="I358" s="38">
        <v>322</v>
      </c>
      <c r="J358" s="115">
        <f t="shared" si="17"/>
        <v>231.2</v>
      </c>
      <c r="K358" s="115">
        <f t="shared" si="18"/>
        <v>35.89</v>
      </c>
      <c r="L358" s="115">
        <f t="shared" si="19"/>
        <v>195.31</v>
      </c>
      <c r="M358" s="115">
        <f t="shared" si="20"/>
        <v>12110.180000000404</v>
      </c>
      <c r="N358" s="115">
        <v>0</v>
      </c>
      <c r="O358" s="115">
        <f t="shared" si="21"/>
        <v>231.2</v>
      </c>
    </row>
    <row r="359" spans="1:15" ht="14.25" customHeight="1" x14ac:dyDescent="0.35">
      <c r="A359" s="7">
        <v>323</v>
      </c>
      <c r="B359" s="98">
        <f t="shared" si="12"/>
        <v>324.95</v>
      </c>
      <c r="C359" s="98">
        <f t="shared" si="13"/>
        <v>53.68</v>
      </c>
      <c r="D359" s="98">
        <f t="shared" si="14"/>
        <v>271.27</v>
      </c>
      <c r="E359" s="98">
        <f t="shared" si="15"/>
        <v>18132.399999999965</v>
      </c>
      <c r="F359" s="115">
        <v>0</v>
      </c>
      <c r="G359" s="115">
        <f t="shared" si="16"/>
        <v>324.95</v>
      </c>
      <c r="I359" s="38">
        <v>323</v>
      </c>
      <c r="J359" s="115">
        <f t="shared" si="17"/>
        <v>230.63</v>
      </c>
      <c r="K359" s="115">
        <f t="shared" si="18"/>
        <v>35.32</v>
      </c>
      <c r="L359" s="115">
        <f t="shared" si="19"/>
        <v>195.31</v>
      </c>
      <c r="M359" s="115">
        <f t="shared" si="20"/>
        <v>11914.870000000405</v>
      </c>
      <c r="N359" s="115">
        <v>0</v>
      </c>
      <c r="O359" s="115">
        <f t="shared" si="21"/>
        <v>230.63</v>
      </c>
    </row>
    <row r="360" spans="1:15" ht="14.25" customHeight="1" x14ac:dyDescent="0.35">
      <c r="A360" s="7">
        <v>324</v>
      </c>
      <c r="B360" s="98">
        <f t="shared" si="12"/>
        <v>324.95</v>
      </c>
      <c r="C360" s="98">
        <f t="shared" si="13"/>
        <v>52.89</v>
      </c>
      <c r="D360" s="98">
        <f t="shared" si="14"/>
        <v>272.06</v>
      </c>
      <c r="E360" s="98">
        <f t="shared" si="15"/>
        <v>17860.339999999964</v>
      </c>
      <c r="F360" s="115">
        <v>0</v>
      </c>
      <c r="G360" s="115">
        <f t="shared" si="16"/>
        <v>324.95</v>
      </c>
      <c r="I360" s="38">
        <v>324</v>
      </c>
      <c r="J360" s="115">
        <f t="shared" si="17"/>
        <v>230.06</v>
      </c>
      <c r="K360" s="115">
        <f t="shared" si="18"/>
        <v>34.75</v>
      </c>
      <c r="L360" s="115">
        <f t="shared" si="19"/>
        <v>195.31</v>
      </c>
      <c r="M360" s="115">
        <f t="shared" si="20"/>
        <v>11719.560000000405</v>
      </c>
      <c r="N360" s="115">
        <v>0</v>
      </c>
      <c r="O360" s="115">
        <f t="shared" si="21"/>
        <v>230.06</v>
      </c>
    </row>
    <row r="361" spans="1:15" ht="14.25" customHeight="1" x14ac:dyDescent="0.35">
      <c r="A361" s="7">
        <v>325</v>
      </c>
      <c r="B361" s="98">
        <f t="shared" si="12"/>
        <v>324.95</v>
      </c>
      <c r="C361" s="98">
        <f t="shared" si="13"/>
        <v>52.09</v>
      </c>
      <c r="D361" s="98">
        <f t="shared" si="14"/>
        <v>272.86</v>
      </c>
      <c r="E361" s="98">
        <f t="shared" si="15"/>
        <v>17587.479999999963</v>
      </c>
      <c r="F361" s="115">
        <v>0</v>
      </c>
      <c r="G361" s="115">
        <f t="shared" si="16"/>
        <v>324.95</v>
      </c>
      <c r="I361" s="38">
        <v>325</v>
      </c>
      <c r="J361" s="115">
        <f t="shared" si="17"/>
        <v>229.49</v>
      </c>
      <c r="K361" s="115">
        <f t="shared" si="18"/>
        <v>34.18</v>
      </c>
      <c r="L361" s="115">
        <f t="shared" si="19"/>
        <v>195.31</v>
      </c>
      <c r="M361" s="115">
        <f t="shared" si="20"/>
        <v>11524.250000000406</v>
      </c>
      <c r="N361" s="115">
        <v>0</v>
      </c>
      <c r="O361" s="115">
        <f t="shared" si="21"/>
        <v>229.49</v>
      </c>
    </row>
    <row r="362" spans="1:15" ht="14.25" customHeight="1" x14ac:dyDescent="0.35">
      <c r="A362" s="7">
        <v>326</v>
      </c>
      <c r="B362" s="98">
        <f t="shared" si="12"/>
        <v>324.95</v>
      </c>
      <c r="C362" s="98">
        <f t="shared" si="13"/>
        <v>51.3</v>
      </c>
      <c r="D362" s="98">
        <f t="shared" si="14"/>
        <v>273.64999999999998</v>
      </c>
      <c r="E362" s="98">
        <f t="shared" si="15"/>
        <v>17313.829999999962</v>
      </c>
      <c r="F362" s="115">
        <v>0</v>
      </c>
      <c r="G362" s="115">
        <f t="shared" si="16"/>
        <v>324.95</v>
      </c>
      <c r="I362" s="38">
        <v>326</v>
      </c>
      <c r="J362" s="115">
        <f t="shared" si="17"/>
        <v>228.92000000000002</v>
      </c>
      <c r="K362" s="115">
        <f t="shared" si="18"/>
        <v>33.61</v>
      </c>
      <c r="L362" s="115">
        <f t="shared" si="19"/>
        <v>195.31</v>
      </c>
      <c r="M362" s="115">
        <f t="shared" si="20"/>
        <v>11328.940000000406</v>
      </c>
      <c r="N362" s="115">
        <v>0</v>
      </c>
      <c r="O362" s="115">
        <f t="shared" si="21"/>
        <v>228.92000000000002</v>
      </c>
    </row>
    <row r="363" spans="1:15" ht="14.25" customHeight="1" x14ac:dyDescent="0.35">
      <c r="A363" s="7">
        <v>327</v>
      </c>
      <c r="B363" s="98">
        <f t="shared" si="12"/>
        <v>324.95</v>
      </c>
      <c r="C363" s="98">
        <f t="shared" si="13"/>
        <v>50.5</v>
      </c>
      <c r="D363" s="98">
        <f t="shared" si="14"/>
        <v>274.45</v>
      </c>
      <c r="E363" s="98">
        <f t="shared" si="15"/>
        <v>17039.379999999961</v>
      </c>
      <c r="F363" s="115">
        <v>0</v>
      </c>
      <c r="G363" s="115">
        <f t="shared" si="16"/>
        <v>324.95</v>
      </c>
      <c r="I363" s="38">
        <v>327</v>
      </c>
      <c r="J363" s="115">
        <f t="shared" si="17"/>
        <v>228.35</v>
      </c>
      <c r="K363" s="115">
        <f t="shared" si="18"/>
        <v>33.04</v>
      </c>
      <c r="L363" s="115">
        <f t="shared" si="19"/>
        <v>195.31</v>
      </c>
      <c r="M363" s="115">
        <f t="shared" si="20"/>
        <v>11133.630000000407</v>
      </c>
      <c r="N363" s="115">
        <v>0</v>
      </c>
      <c r="O363" s="115">
        <f t="shared" si="21"/>
        <v>228.35</v>
      </c>
    </row>
    <row r="364" spans="1:15" ht="14.25" customHeight="1" x14ac:dyDescent="0.35">
      <c r="A364" s="7">
        <v>328</v>
      </c>
      <c r="B364" s="98">
        <f t="shared" si="12"/>
        <v>324.95</v>
      </c>
      <c r="C364" s="98">
        <f t="shared" si="13"/>
        <v>49.7</v>
      </c>
      <c r="D364" s="98">
        <f t="shared" si="14"/>
        <v>275.25</v>
      </c>
      <c r="E364" s="98">
        <f t="shared" si="15"/>
        <v>16764.129999999961</v>
      </c>
      <c r="F364" s="115">
        <v>0</v>
      </c>
      <c r="G364" s="115">
        <f t="shared" si="16"/>
        <v>324.95</v>
      </c>
      <c r="I364" s="38">
        <v>328</v>
      </c>
      <c r="J364" s="115">
        <f t="shared" si="17"/>
        <v>227.78</v>
      </c>
      <c r="K364" s="115">
        <f t="shared" si="18"/>
        <v>32.47</v>
      </c>
      <c r="L364" s="115">
        <f t="shared" si="19"/>
        <v>195.31</v>
      </c>
      <c r="M364" s="115">
        <f t="shared" si="20"/>
        <v>10938.320000000407</v>
      </c>
      <c r="N364" s="115">
        <v>0</v>
      </c>
      <c r="O364" s="115">
        <f t="shared" si="21"/>
        <v>227.78</v>
      </c>
    </row>
    <row r="365" spans="1:15" ht="14.25" customHeight="1" x14ac:dyDescent="0.35">
      <c r="A365" s="7">
        <v>329</v>
      </c>
      <c r="B365" s="98">
        <f t="shared" si="12"/>
        <v>324.95</v>
      </c>
      <c r="C365" s="98">
        <f t="shared" si="13"/>
        <v>48.9</v>
      </c>
      <c r="D365" s="98">
        <f t="shared" si="14"/>
        <v>276.05</v>
      </c>
      <c r="E365" s="98">
        <f t="shared" si="15"/>
        <v>16488.079999999962</v>
      </c>
      <c r="F365" s="115">
        <v>0</v>
      </c>
      <c r="G365" s="115">
        <f t="shared" si="16"/>
        <v>324.95</v>
      </c>
      <c r="I365" s="38">
        <v>329</v>
      </c>
      <c r="J365" s="115">
        <f t="shared" si="17"/>
        <v>227.21</v>
      </c>
      <c r="K365" s="115">
        <f t="shared" si="18"/>
        <v>31.9</v>
      </c>
      <c r="L365" s="115">
        <f t="shared" si="19"/>
        <v>195.31</v>
      </c>
      <c r="M365" s="115">
        <f t="shared" si="20"/>
        <v>10743.010000000408</v>
      </c>
      <c r="N365" s="115">
        <v>0</v>
      </c>
      <c r="O365" s="115">
        <f t="shared" si="21"/>
        <v>227.21</v>
      </c>
    </row>
    <row r="366" spans="1:15" ht="14.25" customHeight="1" x14ac:dyDescent="0.35">
      <c r="A366" s="7">
        <v>330</v>
      </c>
      <c r="B366" s="98">
        <f t="shared" si="12"/>
        <v>324.95</v>
      </c>
      <c r="C366" s="98">
        <f t="shared" si="13"/>
        <v>48.09</v>
      </c>
      <c r="D366" s="98">
        <f t="shared" si="14"/>
        <v>276.86</v>
      </c>
      <c r="E366" s="98">
        <f t="shared" si="15"/>
        <v>16211.219999999961</v>
      </c>
      <c r="F366" s="115">
        <v>0</v>
      </c>
      <c r="G366" s="115">
        <f t="shared" si="16"/>
        <v>324.95</v>
      </c>
      <c r="I366" s="38">
        <v>330</v>
      </c>
      <c r="J366" s="115">
        <f t="shared" si="17"/>
        <v>226.64</v>
      </c>
      <c r="K366" s="115">
        <f t="shared" si="18"/>
        <v>31.33</v>
      </c>
      <c r="L366" s="115">
        <f t="shared" si="19"/>
        <v>195.31</v>
      </c>
      <c r="M366" s="115">
        <f t="shared" si="20"/>
        <v>10547.700000000408</v>
      </c>
      <c r="N366" s="115">
        <v>0</v>
      </c>
      <c r="O366" s="115">
        <f t="shared" si="21"/>
        <v>226.64</v>
      </c>
    </row>
    <row r="367" spans="1:15" ht="14.25" customHeight="1" x14ac:dyDescent="0.35">
      <c r="A367" s="7">
        <v>331</v>
      </c>
      <c r="B367" s="98">
        <f t="shared" si="12"/>
        <v>324.95</v>
      </c>
      <c r="C367" s="98">
        <f t="shared" si="13"/>
        <v>47.28</v>
      </c>
      <c r="D367" s="98">
        <f t="shared" si="14"/>
        <v>277.66999999999996</v>
      </c>
      <c r="E367" s="98">
        <f t="shared" si="15"/>
        <v>15933.549999999961</v>
      </c>
      <c r="F367" s="115">
        <v>0</v>
      </c>
      <c r="G367" s="115">
        <f t="shared" si="16"/>
        <v>324.95</v>
      </c>
      <c r="I367" s="38">
        <v>331</v>
      </c>
      <c r="J367" s="115">
        <f t="shared" si="17"/>
        <v>226.07</v>
      </c>
      <c r="K367" s="115">
        <f t="shared" si="18"/>
        <v>30.76</v>
      </c>
      <c r="L367" s="115">
        <f t="shared" si="19"/>
        <v>195.31</v>
      </c>
      <c r="M367" s="115">
        <f t="shared" si="20"/>
        <v>10352.390000000409</v>
      </c>
      <c r="N367" s="115">
        <v>0</v>
      </c>
      <c r="O367" s="115">
        <f t="shared" si="21"/>
        <v>226.07</v>
      </c>
    </row>
    <row r="368" spans="1:15" ht="14.25" customHeight="1" x14ac:dyDescent="0.35">
      <c r="A368" s="7">
        <v>332</v>
      </c>
      <c r="B368" s="98">
        <f t="shared" si="12"/>
        <v>324.95</v>
      </c>
      <c r="C368" s="98">
        <f t="shared" si="13"/>
        <v>46.47</v>
      </c>
      <c r="D368" s="98">
        <f t="shared" si="14"/>
        <v>278.48</v>
      </c>
      <c r="E368" s="98">
        <f t="shared" si="15"/>
        <v>15655.069999999962</v>
      </c>
      <c r="F368" s="115">
        <v>0</v>
      </c>
      <c r="G368" s="115">
        <f t="shared" si="16"/>
        <v>324.95</v>
      </c>
      <c r="I368" s="38">
        <v>332</v>
      </c>
      <c r="J368" s="115">
        <f t="shared" si="17"/>
        <v>225.5</v>
      </c>
      <c r="K368" s="115">
        <f t="shared" si="18"/>
        <v>30.19</v>
      </c>
      <c r="L368" s="115">
        <f t="shared" si="19"/>
        <v>195.31</v>
      </c>
      <c r="M368" s="115">
        <f t="shared" si="20"/>
        <v>10157.080000000409</v>
      </c>
      <c r="N368" s="115">
        <v>0</v>
      </c>
      <c r="O368" s="115">
        <f t="shared" si="21"/>
        <v>225.5</v>
      </c>
    </row>
    <row r="369" spans="1:15" ht="14.25" customHeight="1" x14ac:dyDescent="0.35">
      <c r="A369" s="7">
        <v>333</v>
      </c>
      <c r="B369" s="98">
        <f t="shared" si="12"/>
        <v>324.95</v>
      </c>
      <c r="C369" s="98">
        <f t="shared" si="13"/>
        <v>45.66</v>
      </c>
      <c r="D369" s="98">
        <f t="shared" si="14"/>
        <v>279.28999999999996</v>
      </c>
      <c r="E369" s="98">
        <f t="shared" si="15"/>
        <v>15375.779999999962</v>
      </c>
      <c r="F369" s="115">
        <v>0</v>
      </c>
      <c r="G369" s="115">
        <f t="shared" si="16"/>
        <v>324.95</v>
      </c>
      <c r="I369" s="38">
        <v>333</v>
      </c>
      <c r="J369" s="115">
        <f t="shared" si="17"/>
        <v>224.93</v>
      </c>
      <c r="K369" s="115">
        <f t="shared" si="18"/>
        <v>29.62</v>
      </c>
      <c r="L369" s="115">
        <f t="shared" si="19"/>
        <v>195.31</v>
      </c>
      <c r="M369" s="115">
        <f t="shared" si="20"/>
        <v>9961.7700000004097</v>
      </c>
      <c r="N369" s="115">
        <v>0</v>
      </c>
      <c r="O369" s="115">
        <f t="shared" si="21"/>
        <v>224.93</v>
      </c>
    </row>
    <row r="370" spans="1:15" ht="14.25" customHeight="1" x14ac:dyDescent="0.35">
      <c r="A370" s="7">
        <v>334</v>
      </c>
      <c r="B370" s="98">
        <f t="shared" si="12"/>
        <v>324.95</v>
      </c>
      <c r="C370" s="98">
        <f t="shared" si="13"/>
        <v>44.85</v>
      </c>
      <c r="D370" s="98">
        <f t="shared" si="14"/>
        <v>280.09999999999997</v>
      </c>
      <c r="E370" s="98">
        <f t="shared" si="15"/>
        <v>15095.679999999962</v>
      </c>
      <c r="F370" s="115">
        <v>0</v>
      </c>
      <c r="G370" s="115">
        <f t="shared" si="16"/>
        <v>324.95</v>
      </c>
      <c r="I370" s="38">
        <v>334</v>
      </c>
      <c r="J370" s="115">
        <f t="shared" si="17"/>
        <v>224.37</v>
      </c>
      <c r="K370" s="115">
        <f t="shared" si="18"/>
        <v>29.06</v>
      </c>
      <c r="L370" s="115">
        <f t="shared" si="19"/>
        <v>195.31</v>
      </c>
      <c r="M370" s="115">
        <f t="shared" si="20"/>
        <v>9766.4600000004102</v>
      </c>
      <c r="N370" s="115">
        <v>0</v>
      </c>
      <c r="O370" s="115">
        <f t="shared" si="21"/>
        <v>224.37</v>
      </c>
    </row>
    <row r="371" spans="1:15" ht="14.25" customHeight="1" x14ac:dyDescent="0.35">
      <c r="A371" s="7">
        <v>335</v>
      </c>
      <c r="B371" s="98">
        <f t="shared" si="12"/>
        <v>324.95</v>
      </c>
      <c r="C371" s="98">
        <f t="shared" si="13"/>
        <v>44.03</v>
      </c>
      <c r="D371" s="98">
        <f t="shared" si="14"/>
        <v>280.91999999999996</v>
      </c>
      <c r="E371" s="98">
        <f t="shared" si="15"/>
        <v>14814.759999999962</v>
      </c>
      <c r="F371" s="115">
        <v>0</v>
      </c>
      <c r="G371" s="115">
        <f t="shared" si="16"/>
        <v>324.95</v>
      </c>
      <c r="I371" s="38">
        <v>335</v>
      </c>
      <c r="J371" s="115">
        <f t="shared" si="17"/>
        <v>223.8</v>
      </c>
      <c r="K371" s="115">
        <f t="shared" si="18"/>
        <v>28.49</v>
      </c>
      <c r="L371" s="115">
        <f t="shared" si="19"/>
        <v>195.31</v>
      </c>
      <c r="M371" s="115">
        <f t="shared" si="20"/>
        <v>9571.1500000004107</v>
      </c>
      <c r="N371" s="115">
        <v>0</v>
      </c>
      <c r="O371" s="115">
        <f t="shared" si="21"/>
        <v>223.8</v>
      </c>
    </row>
    <row r="372" spans="1:15" ht="14.25" customHeight="1" x14ac:dyDescent="0.35">
      <c r="A372" s="7">
        <v>336</v>
      </c>
      <c r="B372" s="98">
        <f t="shared" si="12"/>
        <v>324.95</v>
      </c>
      <c r="C372" s="98">
        <f t="shared" si="13"/>
        <v>43.21</v>
      </c>
      <c r="D372" s="98">
        <f t="shared" si="14"/>
        <v>281.74</v>
      </c>
      <c r="E372" s="98">
        <f t="shared" si="15"/>
        <v>14533.019999999962</v>
      </c>
      <c r="F372" s="115">
        <v>0</v>
      </c>
      <c r="G372" s="115">
        <f t="shared" si="16"/>
        <v>324.95</v>
      </c>
      <c r="I372" s="38">
        <v>336</v>
      </c>
      <c r="J372" s="115">
        <f t="shared" si="17"/>
        <v>223.23000000000002</v>
      </c>
      <c r="K372" s="115">
        <f t="shared" si="18"/>
        <v>27.92</v>
      </c>
      <c r="L372" s="115">
        <f t="shared" si="19"/>
        <v>195.31</v>
      </c>
      <c r="M372" s="115">
        <f t="shared" si="20"/>
        <v>9375.8400000004112</v>
      </c>
      <c r="N372" s="115">
        <v>0</v>
      </c>
      <c r="O372" s="115">
        <f t="shared" si="21"/>
        <v>223.23000000000002</v>
      </c>
    </row>
    <row r="373" spans="1:15" ht="14.25" customHeight="1" x14ac:dyDescent="0.35">
      <c r="A373" s="7">
        <v>337</v>
      </c>
      <c r="B373" s="98">
        <f t="shared" si="12"/>
        <v>324.95</v>
      </c>
      <c r="C373" s="98">
        <f t="shared" si="13"/>
        <v>42.39</v>
      </c>
      <c r="D373" s="98">
        <f t="shared" si="14"/>
        <v>282.56</v>
      </c>
      <c r="E373" s="98">
        <f t="shared" si="15"/>
        <v>14250.459999999963</v>
      </c>
      <c r="F373" s="115">
        <v>0</v>
      </c>
      <c r="G373" s="115">
        <f t="shared" si="16"/>
        <v>324.95</v>
      </c>
      <c r="I373" s="38">
        <v>337</v>
      </c>
      <c r="J373" s="115">
        <f t="shared" si="17"/>
        <v>222.66</v>
      </c>
      <c r="K373" s="115">
        <f t="shared" si="18"/>
        <v>27.35</v>
      </c>
      <c r="L373" s="115">
        <f t="shared" si="19"/>
        <v>195.31</v>
      </c>
      <c r="M373" s="115">
        <f t="shared" si="20"/>
        <v>9180.5300000004117</v>
      </c>
      <c r="N373" s="115">
        <v>0</v>
      </c>
      <c r="O373" s="115">
        <f t="shared" si="21"/>
        <v>222.66</v>
      </c>
    </row>
    <row r="374" spans="1:15" ht="14.25" customHeight="1" x14ac:dyDescent="0.35">
      <c r="A374" s="7">
        <v>338</v>
      </c>
      <c r="B374" s="98">
        <f t="shared" si="12"/>
        <v>324.95</v>
      </c>
      <c r="C374" s="98">
        <f t="shared" si="13"/>
        <v>41.56</v>
      </c>
      <c r="D374" s="98">
        <f t="shared" si="14"/>
        <v>283.39</v>
      </c>
      <c r="E374" s="98">
        <f t="shared" si="15"/>
        <v>13967.069999999963</v>
      </c>
      <c r="F374" s="115">
        <v>0</v>
      </c>
      <c r="G374" s="115">
        <f t="shared" si="16"/>
        <v>324.95</v>
      </c>
      <c r="I374" s="38">
        <v>338</v>
      </c>
      <c r="J374" s="115">
        <f t="shared" si="17"/>
        <v>222.09</v>
      </c>
      <c r="K374" s="115">
        <f t="shared" si="18"/>
        <v>26.78</v>
      </c>
      <c r="L374" s="115">
        <f t="shared" si="19"/>
        <v>195.31</v>
      </c>
      <c r="M374" s="115">
        <f t="shared" si="20"/>
        <v>8985.2200000004123</v>
      </c>
      <c r="N374" s="115">
        <v>0</v>
      </c>
      <c r="O374" s="115">
        <f t="shared" si="21"/>
        <v>222.09</v>
      </c>
    </row>
    <row r="375" spans="1:15" ht="14.25" customHeight="1" x14ac:dyDescent="0.35">
      <c r="A375" s="7">
        <v>339</v>
      </c>
      <c r="B375" s="98">
        <f t="shared" si="12"/>
        <v>324.95</v>
      </c>
      <c r="C375" s="98">
        <f t="shared" si="13"/>
        <v>40.74</v>
      </c>
      <c r="D375" s="98">
        <f t="shared" si="14"/>
        <v>284.20999999999998</v>
      </c>
      <c r="E375" s="98">
        <f t="shared" si="15"/>
        <v>13682.859999999964</v>
      </c>
      <c r="F375" s="115">
        <v>0</v>
      </c>
      <c r="G375" s="115">
        <f t="shared" si="16"/>
        <v>324.95</v>
      </c>
      <c r="I375" s="38">
        <v>339</v>
      </c>
      <c r="J375" s="115">
        <f t="shared" si="17"/>
        <v>221.52</v>
      </c>
      <c r="K375" s="115">
        <f t="shared" si="18"/>
        <v>26.21</v>
      </c>
      <c r="L375" s="115">
        <f t="shared" si="19"/>
        <v>195.31</v>
      </c>
      <c r="M375" s="115">
        <f t="shared" si="20"/>
        <v>8789.9100000004128</v>
      </c>
      <c r="N375" s="115">
        <v>0</v>
      </c>
      <c r="O375" s="115">
        <f t="shared" si="21"/>
        <v>221.52</v>
      </c>
    </row>
    <row r="376" spans="1:15" ht="14.25" customHeight="1" x14ac:dyDescent="0.35">
      <c r="A376" s="7">
        <v>340</v>
      </c>
      <c r="B376" s="98">
        <f t="shared" si="12"/>
        <v>324.95</v>
      </c>
      <c r="C376" s="98">
        <f t="shared" si="13"/>
        <v>39.909999999999997</v>
      </c>
      <c r="D376" s="98">
        <f t="shared" si="14"/>
        <v>285.03999999999996</v>
      </c>
      <c r="E376" s="98">
        <f t="shared" si="15"/>
        <v>13397.819999999963</v>
      </c>
      <c r="F376" s="115">
        <v>0</v>
      </c>
      <c r="G376" s="115">
        <f t="shared" si="16"/>
        <v>324.95</v>
      </c>
      <c r="I376" s="38">
        <v>340</v>
      </c>
      <c r="J376" s="115">
        <f t="shared" si="17"/>
        <v>220.95</v>
      </c>
      <c r="K376" s="115">
        <f t="shared" si="18"/>
        <v>25.64</v>
      </c>
      <c r="L376" s="115">
        <f t="shared" si="19"/>
        <v>195.31</v>
      </c>
      <c r="M376" s="115">
        <f t="shared" si="20"/>
        <v>8594.6000000004133</v>
      </c>
      <c r="N376" s="115">
        <v>0</v>
      </c>
      <c r="O376" s="115">
        <f t="shared" si="21"/>
        <v>220.95</v>
      </c>
    </row>
    <row r="377" spans="1:15" ht="14.25" customHeight="1" x14ac:dyDescent="0.35">
      <c r="A377" s="7">
        <v>341</v>
      </c>
      <c r="B377" s="98">
        <f t="shared" si="12"/>
        <v>324.95</v>
      </c>
      <c r="C377" s="98">
        <f t="shared" si="13"/>
        <v>39.08</v>
      </c>
      <c r="D377" s="98">
        <f t="shared" si="14"/>
        <v>285.87</v>
      </c>
      <c r="E377" s="98">
        <f t="shared" si="15"/>
        <v>13111.949999999963</v>
      </c>
      <c r="F377" s="115">
        <v>0</v>
      </c>
      <c r="G377" s="115">
        <f t="shared" si="16"/>
        <v>324.95</v>
      </c>
      <c r="I377" s="38">
        <v>341</v>
      </c>
      <c r="J377" s="115">
        <f t="shared" si="17"/>
        <v>220.38</v>
      </c>
      <c r="K377" s="115">
        <f t="shared" si="18"/>
        <v>25.07</v>
      </c>
      <c r="L377" s="115">
        <f t="shared" si="19"/>
        <v>195.31</v>
      </c>
      <c r="M377" s="115">
        <f t="shared" si="20"/>
        <v>8399.2900000004138</v>
      </c>
      <c r="N377" s="115">
        <v>0</v>
      </c>
      <c r="O377" s="115">
        <f t="shared" si="21"/>
        <v>220.38</v>
      </c>
    </row>
    <row r="378" spans="1:15" ht="14.25" customHeight="1" x14ac:dyDescent="0.35">
      <c r="A378" s="7">
        <v>342</v>
      </c>
      <c r="B378" s="98">
        <f t="shared" si="12"/>
        <v>324.95</v>
      </c>
      <c r="C378" s="98">
        <f t="shared" si="13"/>
        <v>38.24</v>
      </c>
      <c r="D378" s="98">
        <f t="shared" si="14"/>
        <v>286.70999999999998</v>
      </c>
      <c r="E378" s="98">
        <f t="shared" si="15"/>
        <v>12825.239999999963</v>
      </c>
      <c r="F378" s="115">
        <v>0</v>
      </c>
      <c r="G378" s="115">
        <f t="shared" si="16"/>
        <v>324.95</v>
      </c>
      <c r="I378" s="38">
        <v>342</v>
      </c>
      <c r="J378" s="115">
        <f t="shared" si="17"/>
        <v>219.81</v>
      </c>
      <c r="K378" s="115">
        <f t="shared" si="18"/>
        <v>24.5</v>
      </c>
      <c r="L378" s="115">
        <f t="shared" si="19"/>
        <v>195.31</v>
      </c>
      <c r="M378" s="115">
        <f t="shared" si="20"/>
        <v>8203.9800000004143</v>
      </c>
      <c r="N378" s="115">
        <v>0</v>
      </c>
      <c r="O378" s="115">
        <f t="shared" si="21"/>
        <v>219.81</v>
      </c>
    </row>
    <row r="379" spans="1:15" ht="14.25" customHeight="1" x14ac:dyDescent="0.35">
      <c r="A379" s="7">
        <v>343</v>
      </c>
      <c r="B379" s="98">
        <f t="shared" si="12"/>
        <v>324.95</v>
      </c>
      <c r="C379" s="98">
        <f t="shared" si="13"/>
        <v>37.409999999999997</v>
      </c>
      <c r="D379" s="98">
        <f t="shared" si="14"/>
        <v>287.53999999999996</v>
      </c>
      <c r="E379" s="98">
        <f t="shared" si="15"/>
        <v>12537.699999999964</v>
      </c>
      <c r="F379" s="115">
        <v>0</v>
      </c>
      <c r="G379" s="115">
        <f t="shared" si="16"/>
        <v>324.95</v>
      </c>
      <c r="I379" s="38">
        <v>343</v>
      </c>
      <c r="J379" s="115">
        <f t="shared" si="17"/>
        <v>219.24</v>
      </c>
      <c r="K379" s="115">
        <f t="shared" si="18"/>
        <v>23.93</v>
      </c>
      <c r="L379" s="115">
        <f t="shared" si="19"/>
        <v>195.31</v>
      </c>
      <c r="M379" s="115">
        <f t="shared" si="20"/>
        <v>8008.6700000004139</v>
      </c>
      <c r="N379" s="115">
        <v>0</v>
      </c>
      <c r="O379" s="115">
        <f t="shared" si="21"/>
        <v>219.24</v>
      </c>
    </row>
    <row r="380" spans="1:15" ht="14.25" customHeight="1" x14ac:dyDescent="0.35">
      <c r="A380" s="7">
        <v>344</v>
      </c>
      <c r="B380" s="98">
        <f t="shared" si="12"/>
        <v>324.95</v>
      </c>
      <c r="C380" s="98">
        <f t="shared" si="13"/>
        <v>36.57</v>
      </c>
      <c r="D380" s="98">
        <f t="shared" si="14"/>
        <v>288.38</v>
      </c>
      <c r="E380" s="98">
        <f t="shared" si="15"/>
        <v>12249.319999999965</v>
      </c>
      <c r="F380" s="115">
        <v>0</v>
      </c>
      <c r="G380" s="115">
        <f t="shared" si="16"/>
        <v>324.95</v>
      </c>
      <c r="I380" s="38">
        <v>344</v>
      </c>
      <c r="J380" s="115">
        <f t="shared" si="17"/>
        <v>218.67000000000002</v>
      </c>
      <c r="K380" s="115">
        <f t="shared" si="18"/>
        <v>23.36</v>
      </c>
      <c r="L380" s="115">
        <f t="shared" si="19"/>
        <v>195.31</v>
      </c>
      <c r="M380" s="115">
        <f t="shared" si="20"/>
        <v>7813.3600000004135</v>
      </c>
      <c r="N380" s="115">
        <v>0</v>
      </c>
      <c r="O380" s="115">
        <f t="shared" si="21"/>
        <v>218.67000000000002</v>
      </c>
    </row>
    <row r="381" spans="1:15" ht="14.25" customHeight="1" x14ac:dyDescent="0.35">
      <c r="A381" s="7">
        <v>345</v>
      </c>
      <c r="B381" s="98">
        <f t="shared" si="12"/>
        <v>324.95</v>
      </c>
      <c r="C381" s="98">
        <f t="shared" si="13"/>
        <v>35.729999999999997</v>
      </c>
      <c r="D381" s="98">
        <f t="shared" si="14"/>
        <v>289.21999999999997</v>
      </c>
      <c r="E381" s="98">
        <f t="shared" si="15"/>
        <v>11960.099999999966</v>
      </c>
      <c r="F381" s="115">
        <v>0</v>
      </c>
      <c r="G381" s="115">
        <f t="shared" si="16"/>
        <v>324.95</v>
      </c>
      <c r="I381" s="38">
        <v>345</v>
      </c>
      <c r="J381" s="115">
        <f t="shared" si="17"/>
        <v>218.1</v>
      </c>
      <c r="K381" s="115">
        <f t="shared" si="18"/>
        <v>22.79</v>
      </c>
      <c r="L381" s="115">
        <f t="shared" si="19"/>
        <v>195.31</v>
      </c>
      <c r="M381" s="115">
        <f t="shared" si="20"/>
        <v>7618.0500000004131</v>
      </c>
      <c r="N381" s="115">
        <v>0</v>
      </c>
      <c r="O381" s="115">
        <f t="shared" si="21"/>
        <v>218.1</v>
      </c>
    </row>
    <row r="382" spans="1:15" ht="14.25" customHeight="1" x14ac:dyDescent="0.35">
      <c r="A382" s="7">
        <v>346</v>
      </c>
      <c r="B382" s="98">
        <f t="shared" si="12"/>
        <v>324.95</v>
      </c>
      <c r="C382" s="98">
        <f t="shared" si="13"/>
        <v>34.880000000000003</v>
      </c>
      <c r="D382" s="98">
        <f t="shared" si="14"/>
        <v>290.07</v>
      </c>
      <c r="E382" s="98">
        <f t="shared" si="15"/>
        <v>11670.029999999966</v>
      </c>
      <c r="F382" s="115">
        <v>0</v>
      </c>
      <c r="G382" s="115">
        <f t="shared" si="16"/>
        <v>324.95</v>
      </c>
      <c r="I382" s="38">
        <v>346</v>
      </c>
      <c r="J382" s="115">
        <f t="shared" si="17"/>
        <v>217.53</v>
      </c>
      <c r="K382" s="115">
        <f t="shared" si="18"/>
        <v>22.22</v>
      </c>
      <c r="L382" s="115">
        <f t="shared" si="19"/>
        <v>195.31</v>
      </c>
      <c r="M382" s="115">
        <f t="shared" si="20"/>
        <v>7422.7400000004127</v>
      </c>
      <c r="N382" s="115">
        <v>0</v>
      </c>
      <c r="O382" s="115">
        <f t="shared" si="21"/>
        <v>217.53</v>
      </c>
    </row>
    <row r="383" spans="1:15" ht="14.25" customHeight="1" x14ac:dyDescent="0.35">
      <c r="A383" s="7">
        <v>347</v>
      </c>
      <c r="B383" s="98">
        <f t="shared" si="12"/>
        <v>324.95</v>
      </c>
      <c r="C383" s="98">
        <f t="shared" si="13"/>
        <v>34.04</v>
      </c>
      <c r="D383" s="98">
        <f t="shared" si="14"/>
        <v>290.90999999999997</v>
      </c>
      <c r="E383" s="98">
        <f t="shared" si="15"/>
        <v>11379.119999999966</v>
      </c>
      <c r="F383" s="115">
        <v>0</v>
      </c>
      <c r="G383" s="115">
        <f t="shared" si="16"/>
        <v>324.95</v>
      </c>
      <c r="I383" s="38">
        <v>347</v>
      </c>
      <c r="J383" s="115">
        <f t="shared" si="17"/>
        <v>216.96</v>
      </c>
      <c r="K383" s="115">
        <f t="shared" si="18"/>
        <v>21.65</v>
      </c>
      <c r="L383" s="115">
        <f t="shared" si="19"/>
        <v>195.31</v>
      </c>
      <c r="M383" s="115">
        <f t="shared" si="20"/>
        <v>7227.4300000004123</v>
      </c>
      <c r="N383" s="115">
        <v>0</v>
      </c>
      <c r="O383" s="115">
        <f t="shared" si="21"/>
        <v>216.96</v>
      </c>
    </row>
    <row r="384" spans="1:15" ht="14.25" customHeight="1" x14ac:dyDescent="0.35">
      <c r="A384" s="7">
        <v>348</v>
      </c>
      <c r="B384" s="98">
        <f t="shared" si="12"/>
        <v>324.95</v>
      </c>
      <c r="C384" s="98">
        <f t="shared" si="13"/>
        <v>33.19</v>
      </c>
      <c r="D384" s="98">
        <f t="shared" si="14"/>
        <v>291.76</v>
      </c>
      <c r="E384" s="98">
        <f t="shared" si="15"/>
        <v>11087.359999999966</v>
      </c>
      <c r="F384" s="115">
        <v>0</v>
      </c>
      <c r="G384" s="115">
        <f t="shared" si="16"/>
        <v>324.95</v>
      </c>
      <c r="I384" s="38">
        <v>348</v>
      </c>
      <c r="J384" s="115">
        <f t="shared" si="17"/>
        <v>216.39</v>
      </c>
      <c r="K384" s="115">
        <f t="shared" si="18"/>
        <v>21.08</v>
      </c>
      <c r="L384" s="115">
        <f t="shared" si="19"/>
        <v>195.31</v>
      </c>
      <c r="M384" s="115">
        <f t="shared" si="20"/>
        <v>7032.1200000004119</v>
      </c>
      <c r="N384" s="115">
        <v>0</v>
      </c>
      <c r="O384" s="115">
        <f t="shared" si="21"/>
        <v>216.39</v>
      </c>
    </row>
    <row r="385" spans="1:15" ht="14.25" customHeight="1" x14ac:dyDescent="0.35">
      <c r="A385" s="7">
        <v>349</v>
      </c>
      <c r="B385" s="98">
        <f t="shared" si="12"/>
        <v>324.95</v>
      </c>
      <c r="C385" s="98">
        <f t="shared" si="13"/>
        <v>32.340000000000003</v>
      </c>
      <c r="D385" s="98">
        <f t="shared" si="14"/>
        <v>292.61</v>
      </c>
      <c r="E385" s="98">
        <f t="shared" si="15"/>
        <v>10794.749999999965</v>
      </c>
      <c r="F385" s="115">
        <v>0</v>
      </c>
      <c r="G385" s="115">
        <f t="shared" si="16"/>
        <v>324.95</v>
      </c>
      <c r="I385" s="38">
        <v>349</v>
      </c>
      <c r="J385" s="115">
        <f t="shared" si="17"/>
        <v>215.82</v>
      </c>
      <c r="K385" s="115">
        <f t="shared" si="18"/>
        <v>20.51</v>
      </c>
      <c r="L385" s="115">
        <f t="shared" si="19"/>
        <v>195.31</v>
      </c>
      <c r="M385" s="115">
        <f t="shared" si="20"/>
        <v>6836.8100000004115</v>
      </c>
      <c r="N385" s="115">
        <v>0</v>
      </c>
      <c r="O385" s="115">
        <f t="shared" si="21"/>
        <v>215.82</v>
      </c>
    </row>
    <row r="386" spans="1:15" ht="14.25" customHeight="1" x14ac:dyDescent="0.35">
      <c r="A386" s="7">
        <v>350</v>
      </c>
      <c r="B386" s="98">
        <f t="shared" si="12"/>
        <v>324.95</v>
      </c>
      <c r="C386" s="98">
        <f t="shared" si="13"/>
        <v>31.48</v>
      </c>
      <c r="D386" s="98">
        <f t="shared" si="14"/>
        <v>293.46999999999997</v>
      </c>
      <c r="E386" s="98">
        <f t="shared" si="15"/>
        <v>10501.279999999966</v>
      </c>
      <c r="F386" s="115">
        <v>0</v>
      </c>
      <c r="G386" s="115">
        <f t="shared" si="16"/>
        <v>324.95</v>
      </c>
      <c r="I386" s="38">
        <v>350</v>
      </c>
      <c r="J386" s="115">
        <f t="shared" si="17"/>
        <v>215.25</v>
      </c>
      <c r="K386" s="115">
        <f t="shared" si="18"/>
        <v>19.940000000000001</v>
      </c>
      <c r="L386" s="115">
        <f t="shared" si="19"/>
        <v>195.31</v>
      </c>
      <c r="M386" s="115">
        <f t="shared" si="20"/>
        <v>6641.5000000004111</v>
      </c>
      <c r="N386" s="115">
        <v>0</v>
      </c>
      <c r="O386" s="115">
        <f t="shared" si="21"/>
        <v>215.25</v>
      </c>
    </row>
    <row r="387" spans="1:15" ht="14.25" customHeight="1" x14ac:dyDescent="0.35">
      <c r="A387" s="7">
        <v>351</v>
      </c>
      <c r="B387" s="98">
        <f t="shared" si="12"/>
        <v>324.95</v>
      </c>
      <c r="C387" s="98">
        <f t="shared" si="13"/>
        <v>30.63</v>
      </c>
      <c r="D387" s="98">
        <f t="shared" si="14"/>
        <v>294.32</v>
      </c>
      <c r="E387" s="98">
        <f t="shared" si="15"/>
        <v>10206.959999999966</v>
      </c>
      <c r="F387" s="115">
        <v>0</v>
      </c>
      <c r="G387" s="115">
        <f t="shared" si="16"/>
        <v>324.95</v>
      </c>
      <c r="I387" s="38">
        <v>351</v>
      </c>
      <c r="J387" s="115">
        <f t="shared" si="17"/>
        <v>214.68</v>
      </c>
      <c r="K387" s="115">
        <f t="shared" si="18"/>
        <v>19.37</v>
      </c>
      <c r="L387" s="115">
        <f t="shared" si="19"/>
        <v>195.31</v>
      </c>
      <c r="M387" s="115">
        <f t="shared" si="20"/>
        <v>6446.1900000004107</v>
      </c>
      <c r="N387" s="115">
        <v>0</v>
      </c>
      <c r="O387" s="115">
        <f t="shared" si="21"/>
        <v>214.68</v>
      </c>
    </row>
    <row r="388" spans="1:15" ht="14.25" customHeight="1" x14ac:dyDescent="0.35">
      <c r="A388" s="7">
        <v>352</v>
      </c>
      <c r="B388" s="98">
        <f t="shared" si="12"/>
        <v>324.95</v>
      </c>
      <c r="C388" s="98">
        <f t="shared" si="13"/>
        <v>29.77</v>
      </c>
      <c r="D388" s="98">
        <f t="shared" si="14"/>
        <v>295.18</v>
      </c>
      <c r="E388" s="98">
        <f t="shared" si="15"/>
        <v>9911.7799999999661</v>
      </c>
      <c r="F388" s="115">
        <v>0</v>
      </c>
      <c r="G388" s="115">
        <f t="shared" si="16"/>
        <v>324.95</v>
      </c>
      <c r="I388" s="38">
        <v>352</v>
      </c>
      <c r="J388" s="115">
        <f t="shared" si="17"/>
        <v>214.11</v>
      </c>
      <c r="K388" s="115">
        <f t="shared" si="18"/>
        <v>18.8</v>
      </c>
      <c r="L388" s="115">
        <f t="shared" si="19"/>
        <v>195.31</v>
      </c>
      <c r="M388" s="115">
        <f t="shared" si="20"/>
        <v>6250.8800000004103</v>
      </c>
      <c r="N388" s="115">
        <v>0</v>
      </c>
      <c r="O388" s="115">
        <f t="shared" si="21"/>
        <v>214.11</v>
      </c>
    </row>
    <row r="389" spans="1:15" ht="14.25" customHeight="1" x14ac:dyDescent="0.35">
      <c r="A389" s="7">
        <v>353</v>
      </c>
      <c r="B389" s="98">
        <f t="shared" si="12"/>
        <v>324.95</v>
      </c>
      <c r="C389" s="98">
        <f t="shared" si="13"/>
        <v>28.91</v>
      </c>
      <c r="D389" s="98">
        <f t="shared" si="14"/>
        <v>296.03999999999996</v>
      </c>
      <c r="E389" s="98">
        <f t="shared" si="15"/>
        <v>9615.7399999999652</v>
      </c>
      <c r="F389" s="115">
        <v>0</v>
      </c>
      <c r="G389" s="115">
        <f t="shared" si="16"/>
        <v>324.95</v>
      </c>
      <c r="I389" s="38">
        <v>353</v>
      </c>
      <c r="J389" s="115">
        <f t="shared" si="17"/>
        <v>213.54</v>
      </c>
      <c r="K389" s="115">
        <f t="shared" si="18"/>
        <v>18.23</v>
      </c>
      <c r="L389" s="115">
        <f t="shared" si="19"/>
        <v>195.31</v>
      </c>
      <c r="M389" s="115">
        <f t="shared" si="20"/>
        <v>6055.5700000004099</v>
      </c>
      <c r="N389" s="115">
        <v>0</v>
      </c>
      <c r="O389" s="115">
        <f t="shared" si="21"/>
        <v>213.54</v>
      </c>
    </row>
    <row r="390" spans="1:15" ht="14.25" customHeight="1" x14ac:dyDescent="0.35">
      <c r="A390" s="7">
        <v>354</v>
      </c>
      <c r="B390" s="98">
        <f t="shared" si="12"/>
        <v>324.95</v>
      </c>
      <c r="C390" s="98">
        <f t="shared" si="13"/>
        <v>28.05</v>
      </c>
      <c r="D390" s="98">
        <f t="shared" si="14"/>
        <v>296.89999999999998</v>
      </c>
      <c r="E390" s="98">
        <f t="shared" si="15"/>
        <v>9318.8399999999656</v>
      </c>
      <c r="F390" s="115">
        <v>0</v>
      </c>
      <c r="G390" s="115">
        <f t="shared" si="16"/>
        <v>324.95</v>
      </c>
      <c r="I390" s="38">
        <v>354</v>
      </c>
      <c r="J390" s="115">
        <f t="shared" si="17"/>
        <v>212.97</v>
      </c>
      <c r="K390" s="115">
        <f t="shared" si="18"/>
        <v>17.66</v>
      </c>
      <c r="L390" s="115">
        <f t="shared" si="19"/>
        <v>195.31</v>
      </c>
      <c r="M390" s="115">
        <f t="shared" si="20"/>
        <v>5860.2600000004095</v>
      </c>
      <c r="N390" s="115">
        <v>0</v>
      </c>
      <c r="O390" s="115">
        <f t="shared" si="21"/>
        <v>212.97</v>
      </c>
    </row>
    <row r="391" spans="1:15" ht="14.25" customHeight="1" x14ac:dyDescent="0.35">
      <c r="A391" s="7">
        <v>355</v>
      </c>
      <c r="B391" s="98">
        <f t="shared" si="12"/>
        <v>324.95</v>
      </c>
      <c r="C391" s="98">
        <f t="shared" si="13"/>
        <v>27.18</v>
      </c>
      <c r="D391" s="98">
        <f t="shared" si="14"/>
        <v>297.77</v>
      </c>
      <c r="E391" s="98">
        <f t="shared" si="15"/>
        <v>9021.0699999999651</v>
      </c>
      <c r="F391" s="115">
        <v>0</v>
      </c>
      <c r="G391" s="115">
        <f t="shared" si="16"/>
        <v>324.95</v>
      </c>
      <c r="I391" s="38">
        <v>355</v>
      </c>
      <c r="J391" s="115">
        <f t="shared" si="17"/>
        <v>212.4</v>
      </c>
      <c r="K391" s="115">
        <f t="shared" si="18"/>
        <v>17.09</v>
      </c>
      <c r="L391" s="115">
        <f t="shared" si="19"/>
        <v>195.31</v>
      </c>
      <c r="M391" s="115">
        <f t="shared" si="20"/>
        <v>5664.9500000004091</v>
      </c>
      <c r="N391" s="115">
        <v>0</v>
      </c>
      <c r="O391" s="115">
        <f t="shared" si="21"/>
        <v>212.4</v>
      </c>
    </row>
    <row r="392" spans="1:15" ht="14.25" customHeight="1" x14ac:dyDescent="0.35">
      <c r="A392" s="7">
        <v>356</v>
      </c>
      <c r="B392" s="98">
        <f t="shared" si="12"/>
        <v>324.95</v>
      </c>
      <c r="C392" s="98">
        <f t="shared" si="13"/>
        <v>26.31</v>
      </c>
      <c r="D392" s="98">
        <f t="shared" si="14"/>
        <v>298.64</v>
      </c>
      <c r="E392" s="98">
        <f t="shared" si="15"/>
        <v>8722.4299999999657</v>
      </c>
      <c r="F392" s="115">
        <v>0</v>
      </c>
      <c r="G392" s="115">
        <f t="shared" si="16"/>
        <v>324.95</v>
      </c>
      <c r="I392" s="38">
        <v>356</v>
      </c>
      <c r="J392" s="115">
        <f t="shared" si="17"/>
        <v>211.83</v>
      </c>
      <c r="K392" s="115">
        <f t="shared" si="18"/>
        <v>16.52</v>
      </c>
      <c r="L392" s="115">
        <f t="shared" si="19"/>
        <v>195.31</v>
      </c>
      <c r="M392" s="115">
        <f t="shared" si="20"/>
        <v>5469.6400000004087</v>
      </c>
      <c r="N392" s="115">
        <v>0</v>
      </c>
      <c r="O392" s="115">
        <f t="shared" si="21"/>
        <v>211.83</v>
      </c>
    </row>
    <row r="393" spans="1:15" ht="14.25" customHeight="1" x14ac:dyDescent="0.35">
      <c r="A393" s="7">
        <v>357</v>
      </c>
      <c r="B393" s="98">
        <f t="shared" si="12"/>
        <v>324.95</v>
      </c>
      <c r="C393" s="98">
        <f t="shared" si="13"/>
        <v>25.44</v>
      </c>
      <c r="D393" s="98">
        <f t="shared" si="14"/>
        <v>299.51</v>
      </c>
      <c r="E393" s="98">
        <f t="shared" si="15"/>
        <v>8422.9199999999655</v>
      </c>
      <c r="F393" s="115">
        <v>0</v>
      </c>
      <c r="G393" s="115">
        <f t="shared" si="16"/>
        <v>324.95</v>
      </c>
      <c r="I393" s="38">
        <v>357</v>
      </c>
      <c r="J393" s="115">
        <f t="shared" si="17"/>
        <v>211.26</v>
      </c>
      <c r="K393" s="115">
        <f t="shared" si="18"/>
        <v>15.95</v>
      </c>
      <c r="L393" s="115">
        <f t="shared" si="19"/>
        <v>195.31</v>
      </c>
      <c r="M393" s="115">
        <f t="shared" si="20"/>
        <v>5274.3300000004083</v>
      </c>
      <c r="N393" s="115">
        <v>0</v>
      </c>
      <c r="O393" s="115">
        <f t="shared" si="21"/>
        <v>211.26</v>
      </c>
    </row>
    <row r="394" spans="1:15" ht="14.25" customHeight="1" x14ac:dyDescent="0.35">
      <c r="A394" s="7">
        <v>358</v>
      </c>
      <c r="B394" s="98">
        <f t="shared" si="12"/>
        <v>324.95</v>
      </c>
      <c r="C394" s="98">
        <f t="shared" si="13"/>
        <v>24.57</v>
      </c>
      <c r="D394" s="98">
        <f t="shared" si="14"/>
        <v>300.38</v>
      </c>
      <c r="E394" s="98">
        <f t="shared" si="15"/>
        <v>8122.5399999999654</v>
      </c>
      <c r="F394" s="115">
        <v>0</v>
      </c>
      <c r="G394" s="115">
        <f t="shared" si="16"/>
        <v>324.95</v>
      </c>
      <c r="I394" s="38">
        <v>358</v>
      </c>
      <c r="J394" s="115">
        <f t="shared" si="17"/>
        <v>210.69</v>
      </c>
      <c r="K394" s="115">
        <f t="shared" si="18"/>
        <v>15.38</v>
      </c>
      <c r="L394" s="115">
        <f t="shared" si="19"/>
        <v>195.31</v>
      </c>
      <c r="M394" s="115">
        <f t="shared" si="20"/>
        <v>5079.0200000004079</v>
      </c>
      <c r="N394" s="115">
        <v>0</v>
      </c>
      <c r="O394" s="115">
        <f t="shared" si="21"/>
        <v>210.69</v>
      </c>
    </row>
    <row r="395" spans="1:15" ht="14.25" customHeight="1" x14ac:dyDescent="0.35">
      <c r="A395" s="7">
        <v>359</v>
      </c>
      <c r="B395" s="98">
        <f t="shared" si="12"/>
        <v>324.95</v>
      </c>
      <c r="C395" s="98">
        <f t="shared" si="13"/>
        <v>23.69</v>
      </c>
      <c r="D395" s="98">
        <f t="shared" si="14"/>
        <v>301.26</v>
      </c>
      <c r="E395" s="98">
        <f t="shared" si="15"/>
        <v>7821.2799999999652</v>
      </c>
      <c r="F395" s="115">
        <v>0</v>
      </c>
      <c r="G395" s="115">
        <f t="shared" si="16"/>
        <v>324.95</v>
      </c>
      <c r="I395" s="38">
        <v>359</v>
      </c>
      <c r="J395" s="115">
        <f t="shared" si="17"/>
        <v>210.12</v>
      </c>
      <c r="K395" s="115">
        <f t="shared" si="18"/>
        <v>14.81</v>
      </c>
      <c r="L395" s="115">
        <f t="shared" si="19"/>
        <v>195.31</v>
      </c>
      <c r="M395" s="115">
        <f t="shared" si="20"/>
        <v>4883.7100000004075</v>
      </c>
      <c r="N395" s="115">
        <v>0</v>
      </c>
      <c r="O395" s="115">
        <f t="shared" si="21"/>
        <v>210.12</v>
      </c>
    </row>
    <row r="396" spans="1:15" ht="14.25" customHeight="1" x14ac:dyDescent="0.35">
      <c r="A396" s="7">
        <v>360</v>
      </c>
      <c r="B396" s="98">
        <f t="shared" si="12"/>
        <v>324.95</v>
      </c>
      <c r="C396" s="98">
        <f t="shared" si="13"/>
        <v>22.81</v>
      </c>
      <c r="D396" s="98">
        <f t="shared" si="14"/>
        <v>302.14</v>
      </c>
      <c r="E396" s="98">
        <f t="shared" si="15"/>
        <v>7519.1399999999649</v>
      </c>
      <c r="F396" s="115">
        <v>0</v>
      </c>
      <c r="G396" s="115">
        <f t="shared" si="16"/>
        <v>324.95</v>
      </c>
      <c r="I396" s="38">
        <v>360</v>
      </c>
      <c r="J396" s="115">
        <f t="shared" si="17"/>
        <v>209.55</v>
      </c>
      <c r="K396" s="115">
        <f t="shared" si="18"/>
        <v>14.24</v>
      </c>
      <c r="L396" s="115">
        <f t="shared" si="19"/>
        <v>195.31</v>
      </c>
      <c r="M396" s="115">
        <f t="shared" si="20"/>
        <v>4688.4000000004071</v>
      </c>
      <c r="N396" s="115">
        <v>0</v>
      </c>
      <c r="O396" s="115">
        <f t="shared" si="21"/>
        <v>209.55</v>
      </c>
    </row>
    <row r="397" spans="1:15" ht="14.25" customHeight="1" x14ac:dyDescent="0.35">
      <c r="A397" s="7">
        <v>361</v>
      </c>
      <c r="B397" s="98">
        <f t="shared" si="12"/>
        <v>324.95</v>
      </c>
      <c r="C397" s="98">
        <f t="shared" si="13"/>
        <v>21.93</v>
      </c>
      <c r="D397" s="98">
        <f t="shared" si="14"/>
        <v>303.02</v>
      </c>
      <c r="E397" s="98">
        <f t="shared" si="15"/>
        <v>7216.1199999999644</v>
      </c>
      <c r="F397" s="115">
        <v>0</v>
      </c>
      <c r="G397" s="115">
        <f t="shared" si="16"/>
        <v>324.95</v>
      </c>
      <c r="I397" s="38">
        <v>361</v>
      </c>
      <c r="J397" s="115">
        <f t="shared" si="17"/>
        <v>208.98</v>
      </c>
      <c r="K397" s="115">
        <f t="shared" si="18"/>
        <v>13.67</v>
      </c>
      <c r="L397" s="115">
        <f t="shared" si="19"/>
        <v>195.31</v>
      </c>
      <c r="M397" s="115">
        <f t="shared" si="20"/>
        <v>4493.0900000004067</v>
      </c>
      <c r="N397" s="115">
        <v>0</v>
      </c>
      <c r="O397" s="115">
        <f t="shared" si="21"/>
        <v>208.98</v>
      </c>
    </row>
    <row r="398" spans="1:15" ht="14.25" customHeight="1" x14ac:dyDescent="0.35">
      <c r="A398" s="7">
        <v>362</v>
      </c>
      <c r="B398" s="98">
        <f t="shared" si="12"/>
        <v>324.95</v>
      </c>
      <c r="C398" s="98">
        <f t="shared" si="13"/>
        <v>21.05</v>
      </c>
      <c r="D398" s="98">
        <f t="shared" si="14"/>
        <v>303.89999999999998</v>
      </c>
      <c r="E398" s="98">
        <f t="shared" si="15"/>
        <v>6912.2199999999648</v>
      </c>
      <c r="F398" s="115">
        <v>0</v>
      </c>
      <c r="G398" s="115">
        <f t="shared" si="16"/>
        <v>324.95</v>
      </c>
      <c r="I398" s="38">
        <v>362</v>
      </c>
      <c r="J398" s="115">
        <f t="shared" si="17"/>
        <v>208.41</v>
      </c>
      <c r="K398" s="115">
        <f t="shared" si="18"/>
        <v>13.1</v>
      </c>
      <c r="L398" s="115">
        <f t="shared" si="19"/>
        <v>195.31</v>
      </c>
      <c r="M398" s="115">
        <f t="shared" si="20"/>
        <v>4297.7800000004063</v>
      </c>
      <c r="N398" s="115">
        <v>0</v>
      </c>
      <c r="O398" s="115">
        <f t="shared" si="21"/>
        <v>208.41</v>
      </c>
    </row>
    <row r="399" spans="1:15" ht="14.25" customHeight="1" x14ac:dyDescent="0.35">
      <c r="A399" s="7">
        <v>363</v>
      </c>
      <c r="B399" s="98">
        <f t="shared" si="12"/>
        <v>324.95</v>
      </c>
      <c r="C399" s="98">
        <f t="shared" si="13"/>
        <v>20.16</v>
      </c>
      <c r="D399" s="98">
        <f t="shared" si="14"/>
        <v>304.78999999999996</v>
      </c>
      <c r="E399" s="98">
        <f t="shared" si="15"/>
        <v>6607.4299999999648</v>
      </c>
      <c r="F399" s="115">
        <v>0</v>
      </c>
      <c r="G399" s="115">
        <f t="shared" si="16"/>
        <v>324.95</v>
      </c>
      <c r="I399" s="38">
        <v>363</v>
      </c>
      <c r="J399" s="115">
        <f t="shared" si="17"/>
        <v>207.85</v>
      </c>
      <c r="K399" s="115">
        <f t="shared" si="18"/>
        <v>12.54</v>
      </c>
      <c r="L399" s="115">
        <f t="shared" si="19"/>
        <v>195.31</v>
      </c>
      <c r="M399" s="115">
        <f t="shared" si="20"/>
        <v>4102.4700000004059</v>
      </c>
      <c r="N399" s="115">
        <v>0</v>
      </c>
      <c r="O399" s="115">
        <f t="shared" si="21"/>
        <v>207.85</v>
      </c>
    </row>
    <row r="400" spans="1:15" ht="14.25" customHeight="1" x14ac:dyDescent="0.35">
      <c r="A400" s="7">
        <v>364</v>
      </c>
      <c r="B400" s="98">
        <f t="shared" si="12"/>
        <v>324.95</v>
      </c>
      <c r="C400" s="98">
        <f t="shared" si="13"/>
        <v>19.27</v>
      </c>
      <c r="D400" s="98">
        <f t="shared" si="14"/>
        <v>305.68</v>
      </c>
      <c r="E400" s="98">
        <f t="shared" si="15"/>
        <v>6301.7499999999645</v>
      </c>
      <c r="F400" s="115">
        <v>0</v>
      </c>
      <c r="G400" s="115">
        <f t="shared" si="16"/>
        <v>324.95</v>
      </c>
      <c r="I400" s="38">
        <v>364</v>
      </c>
      <c r="J400" s="115">
        <f t="shared" si="17"/>
        <v>207.28</v>
      </c>
      <c r="K400" s="115">
        <f t="shared" si="18"/>
        <v>11.97</v>
      </c>
      <c r="L400" s="115">
        <f t="shared" si="19"/>
        <v>195.31</v>
      </c>
      <c r="M400" s="115">
        <f t="shared" si="20"/>
        <v>3907.1600000004059</v>
      </c>
      <c r="N400" s="115">
        <v>0</v>
      </c>
      <c r="O400" s="115">
        <f t="shared" si="21"/>
        <v>207.28</v>
      </c>
    </row>
    <row r="401" spans="1:15" ht="14.25" customHeight="1" x14ac:dyDescent="0.35">
      <c r="A401" s="7">
        <v>365</v>
      </c>
      <c r="B401" s="98">
        <f t="shared" si="12"/>
        <v>324.95</v>
      </c>
      <c r="C401" s="98">
        <f t="shared" si="13"/>
        <v>18.38</v>
      </c>
      <c r="D401" s="98">
        <f t="shared" si="14"/>
        <v>306.57</v>
      </c>
      <c r="E401" s="98">
        <f t="shared" si="15"/>
        <v>5995.1799999999648</v>
      </c>
      <c r="F401" s="115">
        <v>0</v>
      </c>
      <c r="G401" s="115">
        <f t="shared" si="16"/>
        <v>324.95</v>
      </c>
      <c r="I401" s="38">
        <v>365</v>
      </c>
      <c r="J401" s="115">
        <f t="shared" si="17"/>
        <v>206.71</v>
      </c>
      <c r="K401" s="115">
        <f t="shared" si="18"/>
        <v>11.4</v>
      </c>
      <c r="L401" s="115">
        <f t="shared" si="19"/>
        <v>195.31</v>
      </c>
      <c r="M401" s="115">
        <f t="shared" si="20"/>
        <v>3711.850000000406</v>
      </c>
      <c r="N401" s="115">
        <v>0</v>
      </c>
      <c r="O401" s="115">
        <f t="shared" si="21"/>
        <v>206.71</v>
      </c>
    </row>
    <row r="402" spans="1:15" ht="14.25" customHeight="1" x14ac:dyDescent="0.35">
      <c r="A402" s="7">
        <v>366</v>
      </c>
      <c r="B402" s="98">
        <f t="shared" si="12"/>
        <v>324.95</v>
      </c>
      <c r="C402" s="98">
        <f t="shared" si="13"/>
        <v>17.489999999999998</v>
      </c>
      <c r="D402" s="98">
        <f t="shared" si="14"/>
        <v>307.45999999999998</v>
      </c>
      <c r="E402" s="98">
        <f t="shared" si="15"/>
        <v>5687.7199999999648</v>
      </c>
      <c r="F402" s="115">
        <v>0</v>
      </c>
      <c r="G402" s="115">
        <f t="shared" si="16"/>
        <v>324.95</v>
      </c>
      <c r="I402" s="38">
        <v>366</v>
      </c>
      <c r="J402" s="115">
        <f t="shared" si="17"/>
        <v>206.14000000000001</v>
      </c>
      <c r="K402" s="115">
        <f t="shared" si="18"/>
        <v>10.83</v>
      </c>
      <c r="L402" s="115">
        <f t="shared" si="19"/>
        <v>195.31</v>
      </c>
      <c r="M402" s="115">
        <f t="shared" si="20"/>
        <v>3516.5400000004061</v>
      </c>
      <c r="N402" s="115">
        <v>0</v>
      </c>
      <c r="O402" s="115">
        <f t="shared" si="21"/>
        <v>206.14000000000001</v>
      </c>
    </row>
    <row r="403" spans="1:15" ht="14.25" customHeight="1" x14ac:dyDescent="0.35">
      <c r="A403" s="7">
        <v>367</v>
      </c>
      <c r="B403" s="98">
        <f t="shared" si="12"/>
        <v>324.95</v>
      </c>
      <c r="C403" s="98">
        <f t="shared" si="13"/>
        <v>16.59</v>
      </c>
      <c r="D403" s="98">
        <f t="shared" si="14"/>
        <v>308.36</v>
      </c>
      <c r="E403" s="98">
        <f t="shared" si="15"/>
        <v>5379.3599999999651</v>
      </c>
      <c r="F403" s="115">
        <v>0</v>
      </c>
      <c r="G403" s="115">
        <f t="shared" si="16"/>
        <v>324.95</v>
      </c>
      <c r="I403" s="38">
        <v>367</v>
      </c>
      <c r="J403" s="115">
        <f t="shared" si="17"/>
        <v>205.57</v>
      </c>
      <c r="K403" s="115">
        <f t="shared" si="18"/>
        <v>10.26</v>
      </c>
      <c r="L403" s="115">
        <f t="shared" si="19"/>
        <v>195.31</v>
      </c>
      <c r="M403" s="115">
        <f t="shared" si="20"/>
        <v>3321.2300000004061</v>
      </c>
      <c r="N403" s="115">
        <v>0</v>
      </c>
      <c r="O403" s="115">
        <f t="shared" si="21"/>
        <v>205.57</v>
      </c>
    </row>
    <row r="404" spans="1:15" ht="14.25" customHeight="1" x14ac:dyDescent="0.35">
      <c r="A404" s="7">
        <v>368</v>
      </c>
      <c r="B404" s="98">
        <f t="shared" si="12"/>
        <v>324.95</v>
      </c>
      <c r="C404" s="98">
        <f t="shared" si="13"/>
        <v>15.69</v>
      </c>
      <c r="D404" s="98">
        <f t="shared" si="14"/>
        <v>309.26</v>
      </c>
      <c r="E404" s="98">
        <f t="shared" si="15"/>
        <v>5070.0999999999649</v>
      </c>
      <c r="F404" s="115">
        <v>0</v>
      </c>
      <c r="G404" s="115">
        <f t="shared" si="16"/>
        <v>324.95</v>
      </c>
      <c r="I404" s="38">
        <v>368</v>
      </c>
      <c r="J404" s="115">
        <f t="shared" si="17"/>
        <v>205</v>
      </c>
      <c r="K404" s="115">
        <f t="shared" si="18"/>
        <v>9.69</v>
      </c>
      <c r="L404" s="115">
        <f t="shared" si="19"/>
        <v>195.31</v>
      </c>
      <c r="M404" s="115">
        <f t="shared" si="20"/>
        <v>3125.9200000004062</v>
      </c>
      <c r="N404" s="115">
        <v>0</v>
      </c>
      <c r="O404" s="115">
        <f t="shared" si="21"/>
        <v>205</v>
      </c>
    </row>
    <row r="405" spans="1:15" ht="14.25" customHeight="1" x14ac:dyDescent="0.35">
      <c r="A405" s="7">
        <v>369</v>
      </c>
      <c r="B405" s="98">
        <f t="shared" si="12"/>
        <v>324.95</v>
      </c>
      <c r="C405" s="98">
        <f t="shared" si="13"/>
        <v>14.79</v>
      </c>
      <c r="D405" s="98">
        <f t="shared" si="14"/>
        <v>310.15999999999997</v>
      </c>
      <c r="E405" s="98">
        <f t="shared" si="15"/>
        <v>4759.939999999965</v>
      </c>
      <c r="F405" s="115">
        <v>0</v>
      </c>
      <c r="G405" s="115">
        <f t="shared" si="16"/>
        <v>324.95</v>
      </c>
      <c r="I405" s="38">
        <v>369</v>
      </c>
      <c r="J405" s="115">
        <f t="shared" si="17"/>
        <v>204.43</v>
      </c>
      <c r="K405" s="115">
        <f t="shared" si="18"/>
        <v>9.1199999999999992</v>
      </c>
      <c r="L405" s="115">
        <f t="shared" si="19"/>
        <v>195.31</v>
      </c>
      <c r="M405" s="115">
        <f t="shared" si="20"/>
        <v>2930.6100000004062</v>
      </c>
      <c r="N405" s="115">
        <v>0</v>
      </c>
      <c r="O405" s="115">
        <f t="shared" si="21"/>
        <v>204.43</v>
      </c>
    </row>
    <row r="406" spans="1:15" ht="14.25" customHeight="1" x14ac:dyDescent="0.35">
      <c r="A406" s="7">
        <v>370</v>
      </c>
      <c r="B406" s="98">
        <f t="shared" si="12"/>
        <v>324.95</v>
      </c>
      <c r="C406" s="98">
        <f t="shared" si="13"/>
        <v>13.88</v>
      </c>
      <c r="D406" s="98">
        <f t="shared" si="14"/>
        <v>311.07</v>
      </c>
      <c r="E406" s="98">
        <f t="shared" si="15"/>
        <v>4448.8699999999653</v>
      </c>
      <c r="F406" s="115">
        <v>0</v>
      </c>
      <c r="G406" s="115">
        <f t="shared" si="16"/>
        <v>324.95</v>
      </c>
      <c r="I406" s="38">
        <v>370</v>
      </c>
      <c r="J406" s="115">
        <f t="shared" si="17"/>
        <v>203.86</v>
      </c>
      <c r="K406" s="115">
        <f t="shared" si="18"/>
        <v>8.5500000000000007</v>
      </c>
      <c r="L406" s="115">
        <f t="shared" si="19"/>
        <v>195.31</v>
      </c>
      <c r="M406" s="115">
        <f t="shared" si="20"/>
        <v>2735.3000000004063</v>
      </c>
      <c r="N406" s="115">
        <v>0</v>
      </c>
      <c r="O406" s="115">
        <f t="shared" si="21"/>
        <v>203.86</v>
      </c>
    </row>
    <row r="407" spans="1:15" ht="14.25" customHeight="1" x14ac:dyDescent="0.35">
      <c r="A407" s="7">
        <v>371</v>
      </c>
      <c r="B407" s="98">
        <f t="shared" si="12"/>
        <v>324.95</v>
      </c>
      <c r="C407" s="98">
        <f t="shared" si="13"/>
        <v>12.98</v>
      </c>
      <c r="D407" s="98">
        <f t="shared" si="14"/>
        <v>311.96999999999997</v>
      </c>
      <c r="E407" s="98">
        <f t="shared" si="15"/>
        <v>4136.8999999999651</v>
      </c>
      <c r="F407" s="115">
        <v>0</v>
      </c>
      <c r="G407" s="115">
        <f t="shared" si="16"/>
        <v>324.95</v>
      </c>
      <c r="I407" s="38">
        <v>371</v>
      </c>
      <c r="J407" s="115">
        <f t="shared" si="17"/>
        <v>203.29</v>
      </c>
      <c r="K407" s="115">
        <f t="shared" si="18"/>
        <v>7.98</v>
      </c>
      <c r="L407" s="115">
        <f t="shared" si="19"/>
        <v>195.31</v>
      </c>
      <c r="M407" s="115">
        <f t="shared" si="20"/>
        <v>2539.9900000004063</v>
      </c>
      <c r="N407" s="115">
        <v>0</v>
      </c>
      <c r="O407" s="115">
        <f t="shared" si="21"/>
        <v>203.29</v>
      </c>
    </row>
    <row r="408" spans="1:15" ht="14.25" customHeight="1" x14ac:dyDescent="0.35">
      <c r="A408" s="7">
        <v>372</v>
      </c>
      <c r="B408" s="98">
        <f t="shared" si="12"/>
        <v>324.95</v>
      </c>
      <c r="C408" s="98">
        <f t="shared" si="13"/>
        <v>12.07</v>
      </c>
      <c r="D408" s="98">
        <f t="shared" si="14"/>
        <v>312.88</v>
      </c>
      <c r="E408" s="98">
        <f t="shared" si="15"/>
        <v>3824.019999999965</v>
      </c>
      <c r="F408" s="115">
        <v>0</v>
      </c>
      <c r="G408" s="115">
        <f t="shared" si="16"/>
        <v>324.95</v>
      </c>
      <c r="I408" s="38">
        <v>372</v>
      </c>
      <c r="J408" s="115">
        <f t="shared" si="17"/>
        <v>202.72</v>
      </c>
      <c r="K408" s="115">
        <f t="shared" si="18"/>
        <v>7.41</v>
      </c>
      <c r="L408" s="115">
        <f t="shared" si="19"/>
        <v>195.31</v>
      </c>
      <c r="M408" s="115">
        <f t="shared" si="20"/>
        <v>2344.6800000004064</v>
      </c>
      <c r="N408" s="115">
        <v>0</v>
      </c>
      <c r="O408" s="115">
        <f t="shared" si="21"/>
        <v>202.72</v>
      </c>
    </row>
    <row r="409" spans="1:15" ht="14.25" customHeight="1" x14ac:dyDescent="0.35">
      <c r="A409" s="7">
        <v>373</v>
      </c>
      <c r="B409" s="98">
        <f t="shared" si="12"/>
        <v>324.95</v>
      </c>
      <c r="C409" s="98">
        <f t="shared" si="13"/>
        <v>11.15</v>
      </c>
      <c r="D409" s="98">
        <f t="shared" si="14"/>
        <v>313.8</v>
      </c>
      <c r="E409" s="98">
        <f t="shared" si="15"/>
        <v>3510.2199999999648</v>
      </c>
      <c r="F409" s="115">
        <v>0</v>
      </c>
      <c r="G409" s="115">
        <f t="shared" si="16"/>
        <v>324.95</v>
      </c>
      <c r="I409" s="38">
        <v>373</v>
      </c>
      <c r="J409" s="115">
        <f t="shared" si="17"/>
        <v>202.15</v>
      </c>
      <c r="K409" s="115">
        <f t="shared" si="18"/>
        <v>6.84</v>
      </c>
      <c r="L409" s="115">
        <f t="shared" si="19"/>
        <v>195.31</v>
      </c>
      <c r="M409" s="115">
        <f t="shared" si="20"/>
        <v>2149.3700000004064</v>
      </c>
      <c r="N409" s="115">
        <v>0</v>
      </c>
      <c r="O409" s="115">
        <f t="shared" si="21"/>
        <v>202.15</v>
      </c>
    </row>
    <row r="410" spans="1:15" ht="14.25" customHeight="1" x14ac:dyDescent="0.35">
      <c r="A410" s="7">
        <v>374</v>
      </c>
      <c r="B410" s="98">
        <f t="shared" si="12"/>
        <v>324.95</v>
      </c>
      <c r="C410" s="98">
        <f t="shared" si="13"/>
        <v>10.24</v>
      </c>
      <c r="D410" s="98">
        <f t="shared" si="14"/>
        <v>314.70999999999998</v>
      </c>
      <c r="E410" s="98">
        <f t="shared" si="15"/>
        <v>3195.5099999999647</v>
      </c>
      <c r="F410" s="115">
        <v>0</v>
      </c>
      <c r="G410" s="115">
        <f t="shared" si="16"/>
        <v>324.95</v>
      </c>
      <c r="I410" s="38">
        <v>374</v>
      </c>
      <c r="J410" s="115">
        <f t="shared" si="17"/>
        <v>201.58</v>
      </c>
      <c r="K410" s="115">
        <f t="shared" si="18"/>
        <v>6.27</v>
      </c>
      <c r="L410" s="115">
        <f t="shared" si="19"/>
        <v>195.31</v>
      </c>
      <c r="M410" s="115">
        <f t="shared" si="20"/>
        <v>1954.0600000004065</v>
      </c>
      <c r="N410" s="115">
        <v>0</v>
      </c>
      <c r="O410" s="115">
        <f t="shared" si="21"/>
        <v>201.58</v>
      </c>
    </row>
    <row r="411" spans="1:15" ht="14.25" customHeight="1" x14ac:dyDescent="0.35">
      <c r="A411" s="7">
        <v>375</v>
      </c>
      <c r="B411" s="98">
        <f t="shared" si="12"/>
        <v>324.95</v>
      </c>
      <c r="C411" s="98">
        <f t="shared" si="13"/>
        <v>9.32</v>
      </c>
      <c r="D411" s="98">
        <f t="shared" si="14"/>
        <v>315.63</v>
      </c>
      <c r="E411" s="98">
        <f t="shared" si="15"/>
        <v>2879.8799999999646</v>
      </c>
      <c r="F411" s="115">
        <v>0</v>
      </c>
      <c r="G411" s="115">
        <f t="shared" si="16"/>
        <v>324.95</v>
      </c>
      <c r="I411" s="38">
        <v>375</v>
      </c>
      <c r="J411" s="115">
        <f t="shared" si="17"/>
        <v>201.01</v>
      </c>
      <c r="K411" s="115">
        <f t="shared" si="18"/>
        <v>5.7</v>
      </c>
      <c r="L411" s="115">
        <f t="shared" si="19"/>
        <v>195.31</v>
      </c>
      <c r="M411" s="115">
        <f t="shared" si="20"/>
        <v>1758.7500000004065</v>
      </c>
      <c r="N411" s="115">
        <v>0</v>
      </c>
      <c r="O411" s="115">
        <f t="shared" si="21"/>
        <v>201.01</v>
      </c>
    </row>
    <row r="412" spans="1:15" ht="14.25" customHeight="1" x14ac:dyDescent="0.35">
      <c r="A412" s="7">
        <v>376</v>
      </c>
      <c r="B412" s="98">
        <f t="shared" si="12"/>
        <v>324.95</v>
      </c>
      <c r="C412" s="98">
        <f t="shared" si="13"/>
        <v>8.4</v>
      </c>
      <c r="D412" s="98">
        <f t="shared" si="14"/>
        <v>316.55</v>
      </c>
      <c r="E412" s="98">
        <f t="shared" si="15"/>
        <v>2563.3299999999645</v>
      </c>
      <c r="F412" s="115">
        <v>0</v>
      </c>
      <c r="G412" s="115">
        <f t="shared" si="16"/>
        <v>324.95</v>
      </c>
      <c r="I412" s="38">
        <v>376</v>
      </c>
      <c r="J412" s="115">
        <f t="shared" si="17"/>
        <v>200.44</v>
      </c>
      <c r="K412" s="115">
        <f t="shared" si="18"/>
        <v>5.13</v>
      </c>
      <c r="L412" s="115">
        <f t="shared" si="19"/>
        <v>195.31</v>
      </c>
      <c r="M412" s="115">
        <f t="shared" si="20"/>
        <v>1563.4400000004066</v>
      </c>
      <c r="N412" s="115">
        <v>0</v>
      </c>
      <c r="O412" s="115">
        <f t="shared" si="21"/>
        <v>200.44</v>
      </c>
    </row>
    <row r="413" spans="1:15" ht="14.25" customHeight="1" x14ac:dyDescent="0.35">
      <c r="A413" s="7">
        <v>377</v>
      </c>
      <c r="B413" s="98">
        <f t="shared" si="12"/>
        <v>324.95</v>
      </c>
      <c r="C413" s="98">
        <f t="shared" si="13"/>
        <v>7.48</v>
      </c>
      <c r="D413" s="98">
        <f t="shared" si="14"/>
        <v>317.46999999999997</v>
      </c>
      <c r="E413" s="98">
        <f t="shared" si="15"/>
        <v>2245.8599999999647</v>
      </c>
      <c r="F413" s="115">
        <v>0</v>
      </c>
      <c r="G413" s="115">
        <f t="shared" si="16"/>
        <v>324.95</v>
      </c>
      <c r="I413" s="38">
        <v>377</v>
      </c>
      <c r="J413" s="115">
        <f t="shared" si="17"/>
        <v>199.87</v>
      </c>
      <c r="K413" s="115">
        <f t="shared" si="18"/>
        <v>4.5599999999999996</v>
      </c>
      <c r="L413" s="115">
        <f t="shared" si="19"/>
        <v>195.31</v>
      </c>
      <c r="M413" s="115">
        <f t="shared" si="20"/>
        <v>1368.1300000004067</v>
      </c>
      <c r="N413" s="115">
        <v>0</v>
      </c>
      <c r="O413" s="115">
        <f t="shared" si="21"/>
        <v>199.87</v>
      </c>
    </row>
    <row r="414" spans="1:15" ht="14.25" customHeight="1" x14ac:dyDescent="0.35">
      <c r="A414" s="7">
        <v>378</v>
      </c>
      <c r="B414" s="98">
        <f t="shared" si="12"/>
        <v>324.95</v>
      </c>
      <c r="C414" s="98">
        <f t="shared" si="13"/>
        <v>6.55</v>
      </c>
      <c r="D414" s="98">
        <f t="shared" si="14"/>
        <v>318.39999999999998</v>
      </c>
      <c r="E414" s="98">
        <f t="shared" si="15"/>
        <v>1927.4599999999646</v>
      </c>
      <c r="F414" s="115">
        <v>0</v>
      </c>
      <c r="G414" s="115">
        <f t="shared" si="16"/>
        <v>324.95</v>
      </c>
      <c r="I414" s="38">
        <v>378</v>
      </c>
      <c r="J414" s="115">
        <f t="shared" si="17"/>
        <v>199.3</v>
      </c>
      <c r="K414" s="115">
        <f t="shared" si="18"/>
        <v>3.99</v>
      </c>
      <c r="L414" s="115">
        <f t="shared" si="19"/>
        <v>195.31</v>
      </c>
      <c r="M414" s="115">
        <f t="shared" si="20"/>
        <v>1172.8200000004067</v>
      </c>
      <c r="N414" s="115">
        <v>0</v>
      </c>
      <c r="O414" s="115">
        <f t="shared" si="21"/>
        <v>199.3</v>
      </c>
    </row>
    <row r="415" spans="1:15" ht="14.25" customHeight="1" x14ac:dyDescent="0.35">
      <c r="A415" s="7">
        <v>379</v>
      </c>
      <c r="B415" s="98">
        <f t="shared" si="12"/>
        <v>324.95</v>
      </c>
      <c r="C415" s="98">
        <f t="shared" si="13"/>
        <v>5.62</v>
      </c>
      <c r="D415" s="98">
        <f t="shared" si="14"/>
        <v>319.33</v>
      </c>
      <c r="E415" s="98">
        <f t="shared" si="15"/>
        <v>1608.1299999999646</v>
      </c>
      <c r="F415" s="115">
        <v>0</v>
      </c>
      <c r="G415" s="115">
        <f t="shared" si="16"/>
        <v>324.95</v>
      </c>
      <c r="I415" s="38">
        <v>379</v>
      </c>
      <c r="J415" s="115">
        <f t="shared" si="17"/>
        <v>198.73</v>
      </c>
      <c r="K415" s="115">
        <f t="shared" si="18"/>
        <v>3.42</v>
      </c>
      <c r="L415" s="115">
        <f t="shared" si="19"/>
        <v>195.31</v>
      </c>
      <c r="M415" s="115">
        <f t="shared" si="20"/>
        <v>977.51000000040676</v>
      </c>
      <c r="N415" s="115">
        <v>0</v>
      </c>
      <c r="O415" s="115">
        <f t="shared" si="21"/>
        <v>198.73</v>
      </c>
    </row>
    <row r="416" spans="1:15" ht="14.25" customHeight="1" x14ac:dyDescent="0.35">
      <c r="A416" s="7">
        <v>380</v>
      </c>
      <c r="B416" s="98">
        <f t="shared" si="12"/>
        <v>324.95</v>
      </c>
      <c r="C416" s="98">
        <f t="shared" si="13"/>
        <v>4.6900000000000004</v>
      </c>
      <c r="D416" s="98">
        <f t="shared" si="14"/>
        <v>320.26</v>
      </c>
      <c r="E416" s="98">
        <f t="shared" si="15"/>
        <v>1287.8699999999646</v>
      </c>
      <c r="F416" s="115">
        <v>0</v>
      </c>
      <c r="G416" s="115">
        <f t="shared" si="16"/>
        <v>324.95</v>
      </c>
      <c r="I416" s="38">
        <v>380</v>
      </c>
      <c r="J416" s="115">
        <f t="shared" si="17"/>
        <v>198.16</v>
      </c>
      <c r="K416" s="115">
        <f t="shared" si="18"/>
        <v>2.85</v>
      </c>
      <c r="L416" s="115">
        <f t="shared" si="19"/>
        <v>195.31</v>
      </c>
      <c r="M416" s="115">
        <f t="shared" si="20"/>
        <v>782.20000000040682</v>
      </c>
      <c r="N416" s="115">
        <v>0</v>
      </c>
      <c r="O416" s="115">
        <f t="shared" si="21"/>
        <v>198.16</v>
      </c>
    </row>
    <row r="417" spans="1:15" ht="14.25" customHeight="1" x14ac:dyDescent="0.35">
      <c r="A417" s="7">
        <v>381</v>
      </c>
      <c r="B417" s="98">
        <f t="shared" si="12"/>
        <v>324.95</v>
      </c>
      <c r="C417" s="98">
        <f t="shared" si="13"/>
        <v>3.76</v>
      </c>
      <c r="D417" s="98">
        <f t="shared" si="14"/>
        <v>321.19</v>
      </c>
      <c r="E417" s="98">
        <f t="shared" si="15"/>
        <v>966.67999999996459</v>
      </c>
      <c r="F417" s="115">
        <v>0</v>
      </c>
      <c r="G417" s="115">
        <f t="shared" si="16"/>
        <v>324.95</v>
      </c>
      <c r="I417" s="38">
        <v>381</v>
      </c>
      <c r="J417" s="115">
        <f t="shared" si="17"/>
        <v>197.59</v>
      </c>
      <c r="K417" s="115">
        <f t="shared" si="18"/>
        <v>2.2799999999999998</v>
      </c>
      <c r="L417" s="115">
        <f t="shared" si="19"/>
        <v>195.31</v>
      </c>
      <c r="M417" s="115">
        <f t="shared" si="20"/>
        <v>586.89000000040687</v>
      </c>
      <c r="N417" s="115">
        <v>0</v>
      </c>
      <c r="O417" s="115">
        <f t="shared" si="21"/>
        <v>197.59</v>
      </c>
    </row>
    <row r="418" spans="1:15" ht="14.25" customHeight="1" x14ac:dyDescent="0.35">
      <c r="A418" s="7">
        <v>382</v>
      </c>
      <c r="B418" s="98">
        <f t="shared" si="12"/>
        <v>324.95</v>
      </c>
      <c r="C418" s="98">
        <f t="shared" si="13"/>
        <v>2.82</v>
      </c>
      <c r="D418" s="98">
        <f t="shared" si="14"/>
        <v>322.13</v>
      </c>
      <c r="E418" s="98">
        <f t="shared" si="15"/>
        <v>644.5499999999646</v>
      </c>
      <c r="F418" s="115">
        <v>0</v>
      </c>
      <c r="G418" s="115">
        <f t="shared" si="16"/>
        <v>324.95</v>
      </c>
      <c r="I418" s="38">
        <v>382</v>
      </c>
      <c r="J418" s="115">
        <f t="shared" si="17"/>
        <v>197.02</v>
      </c>
      <c r="K418" s="115">
        <f t="shared" si="18"/>
        <v>1.71</v>
      </c>
      <c r="L418" s="115">
        <f t="shared" si="19"/>
        <v>195.31</v>
      </c>
      <c r="M418" s="115">
        <f t="shared" si="20"/>
        <v>391.58000000040687</v>
      </c>
      <c r="N418" s="115">
        <v>0</v>
      </c>
      <c r="O418" s="115">
        <f t="shared" si="21"/>
        <v>197.02</v>
      </c>
    </row>
    <row r="419" spans="1:15" ht="14.25" customHeight="1" x14ac:dyDescent="0.35">
      <c r="A419" s="7">
        <v>383</v>
      </c>
      <c r="B419" s="98">
        <f t="shared" si="12"/>
        <v>324.95</v>
      </c>
      <c r="C419" s="98">
        <f t="shared" si="13"/>
        <v>1.88</v>
      </c>
      <c r="D419" s="98">
        <f t="shared" si="14"/>
        <v>323.07</v>
      </c>
      <c r="E419" s="98">
        <f t="shared" si="15"/>
        <v>321.4799999999646</v>
      </c>
      <c r="F419" s="115">
        <v>0</v>
      </c>
      <c r="G419" s="115">
        <f t="shared" si="16"/>
        <v>324.95</v>
      </c>
      <c r="I419" s="38">
        <v>383</v>
      </c>
      <c r="J419" s="115">
        <f t="shared" si="17"/>
        <v>196.45</v>
      </c>
      <c r="K419" s="115">
        <f t="shared" si="18"/>
        <v>1.1399999999999999</v>
      </c>
      <c r="L419" s="115">
        <f t="shared" si="19"/>
        <v>195.31</v>
      </c>
      <c r="M419" s="117">
        <f t="shared" si="20"/>
        <v>196.27000000040687</v>
      </c>
      <c r="N419" s="115">
        <v>0</v>
      </c>
      <c r="O419" s="115">
        <f t="shared" si="21"/>
        <v>196.45</v>
      </c>
    </row>
    <row r="420" spans="1:15" ht="14.25" customHeight="1" x14ac:dyDescent="0.35">
      <c r="A420" s="7">
        <v>384</v>
      </c>
      <c r="B420" s="98">
        <f t="shared" si="12"/>
        <v>324.95</v>
      </c>
      <c r="C420" s="98">
        <f t="shared" si="13"/>
        <v>0.94</v>
      </c>
      <c r="D420" s="98">
        <f t="shared" si="14"/>
        <v>324.01</v>
      </c>
      <c r="E420" s="98">
        <f t="shared" si="15"/>
        <v>-2.5300000000353862</v>
      </c>
      <c r="F420" s="115">
        <v>0</v>
      </c>
      <c r="G420" s="115">
        <f t="shared" si="16"/>
        <v>324.95</v>
      </c>
      <c r="I420" s="38">
        <v>384</v>
      </c>
      <c r="J420" s="115">
        <f t="shared" si="17"/>
        <v>195.88</v>
      </c>
      <c r="K420" s="115">
        <f t="shared" si="18"/>
        <v>0.56999999999999995</v>
      </c>
      <c r="L420" s="118">
        <f t="shared" si="19"/>
        <v>195.31</v>
      </c>
      <c r="M420" s="115">
        <f t="shared" si="20"/>
        <v>0.96000000040686473</v>
      </c>
      <c r="N420" s="115">
        <v>0</v>
      </c>
      <c r="O420" s="115">
        <f t="shared" si="21"/>
        <v>195.88</v>
      </c>
    </row>
    <row r="421" spans="1:15" ht="14.25" customHeight="1" x14ac:dyDescent="0.35">
      <c r="A421" s="12"/>
      <c r="B421" s="89">
        <f t="shared" ref="B421:D421" si="22">SUM(B37:B420)</f>
        <v>124780.79999999923</v>
      </c>
      <c r="C421" s="89">
        <f t="shared" si="22"/>
        <v>49778.270000000011</v>
      </c>
      <c r="D421" s="89">
        <f t="shared" si="22"/>
        <v>75002.530000000057</v>
      </c>
      <c r="E421" s="110"/>
      <c r="F421" s="89">
        <f t="shared" ref="F421:G421" si="23">SUM(F37:F420)</f>
        <v>5849.3999999999915</v>
      </c>
      <c r="G421" s="89">
        <f t="shared" si="23"/>
        <v>118931.39999999925</v>
      </c>
      <c r="J421" s="89">
        <f t="shared" ref="J421:L421" si="24">SUM(J37:J420)</f>
        <v>117108.94000000003</v>
      </c>
      <c r="K421" s="89">
        <f t="shared" si="24"/>
        <v>42109.900000000023</v>
      </c>
      <c r="L421" s="89">
        <f t="shared" si="24"/>
        <v>74999.039999999601</v>
      </c>
      <c r="M421" s="89"/>
      <c r="N421" s="89">
        <f t="shared" ref="N421:O421" si="25">SUM(N37:N420)</f>
        <v>7150.6399999999994</v>
      </c>
      <c r="O421" s="89">
        <f t="shared" si="25"/>
        <v>109958.29999999999</v>
      </c>
    </row>
    <row r="422" spans="1:15" ht="14.25" customHeight="1" x14ac:dyDescent="0.35"/>
    <row r="423" spans="1:15" ht="14.25" customHeight="1" x14ac:dyDescent="0.35"/>
    <row r="424" spans="1:15" ht="14.25" customHeight="1" x14ac:dyDescent="0.35"/>
    <row r="425" spans="1:15" ht="14.25" customHeight="1" x14ac:dyDescent="0.35"/>
    <row r="426" spans="1:15" ht="14.25" customHeight="1" x14ac:dyDescent="0.35"/>
    <row r="427" spans="1:15" ht="14.25" customHeight="1" x14ac:dyDescent="0.35"/>
    <row r="428" spans="1:15" ht="14.25" customHeight="1" x14ac:dyDescent="0.35"/>
    <row r="429" spans="1:15" ht="14.25" customHeight="1" x14ac:dyDescent="0.35"/>
    <row r="430" spans="1:15" ht="14.25" customHeight="1" x14ac:dyDescent="0.35"/>
    <row r="431" spans="1:15" ht="14.25" customHeight="1" x14ac:dyDescent="0.35"/>
    <row r="432" spans="1:15"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K6"/>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000"/>
  <sheetViews>
    <sheetView workbookViewId="0">
      <selection activeCell="A2" sqref="A2"/>
    </sheetView>
  </sheetViews>
  <sheetFormatPr defaultColWidth="14.453125" defaultRowHeight="15" customHeight="1" x14ac:dyDescent="0.35"/>
  <cols>
    <col min="1" max="1" width="7.453125" customWidth="1"/>
    <col min="2" max="2" width="12.36328125" customWidth="1"/>
    <col min="3" max="26" width="8.6328125" customWidth="1"/>
  </cols>
  <sheetData>
    <row r="1" spans="1:5" ht="15" customHeight="1" x14ac:dyDescent="0.35">
      <c r="A1" s="119" t="s">
        <v>273</v>
      </c>
    </row>
    <row r="2" spans="1:5" ht="15" customHeight="1" x14ac:dyDescent="0.35">
      <c r="A2" s="119" t="s">
        <v>202</v>
      </c>
    </row>
    <row r="3" spans="1:5" ht="15" customHeight="1" x14ac:dyDescent="0.35">
      <c r="A3" s="119" t="s">
        <v>248</v>
      </c>
    </row>
    <row r="4" spans="1:5" ht="15" customHeight="1" x14ac:dyDescent="0.35">
      <c r="A4" s="119" t="s">
        <v>203</v>
      </c>
    </row>
    <row r="5" spans="1:5" ht="15" customHeight="1" x14ac:dyDescent="0.35">
      <c r="A5" s="119" t="s">
        <v>204</v>
      </c>
    </row>
    <row r="6" spans="1:5" ht="15" customHeight="1" x14ac:dyDescent="0.35">
      <c r="A6" s="119" t="s">
        <v>205</v>
      </c>
    </row>
    <row r="11" spans="1:5" ht="15" customHeight="1" x14ac:dyDescent="0.35">
      <c r="A11" s="120" t="s">
        <v>206</v>
      </c>
      <c r="B11" s="120" t="s">
        <v>207</v>
      </c>
    </row>
    <row r="12" spans="1:5" ht="15" customHeight="1" x14ac:dyDescent="0.35">
      <c r="A12" s="7">
        <v>2002</v>
      </c>
      <c r="B12" s="7">
        <v>25450</v>
      </c>
    </row>
    <row r="13" spans="1:5" ht="15" customHeight="1" x14ac:dyDescent="0.35">
      <c r="A13" s="7">
        <v>2003</v>
      </c>
      <c r="B13" s="121">
        <f t="shared" ref="B13:B40" si="0">B12-450</f>
        <v>25000</v>
      </c>
      <c r="D13" s="3" t="s">
        <v>208</v>
      </c>
      <c r="E13" s="56">
        <v>2015</v>
      </c>
    </row>
    <row r="14" spans="1:5" ht="15" customHeight="1" x14ac:dyDescent="0.35">
      <c r="A14" s="7">
        <v>2004</v>
      </c>
      <c r="B14" s="121">
        <f t="shared" si="0"/>
        <v>24550</v>
      </c>
    </row>
    <row r="15" spans="1:5" ht="15" customHeight="1" x14ac:dyDescent="0.35">
      <c r="A15" s="7">
        <v>2005</v>
      </c>
      <c r="B15" s="121">
        <f t="shared" si="0"/>
        <v>24100</v>
      </c>
    </row>
    <row r="16" spans="1:5" ht="15" customHeight="1" x14ac:dyDescent="0.35">
      <c r="A16" s="7">
        <v>2006</v>
      </c>
      <c r="B16" s="121">
        <f t="shared" si="0"/>
        <v>23650</v>
      </c>
      <c r="D16" s="3" t="s">
        <v>209</v>
      </c>
    </row>
    <row r="17" spans="1:2" ht="15" customHeight="1" x14ac:dyDescent="0.35">
      <c r="A17" s="7">
        <v>2007</v>
      </c>
      <c r="B17" s="121">
        <f t="shared" si="0"/>
        <v>23200</v>
      </c>
    </row>
    <row r="18" spans="1:2" ht="15" customHeight="1" x14ac:dyDescent="0.35">
      <c r="A18" s="7">
        <v>2008</v>
      </c>
      <c r="B18" s="121">
        <f t="shared" si="0"/>
        <v>22750</v>
      </c>
    </row>
    <row r="19" spans="1:2" ht="15" customHeight="1" x14ac:dyDescent="0.35">
      <c r="A19" s="7">
        <v>2009</v>
      </c>
      <c r="B19" s="121">
        <f t="shared" si="0"/>
        <v>22300</v>
      </c>
    </row>
    <row r="20" spans="1:2" ht="15" customHeight="1" x14ac:dyDescent="0.35">
      <c r="A20" s="7">
        <v>2010</v>
      </c>
      <c r="B20" s="121">
        <f t="shared" si="0"/>
        <v>21850</v>
      </c>
    </row>
    <row r="21" spans="1:2" ht="15" customHeight="1" x14ac:dyDescent="0.35">
      <c r="A21" s="7">
        <v>2011</v>
      </c>
      <c r="B21" s="121">
        <f t="shared" si="0"/>
        <v>21400</v>
      </c>
    </row>
    <row r="22" spans="1:2" ht="15" customHeight="1" x14ac:dyDescent="0.35">
      <c r="A22" s="7">
        <v>2012</v>
      </c>
      <c r="B22" s="121">
        <f t="shared" si="0"/>
        <v>20950</v>
      </c>
    </row>
    <row r="23" spans="1:2" ht="15" customHeight="1" x14ac:dyDescent="0.35">
      <c r="A23" s="7">
        <v>2013</v>
      </c>
      <c r="B23" s="121">
        <f t="shared" si="0"/>
        <v>20500</v>
      </c>
    </row>
    <row r="24" spans="1:2" ht="15" customHeight="1" x14ac:dyDescent="0.35">
      <c r="A24" s="7">
        <v>2014</v>
      </c>
      <c r="B24" s="121">
        <f t="shared" si="0"/>
        <v>20050</v>
      </c>
    </row>
    <row r="25" spans="1:2" ht="15" customHeight="1" x14ac:dyDescent="0.35">
      <c r="A25" s="7">
        <v>2015</v>
      </c>
      <c r="B25" s="121">
        <f t="shared" si="0"/>
        <v>19600</v>
      </c>
    </row>
    <row r="26" spans="1:2" ht="15" customHeight="1" x14ac:dyDescent="0.35">
      <c r="A26" s="7">
        <v>2016</v>
      </c>
      <c r="B26" s="121">
        <f t="shared" si="0"/>
        <v>19150</v>
      </c>
    </row>
    <row r="27" spans="1:2" ht="15" customHeight="1" x14ac:dyDescent="0.35">
      <c r="A27" s="7">
        <v>2017</v>
      </c>
      <c r="B27" s="121">
        <f t="shared" si="0"/>
        <v>18700</v>
      </c>
    </row>
    <row r="28" spans="1:2" ht="15" customHeight="1" x14ac:dyDescent="0.35">
      <c r="A28" s="7">
        <v>2018</v>
      </c>
      <c r="B28" s="121">
        <f t="shared" si="0"/>
        <v>18250</v>
      </c>
    </row>
    <row r="29" spans="1:2" ht="15" customHeight="1" x14ac:dyDescent="0.35">
      <c r="A29" s="7">
        <v>2019</v>
      </c>
      <c r="B29" s="121">
        <f t="shared" si="0"/>
        <v>17800</v>
      </c>
    </row>
    <row r="30" spans="1:2" ht="15" customHeight="1" x14ac:dyDescent="0.35">
      <c r="A30" s="7">
        <v>2020</v>
      </c>
      <c r="B30" s="121">
        <f t="shared" si="0"/>
        <v>17350</v>
      </c>
    </row>
    <row r="31" spans="1:2" ht="15" customHeight="1" x14ac:dyDescent="0.35">
      <c r="A31" s="7">
        <v>2021</v>
      </c>
      <c r="B31" s="121">
        <f t="shared" si="0"/>
        <v>16900</v>
      </c>
    </row>
    <row r="32" spans="1:2" ht="15" customHeight="1" x14ac:dyDescent="0.35">
      <c r="A32" s="7">
        <v>2022</v>
      </c>
      <c r="B32" s="121">
        <f t="shared" si="0"/>
        <v>16450</v>
      </c>
    </row>
    <row r="33" spans="1:2" ht="15" customHeight="1" x14ac:dyDescent="0.35">
      <c r="A33" s="7">
        <v>2023</v>
      </c>
      <c r="B33" s="121">
        <f t="shared" si="0"/>
        <v>16000</v>
      </c>
    </row>
    <row r="34" spans="1:2" ht="15" customHeight="1" x14ac:dyDescent="0.35">
      <c r="A34" s="7">
        <v>2024</v>
      </c>
      <c r="B34" s="121">
        <f t="shared" si="0"/>
        <v>15550</v>
      </c>
    </row>
    <row r="35" spans="1:2" ht="15" customHeight="1" x14ac:dyDescent="0.35">
      <c r="A35" s="7">
        <v>2025</v>
      </c>
      <c r="B35" s="121">
        <f t="shared" si="0"/>
        <v>15100</v>
      </c>
    </row>
    <row r="36" spans="1:2" ht="15" customHeight="1" x14ac:dyDescent="0.35">
      <c r="A36" s="7">
        <v>2026</v>
      </c>
      <c r="B36" s="121">
        <f t="shared" si="0"/>
        <v>14650</v>
      </c>
    </row>
    <row r="37" spans="1:2" ht="15" customHeight="1" x14ac:dyDescent="0.35">
      <c r="A37" s="7">
        <v>2027</v>
      </c>
      <c r="B37" s="121">
        <f t="shared" si="0"/>
        <v>14200</v>
      </c>
    </row>
    <row r="38" spans="1:2" ht="15" customHeight="1" x14ac:dyDescent="0.35">
      <c r="A38" s="7">
        <v>2028</v>
      </c>
      <c r="B38" s="121">
        <f t="shared" si="0"/>
        <v>13750</v>
      </c>
    </row>
    <row r="39" spans="1:2" ht="15" customHeight="1" x14ac:dyDescent="0.35">
      <c r="A39" s="7">
        <v>2029</v>
      </c>
      <c r="B39" s="121">
        <f t="shared" si="0"/>
        <v>13300</v>
      </c>
    </row>
    <row r="40" spans="1:2" ht="15" customHeight="1" x14ac:dyDescent="0.35">
      <c r="A40" s="7">
        <v>2030</v>
      </c>
      <c r="B40" s="121">
        <f t="shared" si="0"/>
        <v>12850</v>
      </c>
    </row>
    <row r="41" spans="1:2" ht="15" customHeight="1" x14ac:dyDescent="0.35">
      <c r="A41" s="121">
        <v>2031</v>
      </c>
      <c r="B41" s="122">
        <f>B40*1.0025</f>
        <v>12882.125</v>
      </c>
    </row>
    <row r="42" spans="1:2" ht="15" customHeight="1" x14ac:dyDescent="0.35">
      <c r="A42" s="121">
        <v>2032</v>
      </c>
      <c r="B42" s="122">
        <f t="shared" ref="B42:B52" si="1">B41*1.0025</f>
        <v>12914.3303125</v>
      </c>
    </row>
    <row r="43" spans="1:2" ht="15" customHeight="1" x14ac:dyDescent="0.35">
      <c r="A43" s="121">
        <v>2033</v>
      </c>
      <c r="B43" s="122">
        <f t="shared" si="1"/>
        <v>12946.61613828125</v>
      </c>
    </row>
    <row r="44" spans="1:2" ht="15" customHeight="1" x14ac:dyDescent="0.35">
      <c r="A44" s="121">
        <v>2034</v>
      </c>
      <c r="B44" s="122">
        <f t="shared" si="1"/>
        <v>12978.982678626951</v>
      </c>
    </row>
    <row r="45" spans="1:2" ht="15" customHeight="1" x14ac:dyDescent="0.35">
      <c r="A45" s="121">
        <v>2035</v>
      </c>
      <c r="B45" s="122">
        <f t="shared" si="1"/>
        <v>13011.430135323519</v>
      </c>
    </row>
    <row r="46" spans="1:2" ht="15" customHeight="1" x14ac:dyDescent="0.35">
      <c r="A46" s="121">
        <v>2036</v>
      </c>
      <c r="B46" s="122">
        <f t="shared" si="1"/>
        <v>13043.958710661827</v>
      </c>
    </row>
    <row r="47" spans="1:2" ht="15" customHeight="1" x14ac:dyDescent="0.35">
      <c r="A47" s="121">
        <v>2037</v>
      </c>
      <c r="B47" s="122">
        <f t="shared" si="1"/>
        <v>13076.568607438481</v>
      </c>
    </row>
    <row r="48" spans="1:2" ht="15" customHeight="1" x14ac:dyDescent="0.35">
      <c r="A48" s="121">
        <v>2038</v>
      </c>
      <c r="B48" s="122">
        <f t="shared" si="1"/>
        <v>13109.260028957076</v>
      </c>
    </row>
    <row r="49" spans="1:2" ht="15" customHeight="1" x14ac:dyDescent="0.35">
      <c r="A49" s="121">
        <v>2039</v>
      </c>
      <c r="B49" s="122">
        <f t="shared" si="1"/>
        <v>13142.033179029468</v>
      </c>
    </row>
    <row r="50" spans="1:2" ht="15" customHeight="1" x14ac:dyDescent="0.35">
      <c r="A50" s="121">
        <v>2040</v>
      </c>
      <c r="B50" s="122">
        <f t="shared" si="1"/>
        <v>13174.888261977041</v>
      </c>
    </row>
    <row r="51" spans="1:2" ht="15" customHeight="1" x14ac:dyDescent="0.35">
      <c r="A51" s="121">
        <v>2041</v>
      </c>
      <c r="B51" s="122">
        <f t="shared" si="1"/>
        <v>13207.825482631983</v>
      </c>
    </row>
    <row r="52" spans="1:2" ht="15" customHeight="1" x14ac:dyDescent="0.35">
      <c r="A52" s="121">
        <v>2042</v>
      </c>
      <c r="B52" s="122">
        <f t="shared" si="1"/>
        <v>13240.845046338562</v>
      </c>
    </row>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1000"/>
  <sheetViews>
    <sheetView workbookViewId="0"/>
  </sheetViews>
  <sheetFormatPr defaultColWidth="14.453125" defaultRowHeight="15" customHeight="1" x14ac:dyDescent="0.35"/>
  <cols>
    <col min="1" max="1" width="8.6328125" customWidth="1"/>
    <col min="2" max="2" width="22.6328125" customWidth="1"/>
    <col min="3" max="3" width="17.36328125" customWidth="1"/>
    <col min="4" max="4" width="16.36328125" customWidth="1"/>
    <col min="5" max="26" width="8.6328125" customWidth="1"/>
  </cols>
  <sheetData>
    <row r="1" spans="1:4" ht="14.25" customHeight="1" x14ac:dyDescent="0.35">
      <c r="A1" s="51" t="s">
        <v>210</v>
      </c>
    </row>
    <row r="2" spans="1:4" ht="14.25" customHeight="1" x14ac:dyDescent="0.35">
      <c r="A2" s="51"/>
      <c r="D2" s="3" t="s">
        <v>211</v>
      </c>
    </row>
    <row r="3" spans="1:4" ht="14.25" customHeight="1" x14ac:dyDescent="0.35">
      <c r="A3" s="51" t="s">
        <v>212</v>
      </c>
    </row>
    <row r="4" spans="1:4" ht="14.25" customHeight="1" x14ac:dyDescent="0.35">
      <c r="A4" s="51"/>
    </row>
    <row r="5" spans="1:4" ht="14.25" customHeight="1" x14ac:dyDescent="0.35">
      <c r="A5" s="51" t="s">
        <v>213</v>
      </c>
    </row>
    <row r="6" spans="1:4" ht="14.25" customHeight="1" x14ac:dyDescent="0.35">
      <c r="A6" s="51"/>
    </row>
    <row r="7" spans="1:4" ht="14.25" customHeight="1" x14ac:dyDescent="0.35">
      <c r="A7" s="22" t="s">
        <v>214</v>
      </c>
      <c r="B7" s="120" t="s">
        <v>215</v>
      </c>
    </row>
    <row r="8" spans="1:4" ht="14.25" customHeight="1" x14ac:dyDescent="0.35">
      <c r="A8" s="27">
        <v>0</v>
      </c>
      <c r="B8" s="74">
        <f>-3*A8^2+22*A8+285</f>
        <v>285</v>
      </c>
    </row>
    <row r="9" spans="1:4" ht="14.25" customHeight="1" x14ac:dyDescent="0.35">
      <c r="A9" s="27">
        <v>1</v>
      </c>
      <c r="B9" s="74">
        <f t="shared" ref="B9:B15" si="0">-3*A9^2+22*A9+285</f>
        <v>304</v>
      </c>
    </row>
    <row r="10" spans="1:4" ht="14.25" customHeight="1" x14ac:dyDescent="0.35">
      <c r="A10" s="27">
        <v>2</v>
      </c>
      <c r="B10" s="74">
        <f t="shared" si="0"/>
        <v>317</v>
      </c>
    </row>
    <row r="11" spans="1:4" ht="14.25" customHeight="1" x14ac:dyDescent="0.35">
      <c r="A11" s="27">
        <v>3</v>
      </c>
      <c r="B11" s="74">
        <f t="shared" si="0"/>
        <v>324</v>
      </c>
    </row>
    <row r="12" spans="1:4" ht="14.25" customHeight="1" x14ac:dyDescent="0.35">
      <c r="A12" s="27">
        <v>4</v>
      </c>
      <c r="B12" s="74">
        <f t="shared" si="0"/>
        <v>325</v>
      </c>
    </row>
    <row r="13" spans="1:4" ht="14.25" customHeight="1" x14ac:dyDescent="0.35">
      <c r="A13" s="27">
        <v>5</v>
      </c>
      <c r="B13" s="74">
        <f t="shared" si="0"/>
        <v>320</v>
      </c>
    </row>
    <row r="14" spans="1:4" ht="14.25" customHeight="1" x14ac:dyDescent="0.35">
      <c r="A14" s="7">
        <v>6</v>
      </c>
      <c r="B14" s="74">
        <f t="shared" si="0"/>
        <v>309</v>
      </c>
    </row>
    <row r="15" spans="1:4" ht="14.25" customHeight="1" x14ac:dyDescent="0.35">
      <c r="A15" s="7">
        <v>7</v>
      </c>
      <c r="B15" s="74">
        <f t="shared" si="0"/>
        <v>292</v>
      </c>
    </row>
    <row r="16" spans="1:4" ht="14.25" customHeight="1" x14ac:dyDescent="0.35"/>
    <row r="17" spans="1:2" ht="14.25" customHeight="1" x14ac:dyDescent="0.35">
      <c r="A17" s="51" t="s">
        <v>216</v>
      </c>
    </row>
    <row r="18" spans="1:2" ht="14.25" customHeight="1" x14ac:dyDescent="0.35"/>
    <row r="19" spans="1:2" ht="14.25" customHeight="1" x14ac:dyDescent="0.35">
      <c r="A19" s="3" t="s">
        <v>217</v>
      </c>
    </row>
    <row r="20" spans="1:2" ht="14.25" customHeight="1" x14ac:dyDescent="0.35"/>
    <row r="21" spans="1:2" ht="14.25" customHeight="1" x14ac:dyDescent="0.35">
      <c r="B21" s="56" t="s">
        <v>79</v>
      </c>
    </row>
    <row r="22" spans="1:2" ht="14.25" customHeight="1" x14ac:dyDescent="0.35"/>
    <row r="23" spans="1:2" ht="14.25" customHeight="1" x14ac:dyDescent="0.35">
      <c r="A23" s="3" t="s">
        <v>218</v>
      </c>
    </row>
    <row r="24" spans="1:2" ht="14.25" customHeight="1" x14ac:dyDescent="0.35"/>
    <row r="25" spans="1:2" ht="14.25" customHeight="1" x14ac:dyDescent="0.35">
      <c r="A25" s="51"/>
      <c r="B25" s="48">
        <f>B12</f>
        <v>325</v>
      </c>
    </row>
    <row r="26" spans="1:2" ht="14.25" customHeight="1" x14ac:dyDescent="0.35"/>
    <row r="27" spans="1:2" ht="14.25" customHeight="1" x14ac:dyDescent="0.35">
      <c r="A27" s="3" t="s">
        <v>219</v>
      </c>
    </row>
    <row r="28" spans="1:2" ht="14.25" customHeight="1" x14ac:dyDescent="0.35"/>
    <row r="29" spans="1:2" ht="14.25" customHeight="1" x14ac:dyDescent="0.35">
      <c r="B29" s="53">
        <f>B14/B8-1</f>
        <v>8.4210526315789513E-2</v>
      </c>
    </row>
    <row r="30" spans="1:2" ht="14.25" customHeight="1" x14ac:dyDescent="0.35"/>
    <row r="31" spans="1:2" ht="14.25" customHeight="1" x14ac:dyDescent="0.35">
      <c r="A31" s="3" t="s">
        <v>220</v>
      </c>
    </row>
    <row r="32" spans="1:2" ht="14.25" customHeight="1" x14ac:dyDescent="0.35">
      <c r="A32" s="3" t="s">
        <v>191</v>
      </c>
      <c r="B32" s="56">
        <v>-3</v>
      </c>
    </row>
    <row r="33" spans="1:2" ht="14.25" customHeight="1" x14ac:dyDescent="0.35">
      <c r="A33" s="3" t="s">
        <v>221</v>
      </c>
      <c r="B33" s="56">
        <v>22</v>
      </c>
    </row>
    <row r="34" spans="1:2" ht="14.25" customHeight="1" x14ac:dyDescent="0.35">
      <c r="A34" s="3" t="s">
        <v>222</v>
      </c>
      <c r="B34" s="56">
        <v>285</v>
      </c>
    </row>
    <row r="35" spans="1:2" ht="14.25" customHeight="1" x14ac:dyDescent="0.35">
      <c r="A35" s="3" t="s">
        <v>223</v>
      </c>
      <c r="B35" s="56">
        <f>B33^2-4*B32*B34</f>
        <v>3904</v>
      </c>
    </row>
    <row r="36" spans="1:2" ht="14.25" customHeight="1" x14ac:dyDescent="0.35"/>
    <row r="37" spans="1:2" ht="14.25" customHeight="1" x14ac:dyDescent="0.35">
      <c r="A37" s="3" t="s">
        <v>224</v>
      </c>
    </row>
    <row r="38" spans="1:2" ht="14.25" customHeight="1" x14ac:dyDescent="0.35"/>
    <row r="39" spans="1:2" ht="14.25" customHeight="1" x14ac:dyDescent="0.35">
      <c r="A39" s="3" t="s">
        <v>225</v>
      </c>
      <c r="B39" s="123">
        <f>(-B33-SQRT(B35))/(2*B32)</f>
        <v>14.080332901208871</v>
      </c>
    </row>
    <row r="40" spans="1:2" ht="14.25" customHeight="1" x14ac:dyDescent="0.35">
      <c r="A40" s="3" t="s">
        <v>226</v>
      </c>
      <c r="B40" s="123">
        <f>(-B33+SQRT(B35))/(2*B32)</f>
        <v>-6.7469995678755383</v>
      </c>
    </row>
    <row r="41" spans="1:2" ht="14.25" customHeight="1" x14ac:dyDescent="0.35"/>
    <row r="42" spans="1:2" ht="14.25" customHeight="1" x14ac:dyDescent="0.35">
      <c r="A42" s="3" t="s">
        <v>227</v>
      </c>
    </row>
    <row r="43" spans="1:2" ht="14.25" customHeight="1" x14ac:dyDescent="0.35"/>
    <row r="44" spans="1:2" ht="14.25" customHeight="1" x14ac:dyDescent="0.35">
      <c r="B44" s="56" t="s">
        <v>228</v>
      </c>
    </row>
    <row r="45" spans="1:2" ht="14.25" customHeight="1" x14ac:dyDescent="0.35"/>
    <row r="46" spans="1:2" ht="14.25" customHeight="1" x14ac:dyDescent="0.35">
      <c r="A46" s="3" t="s">
        <v>229</v>
      </c>
    </row>
    <row r="47" spans="1:2" ht="14.25" customHeight="1" x14ac:dyDescent="0.35"/>
    <row r="48" spans="1:2" ht="14.25" customHeight="1" x14ac:dyDescent="0.35">
      <c r="B48" s="56" t="s">
        <v>230</v>
      </c>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1000"/>
  <sheetViews>
    <sheetView workbookViewId="0"/>
  </sheetViews>
  <sheetFormatPr defaultColWidth="14.453125" defaultRowHeight="15" customHeight="1" x14ac:dyDescent="0.35"/>
  <cols>
    <col min="1" max="1" width="14.453125" customWidth="1"/>
    <col min="2" max="2" width="21.6328125" customWidth="1"/>
    <col min="3" max="3" width="16.6328125" customWidth="1"/>
    <col min="4" max="4" width="15" customWidth="1"/>
    <col min="5" max="26" width="8.6328125" customWidth="1"/>
  </cols>
  <sheetData>
    <row r="1" spans="1:6" ht="14.25" customHeight="1" x14ac:dyDescent="0.35">
      <c r="A1" s="119" t="s">
        <v>249</v>
      </c>
    </row>
    <row r="2" spans="1:6" ht="14.25" customHeight="1" x14ac:dyDescent="0.35">
      <c r="A2" s="119" t="s">
        <v>231</v>
      </c>
    </row>
    <row r="3" spans="1:6" ht="14.25" customHeight="1" x14ac:dyDescent="0.35">
      <c r="A3" s="119" t="s">
        <v>232</v>
      </c>
    </row>
    <row r="4" spans="1:6" ht="14.25" customHeight="1" x14ac:dyDescent="0.35">
      <c r="A4" s="119" t="s">
        <v>233</v>
      </c>
    </row>
    <row r="5" spans="1:6" ht="14.25" customHeight="1" x14ac:dyDescent="0.35">
      <c r="A5" s="119" t="s">
        <v>234</v>
      </c>
    </row>
    <row r="6" spans="1:6" ht="14.25" customHeight="1" x14ac:dyDescent="0.35">
      <c r="A6" s="119" t="s">
        <v>235</v>
      </c>
    </row>
    <row r="7" spans="1:6" ht="14.25" customHeight="1" x14ac:dyDescent="0.35"/>
    <row r="8" spans="1:6" ht="14.25" customHeight="1" x14ac:dyDescent="0.35"/>
    <row r="9" spans="1:6" ht="14.25" customHeight="1" x14ac:dyDescent="0.35"/>
    <row r="10" spans="1:6" ht="14.25" customHeight="1" x14ac:dyDescent="0.35">
      <c r="A10" s="216" t="s">
        <v>236</v>
      </c>
      <c r="B10" s="216" t="s">
        <v>250</v>
      </c>
      <c r="C10" s="216" t="s">
        <v>237</v>
      </c>
    </row>
    <row r="11" spans="1:6" ht="14.25" customHeight="1" x14ac:dyDescent="0.35">
      <c r="A11" s="217"/>
      <c r="B11" s="217"/>
      <c r="C11" s="217"/>
      <c r="F11" s="3" t="s">
        <v>238</v>
      </c>
    </row>
    <row r="12" spans="1:6" ht="14.25" customHeight="1" x14ac:dyDescent="0.35">
      <c r="A12" s="27">
        <v>1</v>
      </c>
      <c r="B12" s="7">
        <v>430</v>
      </c>
      <c r="C12" s="27">
        <v>150000</v>
      </c>
    </row>
    <row r="13" spans="1:6" ht="14.25" customHeight="1" x14ac:dyDescent="0.35">
      <c r="A13" s="27">
        <v>2</v>
      </c>
      <c r="B13" s="7">
        <v>500</v>
      </c>
      <c r="C13" s="27">
        <v>180000</v>
      </c>
    </row>
    <row r="14" spans="1:6" ht="14.25" customHeight="1" x14ac:dyDescent="0.35">
      <c r="A14" s="27">
        <v>3</v>
      </c>
      <c r="B14" s="7">
        <v>465</v>
      </c>
      <c r="C14" s="27">
        <v>166000</v>
      </c>
    </row>
    <row r="15" spans="1:6" ht="14.25" customHeight="1" x14ac:dyDescent="0.35">
      <c r="A15" s="27">
        <v>4</v>
      </c>
      <c r="B15" s="7">
        <v>295</v>
      </c>
      <c r="C15" s="27">
        <v>100500</v>
      </c>
    </row>
    <row r="16" spans="1:6" ht="14.25" customHeight="1" x14ac:dyDescent="0.35">
      <c r="A16" s="27">
        <v>5</v>
      </c>
      <c r="B16" s="7">
        <v>720</v>
      </c>
      <c r="C16" s="27">
        <v>390000</v>
      </c>
    </row>
    <row r="17" spans="1:3" ht="14.25" customHeight="1" x14ac:dyDescent="0.35">
      <c r="A17" s="27">
        <v>6</v>
      </c>
      <c r="B17" s="7">
        <v>450</v>
      </c>
      <c r="C17" s="27">
        <v>170500</v>
      </c>
    </row>
    <row r="18" spans="1:3" ht="14.25" customHeight="1" x14ac:dyDescent="0.35">
      <c r="A18" s="27">
        <v>7</v>
      </c>
      <c r="B18" s="7">
        <v>350</v>
      </c>
      <c r="C18" s="27">
        <v>109000</v>
      </c>
    </row>
    <row r="19" spans="1:3" ht="14.25" customHeight="1" x14ac:dyDescent="0.35">
      <c r="A19" s="27">
        <v>8</v>
      </c>
      <c r="B19" s="7">
        <v>280</v>
      </c>
      <c r="C19" s="27">
        <v>140000</v>
      </c>
    </row>
    <row r="20" spans="1:3" ht="14.25" customHeight="1" x14ac:dyDescent="0.35">
      <c r="A20" s="27">
        <v>9</v>
      </c>
      <c r="B20" s="7">
        <v>320</v>
      </c>
      <c r="C20" s="27">
        <v>105050</v>
      </c>
    </row>
    <row r="21" spans="1:3" ht="14.25" customHeight="1" x14ac:dyDescent="0.35">
      <c r="A21" s="27">
        <v>10</v>
      </c>
      <c r="B21" s="7">
        <v>610</v>
      </c>
      <c r="C21" s="27">
        <v>320000</v>
      </c>
    </row>
    <row r="22" spans="1:3" ht="14.25" customHeight="1" x14ac:dyDescent="0.35">
      <c r="A22" s="27">
        <v>11</v>
      </c>
      <c r="B22" s="7">
        <v>575</v>
      </c>
      <c r="C22" s="27">
        <v>280300</v>
      </c>
    </row>
    <row r="23" spans="1:3" ht="14.25" customHeight="1" x14ac:dyDescent="0.35">
      <c r="A23" s="27">
        <v>12</v>
      </c>
      <c r="B23" s="7">
        <v>390</v>
      </c>
      <c r="C23" s="27">
        <v>210200</v>
      </c>
    </row>
    <row r="24" spans="1:3" ht="14.25" customHeight="1" x14ac:dyDescent="0.35">
      <c r="A24" s="27">
        <v>13</v>
      </c>
      <c r="B24" s="7">
        <v>535</v>
      </c>
      <c r="C24" s="27">
        <v>185000</v>
      </c>
    </row>
    <row r="25" spans="1:3" ht="14.25" customHeight="1" x14ac:dyDescent="0.35"/>
    <row r="26" spans="1:3" ht="14.25" customHeight="1" x14ac:dyDescent="0.35"/>
    <row r="27" spans="1:3" ht="14.25" customHeight="1" x14ac:dyDescent="0.35">
      <c r="A27" s="3" t="s">
        <v>208</v>
      </c>
    </row>
    <row r="28" spans="1:3" ht="14.25" customHeight="1" x14ac:dyDescent="0.35">
      <c r="A28" s="3" t="s">
        <v>239</v>
      </c>
      <c r="C28" s="56" t="s">
        <v>78</v>
      </c>
    </row>
    <row r="29" spans="1:3" ht="14.25" customHeight="1" x14ac:dyDescent="0.35">
      <c r="A29" s="3" t="s">
        <v>81</v>
      </c>
      <c r="C29" s="56" t="s">
        <v>80</v>
      </c>
    </row>
    <row r="30" spans="1:3" ht="14.25" customHeight="1" x14ac:dyDescent="0.35"/>
    <row r="31" spans="1:3" ht="14.25" customHeight="1" x14ac:dyDescent="0.35">
      <c r="A31" s="3" t="s">
        <v>209</v>
      </c>
      <c r="B31" s="56" t="s">
        <v>81</v>
      </c>
    </row>
    <row r="32" spans="1:3" ht="14.25" customHeight="1" x14ac:dyDescent="0.35"/>
    <row r="33" spans="1:3" ht="14.25" customHeight="1" x14ac:dyDescent="0.35">
      <c r="A33" s="3" t="s">
        <v>240</v>
      </c>
    </row>
    <row r="34" spans="1:3" ht="14.25" customHeight="1" x14ac:dyDescent="0.35">
      <c r="A34" s="3" t="s">
        <v>241</v>
      </c>
      <c r="B34" s="56" t="s">
        <v>251</v>
      </c>
    </row>
    <row r="35" spans="1:3" ht="14.25" customHeight="1" x14ac:dyDescent="0.35">
      <c r="A35" s="3" t="s">
        <v>242</v>
      </c>
      <c r="B35" s="56" t="s">
        <v>252</v>
      </c>
    </row>
    <row r="36" spans="1:3" ht="14.25" customHeight="1" x14ac:dyDescent="0.35"/>
    <row r="37" spans="1:3" ht="14.25" customHeight="1" x14ac:dyDescent="0.35">
      <c r="A37" s="3" t="s">
        <v>243</v>
      </c>
      <c r="B37" s="48">
        <f>46821*EXP(0.0029*425)</f>
        <v>160586.3525856635</v>
      </c>
      <c r="C37" s="56" t="s">
        <v>244</v>
      </c>
    </row>
    <row r="38" spans="1:3" ht="14.25" customHeight="1" x14ac:dyDescent="0.35"/>
    <row r="39" spans="1:3" ht="14.25" customHeight="1" x14ac:dyDescent="0.35"/>
    <row r="40" spans="1:3" ht="14.25" customHeight="1" x14ac:dyDescent="0.35"/>
    <row r="41" spans="1:3" ht="14.25" customHeight="1" x14ac:dyDescent="0.35"/>
    <row r="42" spans="1:3" ht="14.25" customHeight="1" x14ac:dyDescent="0.35"/>
    <row r="43" spans="1:3" ht="14.25" customHeight="1" x14ac:dyDescent="0.35"/>
    <row r="44" spans="1:3" ht="14.25" customHeight="1" x14ac:dyDescent="0.35"/>
    <row r="45" spans="1:3" ht="14.25" customHeight="1" x14ac:dyDescent="0.35"/>
    <row r="46" spans="1:3" ht="14.25" customHeight="1" x14ac:dyDescent="0.35"/>
    <row r="47" spans="1:3" ht="14.25" customHeight="1" x14ac:dyDescent="0.35"/>
    <row r="48" spans="1:3"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3">
    <mergeCell ref="A10:A11"/>
    <mergeCell ref="B10:B11"/>
    <mergeCell ref="C10:C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16</vt:i4>
      </vt:variant>
    </vt:vector>
  </HeadingPairs>
  <TitlesOfParts>
    <vt:vector size="16" baseType="lpstr">
      <vt:lpstr>uvod</vt:lpstr>
      <vt:lpstr>auto_feedback</vt:lpstr>
      <vt:lpstr>upute</vt:lpstr>
      <vt:lpstr>kontrola</vt:lpstr>
      <vt:lpstr>1. ish zad 1-10</vt:lpstr>
      <vt:lpstr>2. ish zad 11</vt:lpstr>
      <vt:lpstr>2. ish zad 12</vt:lpstr>
      <vt:lpstr>2. ish zad 13</vt:lpstr>
      <vt:lpstr>2. ish zad 14</vt:lpstr>
      <vt:lpstr>3. ish zad 15</vt:lpstr>
      <vt:lpstr>3. ish zad 16</vt:lpstr>
      <vt:lpstr>3. ish zad 17</vt:lpstr>
      <vt:lpstr>3. ish zad 18</vt:lpstr>
      <vt:lpstr>4. ish zad 19</vt:lpstr>
      <vt:lpstr>4. ish zad 20</vt:lpstr>
      <vt:lpstr>4. ish zad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Toni Milun</cp:lastModifiedBy>
  <dcterms:created xsi:type="dcterms:W3CDTF">2015-06-05T18:19:34Z</dcterms:created>
  <dcterms:modified xsi:type="dcterms:W3CDTF">2024-08-26T13:05:58Z</dcterms:modified>
</cp:coreProperties>
</file>