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worksheets/sheet7.xml" ContentType="application/vnd.openxmlformats-officedocument.spreadsheetml.worksheet+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worksheets/sheet1.xml" ContentType="application/vnd.openxmlformats-officedocument.spreadsheetml.worksheet+xml"/>
  <Override PartName="/xl/charts/style5.xml" ContentType="application/vnd.ms-office.chart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ORISNIK\Documents\EdwardBernays\Analiza Financijskih Izvještaja\GFI\Vježbe\"/>
    </mc:Choice>
  </mc:AlternateContent>
  <xr:revisionPtr revIDLastSave="0" documentId="13_ncr:1_{FE1802DE-2D60-4402-A899-942BBB2FB7E6}" xr6:coauthVersionLast="47" xr6:coauthVersionMax="47" xr10:uidLastSave="{00000000-0000-0000-0000-000000000000}"/>
  <bookViews>
    <workbookView xWindow="-108" yWindow="-108" windowWidth="23256" windowHeight="13896" activeTab="2" xr2:uid="{1E993115-CB06-4F09-BFE9-F882BD011691}"/>
  </bookViews>
  <sheets>
    <sheet name="Bilanca" sheetId="1" r:id="rId1"/>
    <sheet name="Koeficijenti" sheetId="9" r:id="rId2"/>
    <sheet name="RDG" sheetId="8" r:id="rId3"/>
    <sheet name="NT_Indirektna metoda" sheetId="3" r:id="rId4"/>
    <sheet name="PK_2021" sheetId="4" r:id="rId5"/>
    <sheet name="PK_2023" sheetId="7" r:id="rId6"/>
    <sheet name="Bilješke_2021" sheetId="5" r:id="rId7"/>
    <sheet name="Bilješke_2023"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1" l="1"/>
  <c r="M70" i="1"/>
  <c r="N70" i="1"/>
  <c r="O70" i="1"/>
  <c r="L71" i="1"/>
  <c r="M71" i="1"/>
  <c r="N71" i="1"/>
  <c r="O71" i="1"/>
  <c r="L72" i="1"/>
  <c r="M72" i="1"/>
  <c r="N72" i="1"/>
  <c r="O72" i="1"/>
  <c r="L73" i="1"/>
  <c r="M73" i="1"/>
  <c r="N73" i="1"/>
  <c r="O73" i="1"/>
  <c r="L74" i="1"/>
  <c r="M74" i="1"/>
  <c r="N74" i="1"/>
  <c r="O74" i="1"/>
  <c r="L75" i="1"/>
  <c r="M75" i="1"/>
  <c r="N75" i="1"/>
  <c r="O75" i="1"/>
  <c r="L76" i="1"/>
  <c r="M76" i="1"/>
  <c r="N76" i="1"/>
  <c r="O76" i="1"/>
  <c r="L77" i="1"/>
  <c r="M77" i="1"/>
  <c r="N77" i="1"/>
  <c r="O77" i="1"/>
  <c r="L78" i="1"/>
  <c r="M78" i="1"/>
  <c r="N78" i="1"/>
  <c r="O78" i="1"/>
  <c r="L79" i="1"/>
  <c r="M79" i="1"/>
  <c r="N79" i="1"/>
  <c r="O79" i="1"/>
  <c r="L80" i="1"/>
  <c r="M80" i="1"/>
  <c r="N80" i="1"/>
  <c r="O80" i="1"/>
  <c r="L81" i="1"/>
  <c r="M81" i="1"/>
  <c r="N81" i="1"/>
  <c r="O81" i="1"/>
  <c r="L82" i="1"/>
  <c r="M82" i="1"/>
  <c r="N82" i="1"/>
  <c r="O82" i="1"/>
  <c r="L83" i="1"/>
  <c r="M83" i="1"/>
  <c r="N83" i="1"/>
  <c r="O83" i="1"/>
  <c r="L84" i="1"/>
  <c r="M84" i="1"/>
  <c r="N84" i="1"/>
  <c r="O84" i="1"/>
  <c r="L85" i="1"/>
  <c r="M85" i="1"/>
  <c r="N85" i="1"/>
  <c r="O85" i="1"/>
  <c r="L86" i="1"/>
  <c r="M86" i="1"/>
  <c r="N86" i="1"/>
  <c r="O86" i="1"/>
  <c r="L87" i="1"/>
  <c r="M87" i="1"/>
  <c r="N87" i="1"/>
  <c r="O87" i="1"/>
  <c r="L88" i="1"/>
  <c r="M88" i="1"/>
  <c r="N88" i="1"/>
  <c r="O88" i="1"/>
  <c r="L89" i="1"/>
  <c r="M89" i="1"/>
  <c r="N89" i="1"/>
  <c r="O89" i="1"/>
  <c r="L90" i="1"/>
  <c r="M90" i="1"/>
  <c r="N90" i="1"/>
  <c r="O90" i="1"/>
  <c r="L91" i="1"/>
  <c r="M91" i="1"/>
  <c r="N91" i="1"/>
  <c r="O91" i="1"/>
  <c r="L92" i="1"/>
  <c r="M92" i="1"/>
  <c r="N92" i="1"/>
  <c r="O92" i="1"/>
  <c r="L93" i="1"/>
  <c r="M93" i="1"/>
  <c r="N93" i="1"/>
  <c r="O93" i="1"/>
  <c r="L94" i="1"/>
  <c r="M94" i="1"/>
  <c r="N94" i="1"/>
  <c r="O94" i="1"/>
  <c r="L95" i="1"/>
  <c r="M95" i="1"/>
  <c r="N95" i="1"/>
  <c r="O95" i="1"/>
  <c r="L96" i="1"/>
  <c r="M96" i="1"/>
  <c r="N96" i="1"/>
  <c r="O96" i="1"/>
  <c r="L97" i="1"/>
  <c r="M97" i="1"/>
  <c r="N97" i="1"/>
  <c r="O97" i="1"/>
  <c r="L98" i="1"/>
  <c r="M98" i="1"/>
  <c r="N98" i="1"/>
  <c r="O98" i="1"/>
  <c r="L99" i="1"/>
  <c r="M99" i="1"/>
  <c r="N99" i="1"/>
  <c r="O99" i="1"/>
  <c r="L100" i="1"/>
  <c r="M100" i="1"/>
  <c r="N100" i="1"/>
  <c r="O100" i="1"/>
  <c r="L101" i="1"/>
  <c r="M101" i="1"/>
  <c r="N101" i="1"/>
  <c r="O101" i="1"/>
  <c r="L102" i="1"/>
  <c r="M102" i="1"/>
  <c r="N102" i="1"/>
  <c r="O102" i="1"/>
  <c r="L103" i="1"/>
  <c r="M103" i="1"/>
  <c r="N103" i="1"/>
  <c r="O103" i="1"/>
  <c r="L104" i="1"/>
  <c r="M104" i="1"/>
  <c r="N104" i="1"/>
  <c r="O104" i="1"/>
  <c r="L105" i="1"/>
  <c r="M105" i="1"/>
  <c r="N105" i="1"/>
  <c r="O105" i="1"/>
  <c r="L106" i="1"/>
  <c r="M106" i="1"/>
  <c r="N106" i="1"/>
  <c r="O106" i="1"/>
  <c r="L107" i="1"/>
  <c r="M107" i="1"/>
  <c r="N107" i="1"/>
  <c r="O107" i="1"/>
  <c r="L108" i="1"/>
  <c r="M108" i="1"/>
  <c r="N108" i="1"/>
  <c r="O108" i="1"/>
  <c r="L109" i="1"/>
  <c r="M109" i="1"/>
  <c r="N109" i="1"/>
  <c r="O109" i="1"/>
  <c r="L110" i="1"/>
  <c r="M110" i="1"/>
  <c r="N110" i="1"/>
  <c r="O110" i="1"/>
  <c r="L111" i="1"/>
  <c r="M111" i="1"/>
  <c r="N111" i="1"/>
  <c r="O111" i="1"/>
  <c r="L112" i="1"/>
  <c r="M112" i="1"/>
  <c r="N112" i="1"/>
  <c r="O112" i="1"/>
  <c r="L113" i="1"/>
  <c r="M113" i="1"/>
  <c r="N113" i="1"/>
  <c r="O113" i="1"/>
  <c r="L114" i="1"/>
  <c r="M114" i="1"/>
  <c r="N114" i="1"/>
  <c r="O114" i="1"/>
  <c r="L115" i="1"/>
  <c r="M115" i="1"/>
  <c r="N115" i="1"/>
  <c r="O115" i="1"/>
  <c r="L116" i="1"/>
  <c r="M116" i="1"/>
  <c r="N116" i="1"/>
  <c r="O116" i="1"/>
  <c r="L117" i="1"/>
  <c r="M117" i="1"/>
  <c r="N117" i="1"/>
  <c r="O117" i="1"/>
  <c r="L118" i="1"/>
  <c r="M118" i="1"/>
  <c r="N118" i="1"/>
  <c r="O118" i="1"/>
  <c r="L119" i="1"/>
  <c r="M119" i="1"/>
  <c r="N119" i="1"/>
  <c r="O119" i="1"/>
  <c r="L120" i="1"/>
  <c r="M120" i="1"/>
  <c r="N120" i="1"/>
  <c r="O120" i="1"/>
  <c r="L121" i="1"/>
  <c r="M121" i="1"/>
  <c r="N121" i="1"/>
  <c r="O121" i="1"/>
  <c r="L122" i="1"/>
  <c r="M122" i="1"/>
  <c r="N122" i="1"/>
  <c r="O122" i="1"/>
  <c r="L123" i="1"/>
  <c r="M123" i="1"/>
  <c r="N123" i="1"/>
  <c r="O123" i="1"/>
  <c r="L124" i="1"/>
  <c r="M124" i="1"/>
  <c r="N124" i="1"/>
  <c r="O124" i="1"/>
  <c r="L125" i="1"/>
  <c r="M125" i="1"/>
  <c r="N125" i="1"/>
  <c r="O125" i="1"/>
  <c r="L126" i="1"/>
  <c r="M126" i="1"/>
  <c r="N126" i="1"/>
  <c r="O126" i="1"/>
  <c r="L127" i="1"/>
  <c r="M127" i="1"/>
  <c r="N127" i="1"/>
  <c r="O127" i="1"/>
  <c r="M69" i="1"/>
  <c r="N69" i="1"/>
  <c r="O69" i="1"/>
  <c r="L69" i="1"/>
  <c r="N43" i="8"/>
  <c r="O43" i="8"/>
  <c r="P43" i="8"/>
  <c r="Q43" i="8"/>
  <c r="N44" i="8"/>
  <c r="O44" i="8"/>
  <c r="P44" i="8"/>
  <c r="Q44" i="8"/>
  <c r="N45" i="8"/>
  <c r="O45" i="8"/>
  <c r="P45" i="8"/>
  <c r="Q45" i="8"/>
  <c r="N46" i="8"/>
  <c r="O46" i="8"/>
  <c r="P46" i="8"/>
  <c r="Q46" i="8"/>
  <c r="N47" i="8"/>
  <c r="O47" i="8"/>
  <c r="P47" i="8"/>
  <c r="Q47" i="8"/>
  <c r="N48" i="8"/>
  <c r="O48" i="8"/>
  <c r="P48" i="8"/>
  <c r="Q48" i="8"/>
  <c r="N49" i="8"/>
  <c r="O49" i="8"/>
  <c r="P49" i="8"/>
  <c r="Q49" i="8"/>
  <c r="N32" i="8"/>
  <c r="O32" i="8"/>
  <c r="P32" i="8"/>
  <c r="Q32" i="8"/>
  <c r="N33" i="8"/>
  <c r="O33" i="8"/>
  <c r="P33" i="8"/>
  <c r="Q33" i="8"/>
  <c r="N34" i="8"/>
  <c r="O34" i="8"/>
  <c r="P34" i="8"/>
  <c r="Q34" i="8"/>
  <c r="N35" i="8"/>
  <c r="O35" i="8"/>
  <c r="P35" i="8"/>
  <c r="Q35" i="8"/>
  <c r="N36" i="8"/>
  <c r="O36" i="8"/>
  <c r="P36" i="8"/>
  <c r="Q36" i="8"/>
  <c r="N37" i="8"/>
  <c r="O37" i="8"/>
  <c r="P37" i="8"/>
  <c r="Q37" i="8"/>
  <c r="N38" i="8"/>
  <c r="O38" i="8"/>
  <c r="P38" i="8"/>
  <c r="Q38" i="8"/>
  <c r="N39" i="8"/>
  <c r="O39" i="8"/>
  <c r="P39" i="8"/>
  <c r="Q39" i="8"/>
  <c r="N40" i="8"/>
  <c r="O40" i="8"/>
  <c r="P40" i="8"/>
  <c r="Q40" i="8"/>
  <c r="N41" i="8"/>
  <c r="O41" i="8"/>
  <c r="P41" i="8"/>
  <c r="Q41" i="8"/>
  <c r="N54" i="8"/>
  <c r="O54" i="8"/>
  <c r="P54" i="8"/>
  <c r="Q54" i="8"/>
  <c r="N55" i="8"/>
  <c r="O55" i="8"/>
  <c r="P55" i="8"/>
  <c r="Q55" i="8"/>
  <c r="L4" i="1"/>
  <c r="M4" i="1"/>
  <c r="N4" i="1"/>
  <c r="O4" i="1"/>
  <c r="L5" i="1"/>
  <c r="M5" i="1"/>
  <c r="N5" i="1"/>
  <c r="O5" i="1"/>
  <c r="L6" i="1"/>
  <c r="M6" i="1"/>
  <c r="N6" i="1"/>
  <c r="O6" i="1"/>
  <c r="L7" i="1"/>
  <c r="M7" i="1"/>
  <c r="N7" i="1"/>
  <c r="O7" i="1"/>
  <c r="L8" i="1"/>
  <c r="M8" i="1"/>
  <c r="N8" i="1"/>
  <c r="O8" i="1"/>
  <c r="L9" i="1"/>
  <c r="M9" i="1"/>
  <c r="N9" i="1"/>
  <c r="O9" i="1"/>
  <c r="L10" i="1"/>
  <c r="M10" i="1"/>
  <c r="N10" i="1"/>
  <c r="O10" i="1"/>
  <c r="L11" i="1"/>
  <c r="M11" i="1"/>
  <c r="N11" i="1"/>
  <c r="O11" i="1"/>
  <c r="L12" i="1"/>
  <c r="M12" i="1"/>
  <c r="N12" i="1"/>
  <c r="O12" i="1"/>
  <c r="L13" i="1"/>
  <c r="M13" i="1"/>
  <c r="N13" i="1"/>
  <c r="O13" i="1"/>
  <c r="L14" i="1"/>
  <c r="M14" i="1"/>
  <c r="N14" i="1"/>
  <c r="O14" i="1"/>
  <c r="L15" i="1"/>
  <c r="M15" i="1"/>
  <c r="N15" i="1"/>
  <c r="O15" i="1"/>
  <c r="L16" i="1"/>
  <c r="M16" i="1"/>
  <c r="N16" i="1"/>
  <c r="O16" i="1"/>
  <c r="L17" i="1"/>
  <c r="M17" i="1"/>
  <c r="N17" i="1"/>
  <c r="O17" i="1"/>
  <c r="L18" i="1"/>
  <c r="M18" i="1"/>
  <c r="N18" i="1"/>
  <c r="O18" i="1"/>
  <c r="L19" i="1"/>
  <c r="M19" i="1"/>
  <c r="N19" i="1"/>
  <c r="O19" i="1"/>
  <c r="L20" i="1"/>
  <c r="M20" i="1"/>
  <c r="N20" i="1"/>
  <c r="O20" i="1"/>
  <c r="L21" i="1"/>
  <c r="M21" i="1"/>
  <c r="N21" i="1"/>
  <c r="O21" i="1"/>
  <c r="L22" i="1"/>
  <c r="M22" i="1"/>
  <c r="N22" i="1"/>
  <c r="O22" i="1"/>
  <c r="L23" i="1"/>
  <c r="M23" i="1"/>
  <c r="N23" i="1"/>
  <c r="O23" i="1"/>
  <c r="L24" i="1"/>
  <c r="M24" i="1"/>
  <c r="N24" i="1"/>
  <c r="O24" i="1"/>
  <c r="L25" i="1"/>
  <c r="M25" i="1"/>
  <c r="N25" i="1"/>
  <c r="O25" i="1"/>
  <c r="L26" i="1"/>
  <c r="M26" i="1"/>
  <c r="N26" i="1"/>
  <c r="O26" i="1"/>
  <c r="L27" i="1"/>
  <c r="M27" i="1"/>
  <c r="N27" i="1"/>
  <c r="O27" i="1"/>
  <c r="L28" i="1"/>
  <c r="M28" i="1"/>
  <c r="N28" i="1"/>
  <c r="O28" i="1"/>
  <c r="L29" i="1"/>
  <c r="M29" i="1"/>
  <c r="N29" i="1"/>
  <c r="O29" i="1"/>
  <c r="L30" i="1"/>
  <c r="M30" i="1"/>
  <c r="N30" i="1"/>
  <c r="O30" i="1"/>
  <c r="L31" i="1"/>
  <c r="M31" i="1"/>
  <c r="N31" i="1"/>
  <c r="O31" i="1"/>
  <c r="L32" i="1"/>
  <c r="M32" i="1"/>
  <c r="N32" i="1"/>
  <c r="O32" i="1"/>
  <c r="L33" i="1"/>
  <c r="M33" i="1"/>
  <c r="N33" i="1"/>
  <c r="O33" i="1"/>
  <c r="L34" i="1"/>
  <c r="M34" i="1"/>
  <c r="N34" i="1"/>
  <c r="O34" i="1"/>
  <c r="L35" i="1"/>
  <c r="M35" i="1"/>
  <c r="N35" i="1"/>
  <c r="O35" i="1"/>
  <c r="L36" i="1"/>
  <c r="M36" i="1"/>
  <c r="N36" i="1"/>
  <c r="O36" i="1"/>
  <c r="L37" i="1"/>
  <c r="M37" i="1"/>
  <c r="N37" i="1"/>
  <c r="O37" i="1"/>
  <c r="L38" i="1"/>
  <c r="M38" i="1"/>
  <c r="N38" i="1"/>
  <c r="O38" i="1"/>
  <c r="L39" i="1"/>
  <c r="M39" i="1"/>
  <c r="N39" i="1"/>
  <c r="O39" i="1"/>
  <c r="L40" i="1"/>
  <c r="M40" i="1"/>
  <c r="N40" i="1"/>
  <c r="O40" i="1"/>
  <c r="L41" i="1"/>
  <c r="M41" i="1"/>
  <c r="N41" i="1"/>
  <c r="O41" i="1"/>
  <c r="L42" i="1"/>
  <c r="M42" i="1"/>
  <c r="N42" i="1"/>
  <c r="O42" i="1"/>
  <c r="L43" i="1"/>
  <c r="M43" i="1"/>
  <c r="N43" i="1"/>
  <c r="O43" i="1"/>
  <c r="L44" i="1"/>
  <c r="M44" i="1"/>
  <c r="N44" i="1"/>
  <c r="O44" i="1"/>
  <c r="L45" i="1"/>
  <c r="M45" i="1"/>
  <c r="N45" i="1"/>
  <c r="O45" i="1"/>
  <c r="L46" i="1"/>
  <c r="M46" i="1"/>
  <c r="N46" i="1"/>
  <c r="O46" i="1"/>
  <c r="L47" i="1"/>
  <c r="M47" i="1"/>
  <c r="N47" i="1"/>
  <c r="O47" i="1"/>
  <c r="L48" i="1"/>
  <c r="M48" i="1"/>
  <c r="N48" i="1"/>
  <c r="O48" i="1"/>
  <c r="L49" i="1"/>
  <c r="M49" i="1"/>
  <c r="N49" i="1"/>
  <c r="O49" i="1"/>
  <c r="L50" i="1"/>
  <c r="M50" i="1"/>
  <c r="N50" i="1"/>
  <c r="O50" i="1"/>
  <c r="L51" i="1"/>
  <c r="M51" i="1"/>
  <c r="N51" i="1"/>
  <c r="O51" i="1"/>
  <c r="L52" i="1"/>
  <c r="M52" i="1"/>
  <c r="N52" i="1"/>
  <c r="O52" i="1"/>
  <c r="L53" i="1"/>
  <c r="M53" i="1"/>
  <c r="N53" i="1"/>
  <c r="O53" i="1"/>
  <c r="L54" i="1"/>
  <c r="M54" i="1"/>
  <c r="N54" i="1"/>
  <c r="O54" i="1"/>
  <c r="L55" i="1"/>
  <c r="M55" i="1"/>
  <c r="N55" i="1"/>
  <c r="O55" i="1"/>
  <c r="L56" i="1"/>
  <c r="M56" i="1"/>
  <c r="N56" i="1"/>
  <c r="O56" i="1"/>
  <c r="L57" i="1"/>
  <c r="M57" i="1"/>
  <c r="N57" i="1"/>
  <c r="O57" i="1"/>
  <c r="L58" i="1"/>
  <c r="M58" i="1"/>
  <c r="N58" i="1"/>
  <c r="O58" i="1"/>
  <c r="L59" i="1"/>
  <c r="M59" i="1"/>
  <c r="N59" i="1"/>
  <c r="O59" i="1"/>
  <c r="L60" i="1"/>
  <c r="M60" i="1"/>
  <c r="N60" i="1"/>
  <c r="O60" i="1"/>
  <c r="L61" i="1"/>
  <c r="M61" i="1"/>
  <c r="N61" i="1"/>
  <c r="O61" i="1"/>
  <c r="L62" i="1"/>
  <c r="M62" i="1"/>
  <c r="N62" i="1"/>
  <c r="O62" i="1"/>
  <c r="L63" i="1"/>
  <c r="M63" i="1"/>
  <c r="N63" i="1"/>
  <c r="O63" i="1"/>
  <c r="L64" i="1"/>
  <c r="M64" i="1"/>
  <c r="N64" i="1"/>
  <c r="O64" i="1"/>
  <c r="L65" i="1"/>
  <c r="M65" i="1"/>
  <c r="N65" i="1"/>
  <c r="O65" i="1"/>
  <c r="L66" i="1"/>
  <c r="M66" i="1"/>
  <c r="N66" i="1"/>
  <c r="O66" i="1"/>
  <c r="L67" i="1"/>
  <c r="M67" i="1"/>
  <c r="N67" i="1"/>
  <c r="O67" i="1"/>
  <c r="M3" i="1"/>
  <c r="N3" i="1"/>
  <c r="O3" i="1"/>
  <c r="L3" i="1"/>
  <c r="N2" i="8" l="1"/>
  <c r="O2" i="8"/>
  <c r="P2" i="8"/>
  <c r="Q2" i="8"/>
  <c r="N3" i="8"/>
  <c r="O3" i="8"/>
  <c r="P3" i="8"/>
  <c r="Q3" i="8"/>
  <c r="N4" i="8"/>
  <c r="O4" i="8"/>
  <c r="P4" i="8"/>
  <c r="Q4" i="8"/>
  <c r="N5" i="8"/>
  <c r="O5" i="8"/>
  <c r="P5" i="8"/>
  <c r="Q5" i="8"/>
  <c r="N6" i="8"/>
  <c r="O6" i="8"/>
  <c r="P6" i="8"/>
  <c r="Q6" i="8"/>
  <c r="N7" i="8"/>
  <c r="O7" i="8"/>
  <c r="P7" i="8"/>
  <c r="Q7" i="8"/>
  <c r="N8" i="8"/>
  <c r="O8" i="8"/>
  <c r="P8" i="8"/>
  <c r="Q8" i="8"/>
  <c r="N9" i="8"/>
  <c r="O9" i="8"/>
  <c r="P9" i="8"/>
  <c r="Q9" i="8"/>
  <c r="N10" i="8"/>
  <c r="O10" i="8"/>
  <c r="P10" i="8"/>
  <c r="Q10" i="8"/>
  <c r="N11" i="8"/>
  <c r="O11" i="8"/>
  <c r="P11" i="8"/>
  <c r="Q11" i="8"/>
  <c r="N12" i="8"/>
  <c r="O12" i="8"/>
  <c r="P12" i="8"/>
  <c r="Q12" i="8"/>
  <c r="N13" i="8"/>
  <c r="O13" i="8"/>
  <c r="P13" i="8"/>
  <c r="Q13" i="8"/>
  <c r="N14" i="8"/>
  <c r="O14" i="8"/>
  <c r="P14" i="8"/>
  <c r="Q14" i="8"/>
  <c r="N15" i="8"/>
  <c r="O15" i="8"/>
  <c r="P15" i="8"/>
  <c r="Q15" i="8"/>
  <c r="N16" i="8"/>
  <c r="O16" i="8"/>
  <c r="P16" i="8"/>
  <c r="Q16" i="8"/>
  <c r="N17" i="8"/>
  <c r="O17" i="8"/>
  <c r="P17" i="8"/>
  <c r="Q17" i="8"/>
  <c r="N18" i="8"/>
  <c r="O18" i="8"/>
  <c r="P18" i="8"/>
  <c r="Q18" i="8"/>
  <c r="N19" i="8"/>
  <c r="O19" i="8"/>
  <c r="P19" i="8"/>
  <c r="Q19" i="8"/>
  <c r="N20" i="8"/>
  <c r="O20" i="8"/>
  <c r="P20" i="8"/>
  <c r="Q20" i="8"/>
  <c r="N21" i="8"/>
  <c r="O21" i="8"/>
  <c r="P21" i="8"/>
  <c r="Q21" i="8"/>
  <c r="N22" i="8"/>
  <c r="O22" i="8"/>
  <c r="P22" i="8"/>
  <c r="Q22" i="8"/>
  <c r="N23" i="8"/>
  <c r="O23" i="8"/>
  <c r="P23" i="8"/>
  <c r="Q23" i="8"/>
  <c r="N24" i="8"/>
  <c r="O24" i="8"/>
  <c r="P24" i="8"/>
  <c r="Q24" i="8"/>
  <c r="N25" i="8"/>
  <c r="O25" i="8"/>
  <c r="P25" i="8"/>
  <c r="Q25" i="8"/>
  <c r="N26" i="8"/>
  <c r="O26" i="8"/>
  <c r="P26" i="8"/>
  <c r="Q26" i="8"/>
  <c r="N27" i="8"/>
  <c r="O27" i="8"/>
  <c r="P27" i="8"/>
  <c r="Q27" i="8"/>
  <c r="N28" i="8"/>
  <c r="O28" i="8"/>
  <c r="P28" i="8"/>
  <c r="Q28" i="8"/>
  <c r="N29" i="8"/>
  <c r="O29" i="8"/>
  <c r="P29" i="8"/>
  <c r="Q29" i="8"/>
  <c r="N30" i="8"/>
  <c r="O30" i="8"/>
  <c r="P30" i="8"/>
  <c r="Q30" i="8"/>
  <c r="N31" i="8"/>
  <c r="O31" i="8"/>
  <c r="P31" i="8"/>
  <c r="Q31" i="8"/>
  <c r="N42" i="8"/>
  <c r="O42" i="8"/>
  <c r="P42" i="8"/>
  <c r="Q42" i="8"/>
  <c r="D25" i="9"/>
  <c r="E25" i="9"/>
  <c r="F25" i="9"/>
  <c r="C25" i="9"/>
  <c r="D23" i="9"/>
  <c r="E23" i="9"/>
  <c r="F23" i="9"/>
  <c r="C23" i="9"/>
  <c r="D45" i="9"/>
  <c r="E45" i="9"/>
  <c r="F45" i="9"/>
  <c r="C45" i="9"/>
  <c r="D43" i="9"/>
  <c r="E43" i="9"/>
  <c r="F43" i="9"/>
  <c r="C43" i="9"/>
  <c r="D41" i="9"/>
  <c r="E41" i="9"/>
  <c r="F41" i="9"/>
  <c r="C41" i="9"/>
  <c r="D34" i="9"/>
  <c r="D36" i="9" s="1"/>
  <c r="E34" i="9"/>
  <c r="E36" i="9" s="1"/>
  <c r="F34" i="9"/>
  <c r="F36" i="9" s="1"/>
  <c r="C34" i="9"/>
  <c r="C36" i="9" s="1"/>
  <c r="D32" i="9"/>
  <c r="E32" i="9"/>
  <c r="F32" i="9"/>
  <c r="C32" i="9"/>
  <c r="D30" i="9"/>
  <c r="E30" i="9"/>
  <c r="F30" i="9"/>
  <c r="C30" i="9"/>
  <c r="D19" i="9"/>
  <c r="E19" i="9"/>
  <c r="F19" i="9"/>
  <c r="C19" i="9"/>
  <c r="D17" i="9"/>
  <c r="E17" i="9"/>
  <c r="F17" i="9"/>
  <c r="C17" i="9"/>
  <c r="D15" i="9"/>
  <c r="E15" i="9"/>
  <c r="F15" i="9"/>
  <c r="C15" i="9"/>
  <c r="D9" i="9"/>
  <c r="E9" i="9"/>
  <c r="F9" i="9"/>
  <c r="C9" i="9"/>
  <c r="D7" i="9"/>
  <c r="E7" i="9"/>
  <c r="F7" i="9"/>
  <c r="C7" i="9"/>
  <c r="D5" i="9"/>
  <c r="E5" i="9"/>
  <c r="F5" i="9"/>
  <c r="C5" i="9"/>
  <c r="D3" i="9"/>
  <c r="E3" i="9"/>
  <c r="F3" i="9"/>
  <c r="C3" i="9"/>
  <c r="H3" i="3"/>
  <c r="H4" i="3"/>
  <c r="I4" i="3"/>
  <c r="J4" i="3"/>
  <c r="H5" i="3"/>
  <c r="I5" i="3"/>
  <c r="J5" i="3"/>
  <c r="H6" i="3"/>
  <c r="I6" i="3"/>
  <c r="J6" i="3"/>
  <c r="I7" i="3"/>
  <c r="H8" i="3"/>
  <c r="I8" i="3"/>
  <c r="J8" i="3"/>
  <c r="H9" i="3"/>
  <c r="I9" i="3"/>
  <c r="J9" i="3"/>
  <c r="H10" i="3"/>
  <c r="I10" i="3"/>
  <c r="J10" i="3"/>
  <c r="H11" i="3"/>
  <c r="I11" i="3"/>
  <c r="J11" i="3"/>
  <c r="H12" i="3"/>
  <c r="I12" i="3"/>
  <c r="J12" i="3"/>
  <c r="H13" i="3"/>
  <c r="I13" i="3"/>
  <c r="J13" i="3"/>
  <c r="H14" i="3"/>
  <c r="I14" i="3"/>
  <c r="J14" i="3"/>
  <c r="H15" i="3"/>
  <c r="I15" i="3"/>
  <c r="J15" i="3"/>
  <c r="H16" i="3"/>
  <c r="I16" i="3"/>
  <c r="J16" i="3"/>
  <c r="H17" i="3"/>
  <c r="I17" i="3"/>
  <c r="J17" i="3"/>
  <c r="H19" i="3"/>
  <c r="I19" i="3"/>
  <c r="J19" i="3"/>
  <c r="H20" i="3"/>
  <c r="I20" i="3"/>
  <c r="J20" i="3"/>
  <c r="H21" i="3"/>
  <c r="I21" i="3"/>
  <c r="J21" i="3"/>
  <c r="H22" i="3"/>
  <c r="I22" i="3"/>
  <c r="J22" i="3"/>
  <c r="H24" i="3"/>
  <c r="I24" i="3"/>
  <c r="J24" i="3"/>
  <c r="J25" i="3"/>
  <c r="H26" i="3"/>
  <c r="I26" i="3"/>
  <c r="J26" i="3"/>
  <c r="I27" i="3"/>
  <c r="J27" i="3"/>
  <c r="H28" i="3"/>
  <c r="I28" i="3"/>
  <c r="J28" i="3"/>
  <c r="H30" i="3"/>
  <c r="I30" i="3"/>
  <c r="J30" i="3"/>
  <c r="H31" i="3"/>
  <c r="I31" i="3"/>
  <c r="J31" i="3"/>
  <c r="J32" i="3"/>
  <c r="H33" i="3"/>
  <c r="I33" i="3"/>
  <c r="J33" i="3"/>
  <c r="I35" i="3"/>
  <c r="J35" i="3"/>
  <c r="H36" i="3"/>
  <c r="I36" i="3"/>
  <c r="J36" i="3"/>
  <c r="H37" i="3"/>
  <c r="I37" i="3"/>
  <c r="J37" i="3"/>
  <c r="H41" i="3"/>
  <c r="I41" i="3"/>
  <c r="J41" i="3"/>
  <c r="H42" i="3"/>
  <c r="I42" i="3"/>
  <c r="J42" i="3"/>
  <c r="H43" i="3"/>
  <c r="I43" i="3"/>
  <c r="J43" i="3"/>
  <c r="H44" i="3"/>
  <c r="I44" i="3"/>
  <c r="J44" i="3"/>
  <c r="H46" i="3"/>
  <c r="I46" i="3"/>
  <c r="J46" i="3"/>
  <c r="H48" i="3"/>
  <c r="I48" i="3"/>
  <c r="J48" i="3"/>
  <c r="H49" i="3"/>
  <c r="I49" i="3"/>
  <c r="J49" i="3"/>
  <c r="H50" i="3"/>
  <c r="I50" i="3"/>
  <c r="J50" i="3"/>
  <c r="H52" i="3"/>
  <c r="I52" i="3"/>
  <c r="J52" i="3"/>
  <c r="H53" i="3"/>
  <c r="I53" i="3"/>
  <c r="J53" i="3"/>
  <c r="H54" i="3"/>
  <c r="I54" i="3"/>
  <c r="J54" i="3"/>
  <c r="I3" i="3"/>
  <c r="J3" i="3"/>
  <c r="J56" i="8"/>
  <c r="L105" i="8"/>
  <c r="K105" i="8"/>
  <c r="J105" i="8"/>
  <c r="L104" i="8"/>
  <c r="K104" i="8"/>
  <c r="J104" i="8"/>
  <c r="L103" i="8"/>
  <c r="K103" i="8"/>
  <c r="J103" i="8"/>
  <c r="L101" i="8"/>
  <c r="K101" i="8"/>
  <c r="J101" i="8"/>
  <c r="L100" i="8"/>
  <c r="K100" i="8"/>
  <c r="J100" i="8"/>
  <c r="L89" i="8"/>
  <c r="K89" i="8"/>
  <c r="J89" i="8"/>
  <c r="L85" i="8"/>
  <c r="K85" i="8"/>
  <c r="J85" i="8"/>
  <c r="L83" i="8"/>
  <c r="K83" i="8"/>
  <c r="J83" i="8"/>
  <c r="L82" i="8"/>
  <c r="K82" i="8"/>
  <c r="J82" i="8"/>
  <c r="L81" i="8"/>
  <c r="K81" i="8"/>
  <c r="J81" i="8"/>
  <c r="L79" i="8"/>
  <c r="K79" i="8"/>
  <c r="J79" i="8"/>
  <c r="L78" i="8"/>
  <c r="K78" i="8"/>
  <c r="J78" i="8"/>
  <c r="L77" i="8"/>
  <c r="K77" i="8"/>
  <c r="J77" i="8"/>
  <c r="J62" i="8"/>
  <c r="L61" i="8"/>
  <c r="K61" i="8"/>
  <c r="L60" i="8"/>
  <c r="K60" i="8"/>
  <c r="J60" i="8"/>
  <c r="L59" i="8"/>
  <c r="K59" i="8"/>
  <c r="J59" i="8"/>
  <c r="J58" i="8"/>
  <c r="L57" i="8"/>
  <c r="K57" i="8"/>
  <c r="L56" i="8"/>
  <c r="K56" i="8"/>
  <c r="L55" i="8"/>
  <c r="K55" i="8"/>
  <c r="J55" i="8"/>
  <c r="L54" i="8"/>
  <c r="K54" i="8"/>
  <c r="J54" i="8"/>
  <c r="L52" i="8"/>
  <c r="K52" i="8"/>
  <c r="J52" i="8"/>
  <c r="K50" i="8"/>
  <c r="L49" i="8"/>
  <c r="K49" i="8"/>
  <c r="J49" i="8"/>
  <c r="J47" i="8"/>
  <c r="L46" i="8"/>
  <c r="J46" i="8"/>
  <c r="L45" i="8"/>
  <c r="K45" i="8"/>
  <c r="J45" i="8"/>
  <c r="L42" i="8"/>
  <c r="K42" i="8"/>
  <c r="J42" i="8"/>
  <c r="L41" i="8"/>
  <c r="K41" i="8"/>
  <c r="J41" i="8"/>
  <c r="L40" i="8"/>
  <c r="K40" i="8"/>
  <c r="L39" i="8"/>
  <c r="K39" i="8"/>
  <c r="J39" i="8"/>
  <c r="L38" i="8"/>
  <c r="K38" i="8"/>
  <c r="J38" i="8"/>
  <c r="L31" i="8"/>
  <c r="K31" i="8"/>
  <c r="J31" i="8"/>
  <c r="L30" i="8"/>
  <c r="K30" i="8"/>
  <c r="J30" i="8"/>
  <c r="L29" i="8"/>
  <c r="K29" i="8"/>
  <c r="L26" i="8"/>
  <c r="K26" i="8"/>
  <c r="J26" i="8"/>
  <c r="L24" i="8"/>
  <c r="K24" i="8"/>
  <c r="J24" i="8"/>
  <c r="L23" i="8"/>
  <c r="K23" i="8"/>
  <c r="J23" i="8"/>
  <c r="L22" i="8"/>
  <c r="K22" i="8"/>
  <c r="J22" i="8"/>
  <c r="L20" i="8"/>
  <c r="K20" i="8"/>
  <c r="J20" i="8"/>
  <c r="L19" i="8"/>
  <c r="K19" i="8"/>
  <c r="J19" i="8"/>
  <c r="L18" i="8"/>
  <c r="K18" i="8"/>
  <c r="J18" i="8"/>
  <c r="L17" i="8"/>
  <c r="K17" i="8"/>
  <c r="J17" i="8"/>
  <c r="L16" i="8"/>
  <c r="K16" i="8"/>
  <c r="J16" i="8"/>
  <c r="L15" i="8"/>
  <c r="K15" i="8"/>
  <c r="J15" i="8"/>
  <c r="L14" i="8"/>
  <c r="K14" i="8"/>
  <c r="J14" i="8"/>
  <c r="L13" i="8"/>
  <c r="K13" i="8"/>
  <c r="J13" i="8"/>
  <c r="L12" i="8"/>
  <c r="K12" i="8"/>
  <c r="J12" i="8"/>
  <c r="L11" i="8"/>
  <c r="K11" i="8"/>
  <c r="J11" i="8"/>
  <c r="L10" i="8"/>
  <c r="K10" i="8"/>
  <c r="J10" i="8"/>
  <c r="L8" i="8"/>
  <c r="K8" i="8"/>
  <c r="J8" i="8"/>
  <c r="L7" i="8"/>
  <c r="K7" i="8"/>
  <c r="J7" i="8"/>
  <c r="L5" i="8"/>
  <c r="K5" i="8"/>
  <c r="J5" i="8"/>
  <c r="L4" i="8"/>
  <c r="K4" i="8"/>
  <c r="J4" i="8"/>
  <c r="L2" i="8"/>
  <c r="K2" i="8"/>
  <c r="J2" i="8"/>
  <c r="L148" i="1"/>
  <c r="M148" i="1"/>
  <c r="N148" i="1"/>
  <c r="O148" i="1"/>
  <c r="H5" i="1"/>
  <c r="I5" i="1"/>
  <c r="J5" i="1"/>
  <c r="H7" i="1"/>
  <c r="I7" i="1"/>
  <c r="J7" i="1"/>
  <c r="H8" i="1"/>
  <c r="I8" i="1"/>
  <c r="J8" i="1"/>
  <c r="J9" i="1"/>
  <c r="H10" i="1"/>
  <c r="I10" i="1"/>
  <c r="J10" i="1"/>
  <c r="H12" i="1"/>
  <c r="I12" i="1"/>
  <c r="J12" i="1"/>
  <c r="H13" i="1"/>
  <c r="I13" i="1"/>
  <c r="J13" i="1"/>
  <c r="H14" i="1"/>
  <c r="I14" i="1"/>
  <c r="J14" i="1"/>
  <c r="H15" i="1"/>
  <c r="I15" i="1"/>
  <c r="J15" i="1"/>
  <c r="H16" i="1"/>
  <c r="I16" i="1"/>
  <c r="J16" i="1"/>
  <c r="H18" i="1"/>
  <c r="I18" i="1"/>
  <c r="J18" i="1"/>
  <c r="H19" i="1"/>
  <c r="I19" i="1"/>
  <c r="J19" i="1"/>
  <c r="H20" i="1"/>
  <c r="I20" i="1"/>
  <c r="J20" i="1"/>
  <c r="H21" i="1"/>
  <c r="I21" i="1"/>
  <c r="J21" i="1"/>
  <c r="H22" i="1"/>
  <c r="I22" i="1"/>
  <c r="J22" i="1"/>
  <c r="H26" i="1"/>
  <c r="I26" i="1"/>
  <c r="J26" i="1"/>
  <c r="J28" i="1"/>
  <c r="H29" i="1"/>
  <c r="I29" i="1"/>
  <c r="J29" i="1"/>
  <c r="H30" i="1"/>
  <c r="I30" i="1"/>
  <c r="J30" i="1"/>
  <c r="H32" i="1"/>
  <c r="I32" i="1"/>
  <c r="J32" i="1"/>
  <c r="H38" i="1"/>
  <c r="I38" i="1"/>
  <c r="J38" i="1"/>
  <c r="H39" i="1"/>
  <c r="I39" i="1"/>
  <c r="J39" i="1"/>
  <c r="H40" i="1"/>
  <c r="I40" i="1"/>
  <c r="J40" i="1"/>
  <c r="H41" i="1"/>
  <c r="I41" i="1"/>
  <c r="J41" i="1"/>
  <c r="H44" i="1"/>
  <c r="I44" i="1"/>
  <c r="J44" i="1"/>
  <c r="H45" i="1"/>
  <c r="I45" i="1"/>
  <c r="J45" i="1"/>
  <c r="H48" i="1"/>
  <c r="I48" i="1"/>
  <c r="J48" i="1"/>
  <c r="H50" i="1"/>
  <c r="I50" i="1"/>
  <c r="J50" i="1"/>
  <c r="H51" i="1"/>
  <c r="I51" i="1"/>
  <c r="J51" i="1"/>
  <c r="H52" i="1"/>
  <c r="I52" i="1"/>
  <c r="J52" i="1"/>
  <c r="H53" i="1"/>
  <c r="I53" i="1"/>
  <c r="J53" i="1"/>
  <c r="H54" i="1"/>
  <c r="I54" i="1"/>
  <c r="J54" i="1"/>
  <c r="H55" i="1"/>
  <c r="I55" i="1"/>
  <c r="J55" i="1"/>
  <c r="H63" i="1"/>
  <c r="I63" i="1"/>
  <c r="J63" i="1"/>
  <c r="J64" i="1"/>
  <c r="H65" i="1"/>
  <c r="I65" i="1"/>
  <c r="J65" i="1"/>
  <c r="H66" i="1"/>
  <c r="I66" i="1"/>
  <c r="J66" i="1"/>
  <c r="H67" i="1"/>
  <c r="I67" i="1"/>
  <c r="J67" i="1"/>
  <c r="H69" i="1"/>
  <c r="I69" i="1"/>
  <c r="J69" i="1"/>
  <c r="H70" i="1"/>
  <c r="I70" i="1"/>
  <c r="J70" i="1"/>
  <c r="H71" i="1"/>
  <c r="I71" i="1"/>
  <c r="J71" i="1"/>
  <c r="H72" i="1"/>
  <c r="I72" i="1"/>
  <c r="J72" i="1"/>
  <c r="H73" i="1"/>
  <c r="I73" i="1"/>
  <c r="J73" i="1"/>
  <c r="H74" i="1"/>
  <c r="I74" i="1"/>
  <c r="J74" i="1"/>
  <c r="H75" i="1"/>
  <c r="I75" i="1"/>
  <c r="J75" i="1"/>
  <c r="H77" i="1"/>
  <c r="I77" i="1"/>
  <c r="J77" i="1"/>
  <c r="H79" i="1"/>
  <c r="I79" i="1"/>
  <c r="J79" i="1"/>
  <c r="H80" i="1"/>
  <c r="I80" i="1"/>
  <c r="J80" i="1"/>
  <c r="H85" i="1"/>
  <c r="I85" i="1"/>
  <c r="J85" i="1"/>
  <c r="H86" i="1"/>
  <c r="I86" i="1"/>
  <c r="J86" i="1"/>
  <c r="H88" i="1"/>
  <c r="I88" i="1"/>
  <c r="J88" i="1"/>
  <c r="I89" i="1"/>
  <c r="J89" i="1"/>
  <c r="H90" i="1"/>
  <c r="H91" i="1"/>
  <c r="I91" i="1"/>
  <c r="J91" i="1"/>
  <c r="H92" i="1"/>
  <c r="I92" i="1"/>
  <c r="J92" i="1"/>
  <c r="H93" i="1"/>
  <c r="I93" i="1"/>
  <c r="J93" i="1"/>
  <c r="H95" i="1"/>
  <c r="I95" i="1"/>
  <c r="J95" i="1"/>
  <c r="H98" i="1"/>
  <c r="I98" i="1"/>
  <c r="J98" i="1"/>
  <c r="H99" i="1"/>
  <c r="I99" i="1"/>
  <c r="J99" i="1"/>
  <c r="H105" i="1"/>
  <c r="I105" i="1"/>
  <c r="J105" i="1"/>
  <c r="H109" i="1"/>
  <c r="I109" i="1"/>
  <c r="J109" i="1"/>
  <c r="H110" i="1"/>
  <c r="I110" i="1"/>
  <c r="J110" i="1"/>
  <c r="H111" i="1"/>
  <c r="I111" i="1"/>
  <c r="J111" i="1"/>
  <c r="I114" i="1"/>
  <c r="J114" i="1"/>
  <c r="H116" i="1"/>
  <c r="H117" i="1"/>
  <c r="I117" i="1"/>
  <c r="J117" i="1"/>
  <c r="H118" i="1"/>
  <c r="I118" i="1"/>
  <c r="J118" i="1"/>
  <c r="H119" i="1"/>
  <c r="I119" i="1"/>
  <c r="J119" i="1"/>
  <c r="H120" i="1"/>
  <c r="H121" i="1"/>
  <c r="I121" i="1"/>
  <c r="J121" i="1"/>
  <c r="H122" i="1"/>
  <c r="I122" i="1"/>
  <c r="J122" i="1"/>
  <c r="H123" i="1"/>
  <c r="I123" i="1"/>
  <c r="J123" i="1"/>
  <c r="H125" i="1"/>
  <c r="I125" i="1"/>
  <c r="J125" i="1"/>
  <c r="H126" i="1"/>
  <c r="I126" i="1"/>
  <c r="J126" i="1"/>
  <c r="H127" i="1"/>
  <c r="I127" i="1"/>
  <c r="J127" i="1"/>
  <c r="I4" i="1"/>
  <c r="J4" i="1"/>
  <c r="H4" i="1"/>
  <c r="X63" i="7"/>
  <c r="V63" i="7"/>
  <c r="U63" i="7"/>
  <c r="T63" i="7"/>
  <c r="S63" i="7"/>
  <c r="R63" i="7"/>
  <c r="Q63" i="7"/>
  <c r="P63" i="7"/>
  <c r="O63" i="7"/>
  <c r="N63" i="7"/>
  <c r="M63" i="7"/>
  <c r="L63" i="7"/>
  <c r="K63" i="7"/>
  <c r="J63" i="7"/>
  <c r="I63" i="7"/>
  <c r="H63" i="7"/>
  <c r="T62" i="7"/>
  <c r="S62" i="7"/>
  <c r="O62" i="7"/>
  <c r="K62" i="7"/>
  <c r="J62" i="7"/>
  <c r="X61" i="7"/>
  <c r="X62" i="7" s="1"/>
  <c r="V61" i="7"/>
  <c r="V62" i="7" s="1"/>
  <c r="U61" i="7"/>
  <c r="U62" i="7" s="1"/>
  <c r="T61" i="7"/>
  <c r="S61" i="7"/>
  <c r="R61" i="7"/>
  <c r="R62" i="7" s="1"/>
  <c r="Q61" i="7"/>
  <c r="Q62" i="7" s="1"/>
  <c r="P61" i="7"/>
  <c r="P62" i="7" s="1"/>
  <c r="O61" i="7"/>
  <c r="N61" i="7"/>
  <c r="N62" i="7" s="1"/>
  <c r="M61" i="7"/>
  <c r="M62" i="7" s="1"/>
  <c r="L61" i="7"/>
  <c r="L62" i="7" s="1"/>
  <c r="K61" i="7"/>
  <c r="J61" i="7"/>
  <c r="I61" i="7"/>
  <c r="I62" i="7" s="1"/>
  <c r="H61" i="7"/>
  <c r="H62" i="7" s="1"/>
  <c r="X59" i="7"/>
  <c r="S59" i="7"/>
  <c r="R59" i="7"/>
  <c r="N59" i="7"/>
  <c r="L59" i="7"/>
  <c r="I59" i="7"/>
  <c r="H59" i="7"/>
  <c r="Y58" i="7"/>
  <c r="W58" i="7"/>
  <c r="W57" i="7"/>
  <c r="Y57" i="7" s="1"/>
  <c r="W56" i="7"/>
  <c r="Y56" i="7" s="1"/>
  <c r="W55" i="7"/>
  <c r="Y55" i="7" s="1"/>
  <c r="W54" i="7"/>
  <c r="Y54" i="7" s="1"/>
  <c r="W53" i="7"/>
  <c r="Y53" i="7" s="1"/>
  <c r="W52" i="7"/>
  <c r="Y52" i="7" s="1"/>
  <c r="W51" i="7"/>
  <c r="Y51" i="7" s="1"/>
  <c r="Y50" i="7"/>
  <c r="W50" i="7"/>
  <c r="W63" i="7" s="1"/>
  <c r="W49" i="7"/>
  <c r="Y49" i="7" s="1"/>
  <c r="W48" i="7"/>
  <c r="Y48" i="7" s="1"/>
  <c r="W47" i="7"/>
  <c r="Y47" i="7" s="1"/>
  <c r="W46" i="7"/>
  <c r="Y46" i="7" s="1"/>
  <c r="W45" i="7"/>
  <c r="Y45" i="7" s="1"/>
  <c r="W44" i="7"/>
  <c r="Y44" i="7" s="1"/>
  <c r="W43" i="7"/>
  <c r="W61" i="7" s="1"/>
  <c r="Y42" i="7"/>
  <c r="W42" i="7"/>
  <c r="W41" i="7"/>
  <c r="Y41" i="7" s="1"/>
  <c r="W40" i="7"/>
  <c r="X39" i="7"/>
  <c r="V39" i="7"/>
  <c r="V59" i="7" s="1"/>
  <c r="U39" i="7"/>
  <c r="U59" i="7" s="1"/>
  <c r="T39" i="7"/>
  <c r="T59" i="7" s="1"/>
  <c r="S39" i="7"/>
  <c r="R39" i="7"/>
  <c r="Q39" i="7"/>
  <c r="Q59" i="7" s="1"/>
  <c r="P39" i="7"/>
  <c r="P59" i="7" s="1"/>
  <c r="O39" i="7"/>
  <c r="O59" i="7" s="1"/>
  <c r="N39" i="7"/>
  <c r="M39" i="7"/>
  <c r="M59" i="7" s="1"/>
  <c r="L39" i="7"/>
  <c r="K39" i="7"/>
  <c r="K59" i="7" s="1"/>
  <c r="J39" i="7"/>
  <c r="J59" i="7" s="1"/>
  <c r="I39" i="7"/>
  <c r="H39" i="7"/>
  <c r="W38" i="7"/>
  <c r="W39" i="7" s="1"/>
  <c r="W59" i="7" s="1"/>
  <c r="W37" i="7"/>
  <c r="Y37" i="7" s="1"/>
  <c r="W36" i="7"/>
  <c r="Y36" i="7" s="1"/>
  <c r="X34" i="7"/>
  <c r="W34" i="7"/>
  <c r="V34" i="7"/>
  <c r="U34" i="7"/>
  <c r="T34" i="7"/>
  <c r="S34" i="7"/>
  <c r="R34" i="7"/>
  <c r="Q34" i="7"/>
  <c r="P34" i="7"/>
  <c r="O34" i="7"/>
  <c r="N34" i="7"/>
  <c r="M34" i="7"/>
  <c r="L34" i="7"/>
  <c r="K34" i="7"/>
  <c r="J34" i="7"/>
  <c r="I34" i="7"/>
  <c r="H34" i="7"/>
  <c r="U33" i="7"/>
  <c r="Q33" i="7"/>
  <c r="P33" i="7"/>
  <c r="N33" i="7"/>
  <c r="J33" i="7"/>
  <c r="I33" i="7"/>
  <c r="X32" i="7"/>
  <c r="X33" i="7" s="1"/>
  <c r="V32" i="7"/>
  <c r="V33" i="7" s="1"/>
  <c r="U32" i="7"/>
  <c r="T32" i="7"/>
  <c r="T33" i="7" s="1"/>
  <c r="S32" i="7"/>
  <c r="S33" i="7" s="1"/>
  <c r="R32" i="7"/>
  <c r="R33" i="7" s="1"/>
  <c r="Q32" i="7"/>
  <c r="P32" i="7"/>
  <c r="O32" i="7"/>
  <c r="O33" i="7" s="1"/>
  <c r="N32" i="7"/>
  <c r="M32" i="7"/>
  <c r="M33" i="7" s="1"/>
  <c r="L32" i="7"/>
  <c r="L33" i="7" s="1"/>
  <c r="K32" i="7"/>
  <c r="K33" i="7" s="1"/>
  <c r="J32" i="7"/>
  <c r="I32" i="7"/>
  <c r="H32" i="7"/>
  <c r="H33" i="7" s="1"/>
  <c r="X30" i="7"/>
  <c r="T30" i="7"/>
  <c r="R30" i="7"/>
  <c r="O30" i="7"/>
  <c r="N30" i="7"/>
  <c r="M30" i="7"/>
  <c r="I30" i="7"/>
  <c r="H30" i="7"/>
  <c r="W29" i="7"/>
  <c r="Y29" i="7" s="1"/>
  <c r="W28" i="7"/>
  <c r="Y28" i="7" s="1"/>
  <c r="W27" i="7"/>
  <c r="Y27" i="7" s="1"/>
  <c r="W26" i="7"/>
  <c r="Y26" i="7" s="1"/>
  <c r="W25" i="7"/>
  <c r="Y25" i="7" s="1"/>
  <c r="Y24" i="7"/>
  <c r="W24" i="7"/>
  <c r="W23" i="7"/>
  <c r="Y23" i="7" s="1"/>
  <c r="W22" i="7"/>
  <c r="Y22" i="7" s="1"/>
  <c r="W21" i="7"/>
  <c r="Y21" i="7" s="1"/>
  <c r="Y34" i="7" s="1"/>
  <c r="W20" i="7"/>
  <c r="Y20" i="7" s="1"/>
  <c r="W19" i="7"/>
  <c r="Y19" i="7" s="1"/>
  <c r="W18" i="7"/>
  <c r="Y18" i="7" s="1"/>
  <c r="W17" i="7"/>
  <c r="Y17" i="7" s="1"/>
  <c r="Y16" i="7"/>
  <c r="W16" i="7"/>
  <c r="W15" i="7"/>
  <c r="Y15" i="7" s="1"/>
  <c r="W14" i="7"/>
  <c r="Y14" i="7" s="1"/>
  <c r="W13" i="7"/>
  <c r="Y13" i="7" s="1"/>
  <c r="W12" i="7"/>
  <c r="W32" i="7" s="1"/>
  <c r="W11" i="7"/>
  <c r="Y11" i="7" s="1"/>
  <c r="X10" i="7"/>
  <c r="V10" i="7"/>
  <c r="V30" i="7" s="1"/>
  <c r="U10" i="7"/>
  <c r="U30" i="7" s="1"/>
  <c r="T10" i="7"/>
  <c r="S10" i="7"/>
  <c r="S30" i="7" s="1"/>
  <c r="R10" i="7"/>
  <c r="Q10" i="7"/>
  <c r="Q30" i="7" s="1"/>
  <c r="P10" i="7"/>
  <c r="P30" i="7" s="1"/>
  <c r="O10" i="7"/>
  <c r="N10" i="7"/>
  <c r="M10" i="7"/>
  <c r="L10" i="7"/>
  <c r="W10" i="7" s="1"/>
  <c r="W30" i="7" s="1"/>
  <c r="K10" i="7"/>
  <c r="K30" i="7" s="1"/>
  <c r="J10" i="7"/>
  <c r="J30" i="7" s="1"/>
  <c r="I10" i="7"/>
  <c r="H10" i="7"/>
  <c r="W9" i="7"/>
  <c r="Y9" i="7" s="1"/>
  <c r="Y8" i="7"/>
  <c r="W8" i="7"/>
  <c r="W7" i="7"/>
  <c r="Y7" i="7" s="1"/>
  <c r="Y10" i="7" s="1"/>
  <c r="Y63" i="7" l="1"/>
  <c r="W62" i="7"/>
  <c r="Y38" i="7"/>
  <c r="Y39" i="7" s="1"/>
  <c r="Y59" i="7" s="1"/>
  <c r="Y12" i="7"/>
  <c r="Y32" i="7" s="1"/>
  <c r="Y33" i="7" s="1"/>
  <c r="Y40" i="7"/>
  <c r="W33" i="7"/>
  <c r="L30" i="7"/>
  <c r="Y43" i="7"/>
  <c r="Y61" i="7" s="1"/>
  <c r="Y62" i="7" l="1"/>
  <c r="Y30" i="7"/>
  <c r="E249" i="5" l="1"/>
  <c r="F249" i="5" s="1"/>
  <c r="E240" i="5"/>
  <c r="F240" i="5" s="1"/>
  <c r="E229" i="5"/>
  <c r="F229" i="5" s="1"/>
  <c r="D227" i="5"/>
  <c r="D231" i="5" s="1"/>
  <c r="F225" i="5"/>
  <c r="E225" i="5"/>
  <c r="E223" i="5"/>
  <c r="E227" i="5" s="1"/>
  <c r="E221" i="5"/>
  <c r="F221" i="5" s="1"/>
  <c r="E210" i="5"/>
  <c r="F210" i="5" s="1"/>
  <c r="E206" i="5"/>
  <c r="F206" i="5" s="1"/>
  <c r="D204" i="5"/>
  <c r="D208" i="5" s="1"/>
  <c r="F202" i="5"/>
  <c r="E202" i="5"/>
  <c r="F191" i="5"/>
  <c r="E191" i="5"/>
  <c r="D187" i="5"/>
  <c r="F185" i="5"/>
  <c r="E185" i="5"/>
  <c r="D185" i="5"/>
  <c r="D189" i="5" s="1"/>
  <c r="D193" i="5" s="1"/>
  <c r="F183" i="5"/>
  <c r="E183" i="5"/>
  <c r="E181" i="5"/>
  <c r="F181" i="5" s="1"/>
  <c r="E179" i="5"/>
  <c r="F179" i="5" s="1"/>
  <c r="E177" i="5"/>
  <c r="F177" i="5" s="1"/>
  <c r="F176" i="5"/>
  <c r="E175" i="5"/>
  <c r="F175" i="5" s="1"/>
  <c r="E174" i="5"/>
  <c r="F174" i="5" s="1"/>
  <c r="F173" i="5"/>
  <c r="E173" i="5"/>
  <c r="E170" i="5" s="1"/>
  <c r="F172" i="5"/>
  <c r="F171" i="5"/>
  <c r="D170" i="5"/>
  <c r="F168" i="5"/>
  <c r="F167" i="5"/>
  <c r="E167" i="5"/>
  <c r="E166" i="5"/>
  <c r="F166" i="5" s="1"/>
  <c r="D166" i="5"/>
  <c r="F157" i="5"/>
  <c r="D155" i="5"/>
  <c r="F155" i="5" s="1"/>
  <c r="F154" i="5"/>
  <c r="E154" i="5"/>
  <c r="F153" i="5"/>
  <c r="E153" i="5"/>
  <c r="E152" i="5"/>
  <c r="F152" i="5" s="1"/>
  <c r="F151" i="5"/>
  <c r="E150" i="5"/>
  <c r="F150" i="5" s="1"/>
  <c r="E149" i="5"/>
  <c r="F149" i="5" s="1"/>
  <c r="E148" i="5"/>
  <c r="F148" i="5" s="1"/>
  <c r="D148" i="5"/>
  <c r="D158" i="5" s="1"/>
  <c r="E146" i="5"/>
  <c r="F146" i="5" s="1"/>
  <c r="F145" i="5"/>
  <c r="F144" i="5"/>
  <c r="F143" i="5"/>
  <c r="E143" i="5"/>
  <c r="E142" i="5"/>
  <c r="F142" i="5" s="1"/>
  <c r="D142" i="5"/>
  <c r="F140" i="5"/>
  <c r="E138" i="5"/>
  <c r="F138" i="5" s="1"/>
  <c r="D136" i="5"/>
  <c r="F135" i="5"/>
  <c r="E133" i="5"/>
  <c r="E129" i="5" s="1"/>
  <c r="F129" i="5" s="1"/>
  <c r="F132" i="5"/>
  <c r="E132" i="5"/>
  <c r="F131" i="5"/>
  <c r="F130" i="5"/>
  <c r="D129" i="5"/>
  <c r="E127" i="5"/>
  <c r="F127" i="5" s="1"/>
  <c r="F126" i="5"/>
  <c r="E125" i="5"/>
  <c r="F125" i="5" s="1"/>
  <c r="F124" i="5"/>
  <c r="F123" i="5"/>
  <c r="E123" i="5"/>
  <c r="E122" i="5"/>
  <c r="D122" i="5"/>
  <c r="F112" i="5"/>
  <c r="E112" i="5"/>
  <c r="D108" i="5"/>
  <c r="F108" i="5" s="1"/>
  <c r="D106" i="5"/>
  <c r="D110" i="5" s="1"/>
  <c r="F104" i="5"/>
  <c r="F102" i="5"/>
  <c r="F100" i="5"/>
  <c r="E100" i="5"/>
  <c r="E98" i="5"/>
  <c r="F98" i="5" s="1"/>
  <c r="F96" i="5"/>
  <c r="E96" i="5"/>
  <c r="E95" i="5"/>
  <c r="F95" i="5" s="1"/>
  <c r="E94" i="5"/>
  <c r="F94" i="5" s="1"/>
  <c r="E93" i="5"/>
  <c r="F93" i="5" s="1"/>
  <c r="E92" i="5"/>
  <c r="E89" i="5" s="1"/>
  <c r="E108" i="5" s="1"/>
  <c r="F91" i="5"/>
  <c r="E91" i="5"/>
  <c r="F90" i="5"/>
  <c r="E90" i="5"/>
  <c r="D89" i="5"/>
  <c r="F89" i="5" s="1"/>
  <c r="E87" i="5"/>
  <c r="D87" i="5"/>
  <c r="F87" i="5" s="1"/>
  <c r="D86" i="5"/>
  <c r="D85" i="5"/>
  <c r="E77" i="5"/>
  <c r="D77" i="5"/>
  <c r="F77" i="5" s="1"/>
  <c r="E75" i="5"/>
  <c r="D75" i="5"/>
  <c r="F75" i="5" s="1"/>
  <c r="D74" i="5"/>
  <c r="E73" i="5"/>
  <c r="F73" i="5" s="1"/>
  <c r="E72" i="5"/>
  <c r="D72" i="5"/>
  <c r="D69" i="5" s="1"/>
  <c r="E71" i="5"/>
  <c r="D71" i="5"/>
  <c r="F71" i="5" s="1"/>
  <c r="E70" i="5"/>
  <c r="F70" i="5" s="1"/>
  <c r="E67" i="5"/>
  <c r="F67" i="5" s="1"/>
  <c r="E66" i="5"/>
  <c r="F66" i="5" s="1"/>
  <c r="F65" i="5"/>
  <c r="E65" i="5"/>
  <c r="E64" i="5"/>
  <c r="F64" i="5" s="1"/>
  <c r="D64" i="5"/>
  <c r="F62" i="5"/>
  <c r="E62" i="5"/>
  <c r="D62" i="5"/>
  <c r="F60" i="5"/>
  <c r="D60" i="5"/>
  <c r="E57" i="5"/>
  <c r="D57" i="5"/>
  <c r="D58" i="5" s="1"/>
  <c r="F55" i="5"/>
  <c r="E55" i="5"/>
  <c r="E54" i="5"/>
  <c r="F54" i="5" s="1"/>
  <c r="E53" i="5"/>
  <c r="F53" i="5" s="1"/>
  <c r="F52" i="5"/>
  <c r="E52" i="5"/>
  <c r="D51" i="5"/>
  <c r="E49" i="5"/>
  <c r="F49" i="5" s="1"/>
  <c r="F48" i="5"/>
  <c r="E47" i="5"/>
  <c r="F47" i="5" s="1"/>
  <c r="F46" i="5"/>
  <c r="E46" i="5"/>
  <c r="E45" i="5"/>
  <c r="F45" i="5" s="1"/>
  <c r="D45" i="5"/>
  <c r="D44" i="5"/>
  <c r="X63" i="4"/>
  <c r="V63" i="4"/>
  <c r="U63" i="4"/>
  <c r="T63" i="4"/>
  <c r="S63" i="4"/>
  <c r="R63" i="4"/>
  <c r="Q63" i="4"/>
  <c r="P63" i="4"/>
  <c r="O63" i="4"/>
  <c r="N63" i="4"/>
  <c r="M63" i="4"/>
  <c r="L63" i="4"/>
  <c r="K63" i="4"/>
  <c r="J63" i="4"/>
  <c r="I63" i="4"/>
  <c r="H63" i="4"/>
  <c r="X62" i="4"/>
  <c r="U62" i="4"/>
  <c r="M62" i="4"/>
  <c r="L62" i="4"/>
  <c r="I62" i="4"/>
  <c r="H62" i="4"/>
  <c r="X61" i="4"/>
  <c r="V61" i="4"/>
  <c r="V62" i="4" s="1"/>
  <c r="U61" i="4"/>
  <c r="T61" i="4"/>
  <c r="T62" i="4" s="1"/>
  <c r="S61" i="4"/>
  <c r="S62" i="4" s="1"/>
  <c r="R61" i="4"/>
  <c r="R62" i="4" s="1"/>
  <c r="Q61" i="4"/>
  <c r="Q62" i="4" s="1"/>
  <c r="P61" i="4"/>
  <c r="P62" i="4" s="1"/>
  <c r="O61" i="4"/>
  <c r="O62" i="4" s="1"/>
  <c r="N61" i="4"/>
  <c r="N62" i="4" s="1"/>
  <c r="M61" i="4"/>
  <c r="L61" i="4"/>
  <c r="K61" i="4"/>
  <c r="K62" i="4" s="1"/>
  <c r="J61" i="4"/>
  <c r="J62" i="4" s="1"/>
  <c r="I61" i="4"/>
  <c r="H61" i="4"/>
  <c r="W58" i="4"/>
  <c r="Y58" i="4" s="1"/>
  <c r="W57" i="4"/>
  <c r="Y57" i="4" s="1"/>
  <c r="W56" i="4"/>
  <c r="Y56" i="4" s="1"/>
  <c r="W55" i="4"/>
  <c r="Y55" i="4" s="1"/>
  <c r="W54" i="4"/>
  <c r="Y54" i="4" s="1"/>
  <c r="W53" i="4"/>
  <c r="Y53" i="4" s="1"/>
  <c r="W52" i="4"/>
  <c r="Y52" i="4" s="1"/>
  <c r="Y51" i="4"/>
  <c r="W51" i="4"/>
  <c r="W50" i="4"/>
  <c r="W63" i="4" s="1"/>
  <c r="W49" i="4"/>
  <c r="Y49" i="4" s="1"/>
  <c r="W48" i="4"/>
  <c r="Y48" i="4" s="1"/>
  <c r="W47" i="4"/>
  <c r="Y47" i="4" s="1"/>
  <c r="W46" i="4"/>
  <c r="Y46" i="4" s="1"/>
  <c r="W45" i="4"/>
  <c r="Y45" i="4" s="1"/>
  <c r="W44" i="4"/>
  <c r="Y44" i="4" s="1"/>
  <c r="Y43" i="4"/>
  <c r="W43" i="4"/>
  <c r="W42" i="4"/>
  <c r="Y42" i="4" s="1"/>
  <c r="W41" i="4"/>
  <c r="W61" i="4" s="1"/>
  <c r="W40" i="4"/>
  <c r="W62" i="4" s="1"/>
  <c r="W38" i="4"/>
  <c r="Y38" i="4" s="1"/>
  <c r="W37" i="4"/>
  <c r="Y37" i="4" s="1"/>
  <c r="X34" i="4"/>
  <c r="V34" i="4"/>
  <c r="U34" i="4"/>
  <c r="T34" i="4"/>
  <c r="S34" i="4"/>
  <c r="R34" i="4"/>
  <c r="Q34" i="4"/>
  <c r="P34" i="4"/>
  <c r="O34" i="4"/>
  <c r="N34" i="4"/>
  <c r="M34" i="4"/>
  <c r="L34" i="4"/>
  <c r="K34" i="4"/>
  <c r="J34" i="4"/>
  <c r="I34" i="4"/>
  <c r="H34" i="4"/>
  <c r="S33" i="4"/>
  <c r="R33" i="4"/>
  <c r="O33" i="4"/>
  <c r="N33" i="4"/>
  <c r="K33" i="4"/>
  <c r="X32" i="4"/>
  <c r="X33" i="4" s="1"/>
  <c r="V32" i="4"/>
  <c r="V33" i="4" s="1"/>
  <c r="U32" i="4"/>
  <c r="U33" i="4" s="1"/>
  <c r="T32" i="4"/>
  <c r="T33" i="4" s="1"/>
  <c r="S32" i="4"/>
  <c r="R32" i="4"/>
  <c r="Q32" i="4"/>
  <c r="Q33" i="4" s="1"/>
  <c r="P32" i="4"/>
  <c r="P33" i="4" s="1"/>
  <c r="O32" i="4"/>
  <c r="N32" i="4"/>
  <c r="M32" i="4"/>
  <c r="M33" i="4" s="1"/>
  <c r="L32" i="4"/>
  <c r="L33" i="4" s="1"/>
  <c r="K32" i="4"/>
  <c r="J32" i="4"/>
  <c r="J33" i="4" s="1"/>
  <c r="I32" i="4"/>
  <c r="I33" i="4" s="1"/>
  <c r="H32" i="4"/>
  <c r="H33" i="4" s="1"/>
  <c r="X30" i="4"/>
  <c r="X36" i="4" s="1"/>
  <c r="X39" i="4" s="1"/>
  <c r="X59" i="4" s="1"/>
  <c r="V30" i="4"/>
  <c r="V36" i="4" s="1"/>
  <c r="V39" i="4" s="1"/>
  <c r="V59" i="4" s="1"/>
  <c r="M30" i="4"/>
  <c r="M36" i="4" s="1"/>
  <c r="M39" i="4" s="1"/>
  <c r="M59" i="4" s="1"/>
  <c r="L30" i="4"/>
  <c r="L36" i="4" s="1"/>
  <c r="L39" i="4" s="1"/>
  <c r="L59" i="4" s="1"/>
  <c r="K30" i="4"/>
  <c r="K36" i="4" s="1"/>
  <c r="K39" i="4" s="1"/>
  <c r="K59" i="4" s="1"/>
  <c r="J30" i="4"/>
  <c r="J36" i="4" s="1"/>
  <c r="J39" i="4" s="1"/>
  <c r="J59" i="4" s="1"/>
  <c r="I30" i="4"/>
  <c r="I36" i="4" s="1"/>
  <c r="I39" i="4" s="1"/>
  <c r="I59" i="4" s="1"/>
  <c r="H30" i="4"/>
  <c r="H36" i="4" s="1"/>
  <c r="W29" i="4"/>
  <c r="Y29" i="4" s="1"/>
  <c r="W28" i="4"/>
  <c r="Y28" i="4" s="1"/>
  <c r="W27" i="4"/>
  <c r="Y27" i="4" s="1"/>
  <c r="W26" i="4"/>
  <c r="Y26" i="4" s="1"/>
  <c r="Y25" i="4"/>
  <c r="W25" i="4"/>
  <c r="W24" i="4"/>
  <c r="Y24" i="4" s="1"/>
  <c r="W23" i="4"/>
  <c r="Y23" i="4" s="1"/>
  <c r="W22" i="4"/>
  <c r="Y22" i="4" s="1"/>
  <c r="W21" i="4"/>
  <c r="Y21" i="4" s="1"/>
  <c r="Y34" i="4" s="1"/>
  <c r="W20" i="4"/>
  <c r="Y20" i="4" s="1"/>
  <c r="W19" i="4"/>
  <c r="Y19" i="4" s="1"/>
  <c r="W18" i="4"/>
  <c r="Y18" i="4" s="1"/>
  <c r="W17" i="4"/>
  <c r="Y17" i="4" s="1"/>
  <c r="W16" i="4"/>
  <c r="Y16" i="4" s="1"/>
  <c r="W15" i="4"/>
  <c r="Y15" i="4" s="1"/>
  <c r="W14" i="4"/>
  <c r="Y14" i="4" s="1"/>
  <c r="W13" i="4"/>
  <c r="Y13" i="4" s="1"/>
  <c r="W12" i="4"/>
  <c r="Y12" i="4" s="1"/>
  <c r="Y32" i="4" s="1"/>
  <c r="W11" i="4"/>
  <c r="Y11" i="4" s="1"/>
  <c r="Y33" i="4" s="1"/>
  <c r="X10" i="4"/>
  <c r="V10" i="4"/>
  <c r="U10" i="4"/>
  <c r="U30" i="4" s="1"/>
  <c r="U36" i="4" s="1"/>
  <c r="U39" i="4" s="1"/>
  <c r="U59" i="4" s="1"/>
  <c r="T10" i="4"/>
  <c r="T30" i="4" s="1"/>
  <c r="T36" i="4" s="1"/>
  <c r="T39" i="4" s="1"/>
  <c r="T59" i="4" s="1"/>
  <c r="S10" i="4"/>
  <c r="S30" i="4" s="1"/>
  <c r="S36" i="4" s="1"/>
  <c r="S39" i="4" s="1"/>
  <c r="S59" i="4" s="1"/>
  <c r="R10" i="4"/>
  <c r="R30" i="4" s="1"/>
  <c r="R36" i="4" s="1"/>
  <c r="R39" i="4" s="1"/>
  <c r="R59" i="4" s="1"/>
  <c r="Q10" i="4"/>
  <c r="Q30" i="4" s="1"/>
  <c r="Q36" i="4" s="1"/>
  <c r="Q39" i="4" s="1"/>
  <c r="Q59" i="4" s="1"/>
  <c r="P10" i="4"/>
  <c r="P30" i="4" s="1"/>
  <c r="P36" i="4" s="1"/>
  <c r="P39" i="4" s="1"/>
  <c r="P59" i="4" s="1"/>
  <c r="O10" i="4"/>
  <c r="O30" i="4" s="1"/>
  <c r="O36" i="4" s="1"/>
  <c r="O39" i="4" s="1"/>
  <c r="O59" i="4" s="1"/>
  <c r="N10" i="4"/>
  <c r="N30" i="4" s="1"/>
  <c r="N36" i="4" s="1"/>
  <c r="N39" i="4" s="1"/>
  <c r="N59" i="4" s="1"/>
  <c r="M10" i="4"/>
  <c r="L10" i="4"/>
  <c r="K10" i="4"/>
  <c r="J10" i="4"/>
  <c r="W10" i="4" s="1"/>
  <c r="W30" i="4" s="1"/>
  <c r="I10" i="4"/>
  <c r="H10" i="4"/>
  <c r="W9" i="4"/>
  <c r="Y9" i="4" s="1"/>
  <c r="W8" i="4"/>
  <c r="Y8" i="4" s="1"/>
  <c r="W7" i="4"/>
  <c r="Y7" i="4" s="1"/>
  <c r="E231" i="5" l="1"/>
  <c r="F231" i="5" s="1"/>
  <c r="F227" i="5"/>
  <c r="F170" i="5"/>
  <c r="E187" i="5"/>
  <c r="F187" i="5" s="1"/>
  <c r="D212" i="5"/>
  <c r="D78" i="5"/>
  <c r="E136" i="5"/>
  <c r="F136" i="5" s="1"/>
  <c r="D114" i="5"/>
  <c r="E110" i="5"/>
  <c r="E114" i="5" s="1"/>
  <c r="F110" i="5"/>
  <c r="F85" i="5"/>
  <c r="F122" i="5"/>
  <c r="F223" i="5"/>
  <c r="F72" i="5"/>
  <c r="F92" i="5"/>
  <c r="F133" i="5"/>
  <c r="E204" i="5"/>
  <c r="E158" i="5"/>
  <c r="F158" i="5" s="1"/>
  <c r="E86" i="5"/>
  <c r="E85" i="5" s="1"/>
  <c r="E106" i="5" s="1"/>
  <c r="F106" i="5" s="1"/>
  <c r="F57" i="5"/>
  <c r="E51" i="5"/>
  <c r="F51" i="5" s="1"/>
  <c r="E74" i="5"/>
  <c r="F74" i="5" s="1"/>
  <c r="E44" i="5"/>
  <c r="W36" i="4"/>
  <c r="H39" i="4"/>
  <c r="H59" i="4" s="1"/>
  <c r="Y10" i="4"/>
  <c r="Y30" i="4" s="1"/>
  <c r="Y40" i="4"/>
  <c r="Y41" i="4"/>
  <c r="Y61" i="4" s="1"/>
  <c r="W32" i="4"/>
  <c r="W33" i="4" s="1"/>
  <c r="W34" i="4"/>
  <c r="Y50" i="4"/>
  <c r="Y63" i="4" s="1"/>
  <c r="F114" i="5" l="1"/>
  <c r="E208" i="5"/>
  <c r="F204" i="5"/>
  <c r="F86" i="5"/>
  <c r="F44" i="5"/>
  <c r="E58" i="5"/>
  <c r="F58" i="5" s="1"/>
  <c r="E69" i="5"/>
  <c r="E189" i="5"/>
  <c r="Y62" i="4"/>
  <c r="W39" i="4"/>
  <c r="W59" i="4" s="1"/>
  <c r="Y36" i="4"/>
  <c r="Y39" i="4" s="1"/>
  <c r="Y59" i="4" s="1"/>
  <c r="E193" i="5" l="1"/>
  <c r="F193" i="5" s="1"/>
  <c r="F189" i="5"/>
  <c r="F69" i="5"/>
  <c r="E78" i="5"/>
  <c r="F78" i="5" s="1"/>
  <c r="E212" i="5"/>
  <c r="F212" i="5" s="1"/>
  <c r="F208" i="5"/>
</calcChain>
</file>

<file path=xl/sharedStrings.xml><?xml version="1.0" encoding="utf-8"?>
<sst xmlns="http://schemas.openxmlformats.org/spreadsheetml/2006/main" count="1052" uniqueCount="698">
  <si>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</si>
  <si>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</si>
  <si>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</si>
  <si>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</si>
  <si>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</si>
  <si>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</si>
  <si>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</si>
  <si>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</si>
  <si>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</si>
  <si>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</si>
  <si>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</si>
  <si>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</si>
  <si>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</si>
  <si>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</si>
  <si>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</si>
  <si>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</si>
  <si>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</si>
  <si>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</si>
  <si>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</si>
  <si>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</si>
  <si>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</si>
  <si>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</si>
  <si>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</si>
  <si>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</si>
  <si>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</si>
  <si>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</si>
  <si>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</si>
  <si>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</si>
  <si>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</si>
  <si>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</si>
  <si>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</si>
  <si>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</si>
  <si>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</si>
  <si>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</si>
  <si>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</si>
  <si>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</si>
  <si>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</si>
  <si>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</si>
  <si>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</si>
  <si>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</si>
  <si>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</si>
  <si>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</si>
  <si>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</si>
  <si>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</si>
  <si>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</si>
  <si>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</si>
  <si>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</si>
  <si>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</si>
  <si>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9. Ostala financijska imovina</t>
  </si>
  <si>
    <t>IV. NOVAC U BANCI I BLAGAJNI</t>
  </si>
  <si>
    <t>D)  PLAĆENI TROŠKOVI BUDUĆEG RAZDOBLJA I OBRAČUNATI
      PRIHODI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</si>
  <si>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</si>
  <si>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</si>
  <si>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</si>
  <si>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</si>
  <si>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</si>
  <si>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</si>
  <si>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</si>
  <si>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</si>
  <si>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</si>
  <si>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</si>
  <si>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</si>
  <si>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</si>
  <si>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</si>
  <si>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</si>
  <si>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</si>
  <si>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</si>
  <si>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</si>
  <si>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</si>
  <si>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</si>
  <si>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</si>
  <si>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</si>
  <si>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</si>
  <si>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</si>
  <si>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</si>
  <si>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</si>
  <si>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</si>
  <si>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</si>
  <si>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</si>
  <si>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</si>
  <si>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</si>
  <si>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</si>
  <si>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</si>
  <si>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</si>
  <si>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</si>
  <si>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</si>
  <si>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</si>
  <si>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</si>
  <si>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</si>
  <si>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</si>
  <si>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</si>
  <si>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</si>
  <si>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</si>
  <si>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</si>
  <si>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</si>
  <si>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AOP</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</si>
  <si>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</si>
  <si>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</si>
  <si>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</si>
  <si>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</si>
  <si>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</si>
  <si>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1. Promjene vrijednosti zaliha proizvodnje u tijeku i gotovih proizvoda</t>
  </si>
  <si>
    <t xml:space="preserve">    2. Materijalni troškovi (AOP 010 do 011)</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</si>
  <si>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</si>
  <si>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</si>
  <si>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</si>
  <si>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</si>
  <si>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</si>
  <si>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</si>
  <si>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</si>
  <si>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</si>
  <si>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</si>
  <si>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</si>
  <si>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</si>
  <si>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</si>
  <si>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</si>
  <si>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</si>
  <si>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</si>
  <si>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</si>
  <si>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</si>
  <si>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</si>
  <si>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</si>
  <si>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</si>
  <si>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t xml:space="preserve">     1. Prihodi od ulaganja u udjele (dionice) poduzetnika unutar grupe</t>
  </si>
  <si>
    <t xml:space="preserve">     4. Ostali prihodi s osnove kamata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</si>
  <si>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</si>
  <si>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</si>
  <si>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</si>
  <si>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</si>
  <si>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</si>
  <si>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</si>
  <si>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</si>
  <si>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</si>
  <si>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</si>
  <si>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</si>
  <si>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</si>
  <si>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</si>
  <si>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VI.   UDIO U DOBITI OD  ZAJEDNIČKIH POTHVATA</t>
  </si>
  <si>
    <t>VIII. UDIO U GUBITKU OD ZAJEDNIČKIH POTHVATA</t>
  </si>
  <si>
    <t xml:space="preserve">   1. Dobit prije oporezivanja (AOP 053-054)</t>
  </si>
  <si>
    <t xml:space="preserve">   2. Gubitak prije oporezivanja (AOP 054-053)</t>
  </si>
  <si>
    <t>XII.  POREZ NA DOBIT</t>
  </si>
  <si>
    <t xml:space="preserve">  1. Dobit razdoblja (AOP 055-059)</t>
  </si>
  <si>
    <t xml:space="preserve">  2. Gubitak razdoblja (AOP 059-055)</t>
  </si>
  <si>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</si>
  <si>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</si>
  <si>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</si>
  <si>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</si>
  <si>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</si>
  <si>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 xml:space="preserve"> 1. Dobit prije oporezivanja (AOP 068)</t>
  </si>
  <si>
    <t xml:space="preserve"> 2. Gubitak prije oporezivanja (AOP 068)</t>
  </si>
  <si>
    <t xml:space="preserve"> 1. Dobit razdoblja (AOP 068-071)</t>
  </si>
  <si>
    <t xml:space="preserve"> 2. Gubitak razdoblja (AOP 071-068)</t>
  </si>
  <si>
    <t xml:space="preserve"> 1. Pripisana imateljima kapitala matice</t>
  </si>
  <si>
    <t xml:space="preserve"> 2. Pripisana manjinskom (nekontrolirajućem) interesu</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</si>
  <si>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</si>
  <si>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</si>
  <si>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</si>
  <si>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</si>
  <si>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</si>
  <si>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</si>
  <si>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</si>
  <si>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</si>
  <si>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</si>
  <si>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</si>
  <si>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</si>
  <si>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</si>
  <si>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</si>
  <si>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</si>
  <si>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</si>
  <si>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</si>
  <si>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</si>
  <si>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</si>
  <si>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</si>
  <si>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1. Pripisana imateljima kapitala matice</t>
  </si>
  <si>
    <t>2. Pripisana manjinskom (nekontrolirajućem) interesu</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</si>
  <si>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</si>
  <si>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</si>
  <si>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</si>
  <si>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</si>
  <si>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</si>
  <si>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</si>
  <si>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</si>
  <si>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</si>
  <si>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</si>
  <si>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</si>
  <si>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</si>
  <si>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</si>
  <si>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</si>
  <si>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</si>
  <si>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</si>
  <si>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</si>
  <si>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t>4. Novčani izdaci za kamate</t>
  </si>
  <si>
    <t>5. Plaćeni porez na dobit</t>
  </si>
  <si>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</si>
  <si>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</si>
  <si>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</si>
  <si>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</si>
  <si>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</si>
  <si>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</si>
  <si>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</si>
  <si>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</si>
  <si>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</si>
  <si>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</si>
  <si>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</si>
  <si>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</si>
  <si>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</si>
  <si>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</si>
  <si>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</si>
  <si>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</si>
  <si>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</si>
  <si>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</si>
  <si>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</si>
  <si>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</si>
  <si>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</si>
  <si>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</si>
  <si>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t>1. Nerealizirane tečajne razlike po novcu i novčanim ekvivalentima</t>
  </si>
  <si>
    <t>E) NOVAC I NOVČANI EKVIVALENTI NA POČETKU RAZDOBLJA</t>
  </si>
  <si>
    <t>IZVJEŠTAJ O PROMJENAMA KAPITALA</t>
  </si>
  <si>
    <t>za razdoblje od</t>
  </si>
  <si>
    <t>do</t>
  </si>
  <si>
    <t>u kunama</t>
  </si>
  <si>
    <t>Opis pozicije</t>
  </si>
  <si>
    <r>
      <t xml:space="preserve">AOP
</t>
    </r>
    <r>
      <rPr>
        <b/>
        <sz val="7"/>
        <color indexed="9"/>
        <rFont val="Arial"/>
        <family val="2"/>
        <charset val="238"/>
      </rPr>
      <t>oznaka</t>
    </r>
  </si>
  <si>
    <t>Raspodjeljivo imateljima kapitala matice</t>
  </si>
  <si>
    <t>Manjinski (nekontrolirajući)
 interes</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</si>
  <si>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</si>
  <si>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</si>
  <si>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</si>
  <si>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</si>
  <si>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</si>
  <si>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</si>
  <si>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</si>
  <si>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</si>
  <si>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</si>
  <si>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</si>
  <si>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</si>
  <si>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</si>
  <si>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</si>
  <si>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</si>
  <si>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</si>
  <si>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</si>
  <si>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</si>
  <si>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3</t>
  </si>
  <si>
    <t>4</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</si>
  <si>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</si>
  <si>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</si>
  <si>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</si>
  <si>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</si>
  <si>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</si>
  <si>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</si>
  <si>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</si>
  <si>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</si>
  <si>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</si>
  <si>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</si>
  <si>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</si>
  <si>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</si>
  <si>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</si>
  <si>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</si>
  <si>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</si>
  <si>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</si>
  <si>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</si>
  <si>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</si>
  <si>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</si>
  <si>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</si>
  <si>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</si>
  <si>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</si>
  <si>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</si>
  <si>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</si>
  <si>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</si>
  <si>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</si>
  <si>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</si>
  <si>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</si>
  <si>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</si>
  <si>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</si>
  <si>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</si>
  <si>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</si>
  <si>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</si>
  <si>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</si>
  <si>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</si>
  <si>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</si>
  <si>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</si>
  <si>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</si>
  <si>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</si>
  <si>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</si>
  <si>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</si>
  <si>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</si>
  <si>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</si>
  <si>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</si>
  <si>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Tekuće razdoblje</t>
  </si>
  <si>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</si>
  <si>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</si>
  <si>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</si>
  <si>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</si>
  <si>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</si>
  <si>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</si>
  <si>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</si>
  <si>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</si>
  <si>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</si>
  <si>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</si>
  <si>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Detaljnije informacije o financijskim izvještajima dostupne su u objavljenom PDF dokumentu "Godišnje izvješće 2021."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</si>
  <si>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2021.“ koji je istovremeno s ovim dokumentom objavljen na internetskim stranicama HANFA-e, Zagrebačke burze i Izdavatelja.</t>
  </si>
  <si>
    <t>Grupa Valamar Riviera u nastavku predstavlja tablice usporedbe stavki GFI POD financijskih izvještaja i revidiranih Bilješki za 2020. i 2021. godinu.</t>
  </si>
  <si>
    <t>Rekapitulacija usporedbe GFI-POD bilance i konsolidirane bilance iz Revidiranih izvještaja za 2021. godinu</t>
  </si>
  <si>
    <t>GRUPA</t>
  </si>
  <si>
    <t>GFI-POD BILANCA
stanje na dan 31.12.2021.
(u tisućama kuna)</t>
  </si>
  <si>
    <t>GFI-POD
AOP
oznaka</t>
  </si>
  <si>
    <t>REVIDIRANI IZVJEŠTAJ
Bilješka</t>
  </si>
  <si>
    <t xml:space="preserve">
GFI-POD</t>
  </si>
  <si>
    <t>Revidirani izvještaj</t>
  </si>
  <si>
    <t>Razlika</t>
  </si>
  <si>
    <t>Objašnjenje</t>
  </si>
  <si>
    <t>DUGOTRAJNA IMOVINA (AOP 003+010+020+031+036)</t>
  </si>
  <si>
    <t>002</t>
  </si>
  <si>
    <t>14+15+16+
17+dio 18+
20+dio 21+dio 23+25+dio 30</t>
  </si>
  <si>
    <t xml:space="preserve">  I. Nematerijalna imovina</t>
  </si>
  <si>
    <t>003</t>
  </si>
  <si>
    <t xml:space="preserve">  II. Materijalna imovina</t>
  </si>
  <si>
    <t>010</t>
  </si>
  <si>
    <t>14+15+dio 30</t>
  </si>
  <si>
    <t>GFI-POD stavka "Materijalna imovina" (AOP 010; HRK 5.221.568 tis.) je u Revidiranom izvještaju iskazana u stavkama "Nekretnine, postrojenja i oprema" (Bilješka 14 u usporedivom iznosu HRK 5.201.748 tis.), "Ulaganja u nekretnine" (Bilješka 15 u usporedivom iznosu HRK 3.180 tis.) te "Imovina s pravom korištenja" (Bilješka 30 u usporedivom iznosu HRK 16.640 tis.).</t>
  </si>
  <si>
    <t xml:space="preserve">  III. Dugotrajna financijska imovina</t>
  </si>
  <si>
    <t>020</t>
  </si>
  <si>
    <t>17+dio18+20+dio21</t>
  </si>
  <si>
    <t>GFI-POD stavka "Financijska imovina" (AOP 020; HRK 82.072 tis.) je u Revidiranom izvještaju iskazana u stavkama "Udjel u pridruženom subjektu" (Bilješka 18 u usporedivom iznosu HRK 76.503 tis. (prikazan u Revidiranom izvještaju kao zasebna stavka)), "Financijska imovina" (Bilješka 20 u usporedivom iznosu HRK 391 tis.) te u dugoročnom dijelu stavke "Krediti i depoziti" (Bilješka 21 u usporedivom iznosu HRK 5.178 tis.).</t>
  </si>
  <si>
    <t xml:space="preserve">  IV. Potraživanja</t>
  </si>
  <si>
    <t>031</t>
  </si>
  <si>
    <t>Dio 23</t>
  </si>
  <si>
    <t xml:space="preserve">  V. Odgođena porezna imovina</t>
  </si>
  <si>
    <t>036</t>
  </si>
  <si>
    <t>25</t>
  </si>
  <si>
    <t>KRATKOTRAJNA IMOVINA (AOP 038+046+053+063)</t>
  </si>
  <si>
    <t>037</t>
  </si>
  <si>
    <t>Dio 21+22+
dio 23+26</t>
  </si>
  <si>
    <t>Obzirom na drukčiji prikaz, a radi usporedivosti GFI-POD i Revidiranog izvještaja nužno je zbirno promatrati GFI-POD stavke "Kratkotrajna imovina" (AOP 037; HRK 1.217.958 tis.), "Plaćeni troškovi budućeg razdoblja i obračunati prihodi" (AOP 064; HRK 23.769 tis.) u odnosu na stavku "Kratkotrajna imovina" Revidiranog izvješća (HRK 1.241.727 tis.).</t>
  </si>
  <si>
    <t xml:space="preserve">  I. Zalihe</t>
  </si>
  <si>
    <t>038</t>
  </si>
  <si>
    <t>22</t>
  </si>
  <si>
    <t xml:space="preserve">  II. Potraživanja</t>
  </si>
  <si>
    <t>046</t>
  </si>
  <si>
    <r>
      <t>GFI-POD stavka "Potraživanja" (AOP 046; HRK 38.388 tis.) je u Revidiranom izvještaju iskazana unutar stavaka "Kupci i ostala potraživanja" (Bilješka 23; "Potraživanja od kupaca - neto" HRK 25.289 tis., "Potraživanja za više plaćeni PDV" HRK 8.002 tis., "Predujmovi dobavljačima" HRK 668 tis., "Potraživanja od zaposlenih" HRK 739 tis., "Potraživanja od državnih institucija" HRK 1.113 tis., dio "Ostala kratkoročna potraživanja" HRK</t>
    </r>
    <r>
      <rPr>
        <b/>
        <sz val="9"/>
        <color theme="1"/>
        <rFont val="Arial"/>
        <family val="2"/>
        <charset val="238"/>
      </rPr>
      <t xml:space="preserve"> </t>
    </r>
    <r>
      <rPr>
        <sz val="9"/>
        <color theme="1"/>
        <rFont val="Arial"/>
        <family val="2"/>
        <charset val="238"/>
      </rPr>
      <t>2.575 tis.) te "Potraživanja za preplaćeni porez na dobit" (u usporedivom iznosu HRK 2 tis. - prikazan u Revidiranom izvještaju kao zasebna stavka).
Napomena: Ukupna stavka "Kupci i ostala potraživanja" Revidiranog izvješća (Bilješka 23) u iznosu HRK 62.155 tis. je iskazana u stavkama "Potraživanja" (AOP 046: HRK 38.386 tis.) te "Plaćeni troškovi budućeg razdoblja i obračunati prihodi" (AOP 064; HRK 23.769 tis.).</t>
    </r>
  </si>
  <si>
    <t xml:space="preserve">  III. Financijska imovina</t>
  </si>
  <si>
    <t>053</t>
  </si>
  <si>
    <t>Dio 21</t>
  </si>
  <si>
    <t>GFI-POD stavka "Financijska imovina" (AOP 053; HRK 38.002 tis.) je u Revidiranom izvještaju iskazana u stavci "Krediti i depoziti" - kratkoročni dio (Bilješka 21 u usporedivom iznosu HRK 38.002 tis.).</t>
  </si>
  <si>
    <t xml:space="preserve">  IV. Novac u banci i blagajni</t>
  </si>
  <si>
    <t>063</t>
  </si>
  <si>
    <t>26</t>
  </si>
  <si>
    <t>GFI-POD stavka "Novac u banci i blagajni" (AOP 063; HRK 1.115.258 tis.) je u Revidiranom izvještaju iskazana u stavci "Novac i novčani ekvivalenti" (Bilješka 26 u usporedivom iznosu HRK 1.115.258 tis.).</t>
  </si>
  <si>
    <t>PLAĆENI TROŠKOVI BUDUĆEG RAZDOBLJA I OBRAČUNATI PRIHODI</t>
  </si>
  <si>
    <t>064</t>
  </si>
  <si>
    <t xml:space="preserve">Dio 23 </t>
  </si>
  <si>
    <t>GFI-POD stavka "Plaćeni troškovi budućeg razdoblja i obračunati prihodi" (AOP 064; HRK 23.769 tis.) je u Revidiranom izvještaju iskazana unutar stavke "Kupci i ostala potraživanja" (Bilješka 23; "Obračunati nefakturirani prihodi" HRK 3.889 tis., "Potraživanja za kamatu" HRK 27 tis., "Unaprijed plaćeni troškovi" HRK 19.837 tis. te dio "Ostala kratkoročna potraživanja" HRK 16 tis.).
Napomena: Ukupna stavka "Kupci i ostala potraživanja" Revidiranog izvješća (Bilješka 23) u iznosu HRK 62.155 tis. je iskazana u stavkama "Potraživanja" (AOP 046: HRK 38.386 tis.) te "Plaćeni troškovi budućeg razdoblja i obračunati prihodi" (AOP 064; HRK 23.769 tis.).</t>
  </si>
  <si>
    <t>UKUPNO AKTIVA</t>
  </si>
  <si>
    <t>065</t>
  </si>
  <si>
    <t>KAPITAL I REZERVE</t>
  </si>
  <si>
    <t>067</t>
  </si>
  <si>
    <t>27+28</t>
  </si>
  <si>
    <t>GFI-POD stavka "Kapital i rezerve" (AOP 067; HRK 3.311.059 tis.) je u Revidiranom izvještaju iskazana u stavci "Dionička glavnica" (Bilješke 27 i 28 u usporedivom iznosu HRK 3.311.059 tis.).</t>
  </si>
  <si>
    <t>REZERVIRANJA</t>
  </si>
  <si>
    <t>090</t>
  </si>
  <si>
    <t>Dio 32+ dio 31</t>
  </si>
  <si>
    <t>GFI-POD stavka "Rezerviranja" (AOP 090; HRK 166.156 tis.) je u Revidiranom izvještaju iskazana u dugoročnim obvezama u stavci "Rezerviranja" (Bilješka 32; dio stavke "Otpremnine i jubilarne nagrade" u iznosu HRK 29.829 tis. te stavka "Pravni sporovi" u usporedivom iznosu HRK 50.117 tis. te "Ostalo" u iznosu HRK 28.164 tis.) te u dugoročnim obvezama stavke "Naknade za koncesije" (Bilješka 31 u usporedivom iznosu HRK 58.046 tis).</t>
  </si>
  <si>
    <t>DUGOROČNE OBVEZE (AOP 103+107+108)</t>
  </si>
  <si>
    <t>097</t>
  </si>
  <si>
    <t>dio 24+ 25+
dio 29+ dio 30+ dio 31+ dio 32</t>
  </si>
  <si>
    <t>Obzirom na drukčiji prikaz, a radi usporedivosti GFI-POD i Revidiranog izvještaja nužno je zbirno promatrati GFI-POD stavke "Dugoročne obveze" (AOP 097; HRK 2.614.508 tis.) i "Rezerviranja" (AOP 090; HRK 166.156 tis.) u odnosu na stavku "Dugoročne obveze" Revidiranog izvješća (HRK 2.780.664 tis.).</t>
  </si>
  <si>
    <t xml:space="preserve">  I. Obveze prema bankama i drugim financijskim institucijama</t>
  </si>
  <si>
    <t>103</t>
  </si>
  <si>
    <t>Dio 29</t>
  </si>
  <si>
    <t>GFI-POD stavke "Obveze prema bankama i drugim financijskim institucijama" (AOP 103; HRK 2.547.107 tis.) je u Revidiranom izvještaju iskazane u dugoročnom dijelu stavke "Posudbe" (Bilješka 29 u usporedivom iznosu HRK 2.547.107 tis.).</t>
  </si>
  <si>
    <t xml:space="preserve">  II. Ostale dugoročne obveze</t>
  </si>
  <si>
    <t>107</t>
  </si>
  <si>
    <t>Dio 24+
     dio 30 + dio 32</t>
  </si>
  <si>
    <r>
      <t>GFI-POD stavka "Ostale dugoročne obveze" (AOP 107; HRK 15.636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4.362 tis.), "Obveze za imovinu s pravom korištenja" (Bilješka 30 u usporedivom iznosu HRK 11.273 tis.) dio dugoročnih obveza u stavci "Rezerviranja" (Bilješka 32; "Otpremnine i jubilarne nagrade" HRK 1 tis.).
Napomena: Ukupni iznos stavke "Derivativni financijski instrumenti" Revidiranog izvješća (Bilješka 24) u iznosu 7.749 tis. je iskazan u stavkama "Ostale dugoročne obveze" (AOP 107; HRK 4.362 tis.) i dio "Ostale kratkoročne obveze" (AOP 123; HRK 3.387 tis.).</t>
    </r>
  </si>
  <si>
    <t xml:space="preserve">  III. Odgođena porezna obveza</t>
  </si>
  <si>
    <t>108</t>
  </si>
  <si>
    <t>KRATKOROČNE OBVEZE (AOP 110+112+115+116+117+118+119+120+123)</t>
  </si>
  <si>
    <t>109</t>
  </si>
  <si>
    <t>dio 24+dio 29+dio 30 + dio 31</t>
  </si>
  <si>
    <t>Obzirom na drukčiji prikaz, a radi usporedivosti GFI-POD i Revidiranog izvještaja nužno je zbirno promatrati GFI-POD stavke "Kratkoročne obveze" (AOP 109; HRK 733.966 tis.) i "Odgođeno plaćanje troškova i prihod budućeg razdoblja" (AOP 124; HRK 87.858 tis.) u odnosu na stavke "Kratkoročne obveze" Revidiranog izvješća (HRK 821.824 tis.).</t>
  </si>
  <si>
    <t>115</t>
  </si>
  <si>
    <r>
      <t>G</t>
    </r>
    <r>
      <rPr>
        <sz val="9"/>
        <rFont val="Arial"/>
        <family val="2"/>
        <charset val="238"/>
      </rPr>
      <t>FI-POD stavke "Obveze prema bankama i drugim financijskim institucijama" (AOP 115; HRK 565.524 tis.)</t>
    </r>
    <r>
      <rPr>
        <sz val="9"/>
        <color rgb="FFFF0000"/>
        <rFont val="Arial"/>
        <family val="2"/>
        <charset val="238"/>
      </rPr>
      <t xml:space="preserve"> </t>
    </r>
    <r>
      <rPr>
        <sz val="9"/>
        <rFont val="Arial"/>
        <family val="2"/>
        <charset val="238"/>
      </rPr>
      <t>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565.524 tis.).</t>
    </r>
  </si>
  <si>
    <t xml:space="preserve">  II. Obveze za predujmove</t>
  </si>
  <si>
    <t>116</t>
  </si>
  <si>
    <t>Dio 31</t>
  </si>
  <si>
    <t>GFI-POD stavka "Obveze za predujmove" (AOP 116; HRK 40.344 tis.) je u Revidiranom izvještaju iskazana unutar kratkoročnog dijela stavke "Dobavljači i ostale obveze" (Bilješka 31; "Obveze za predujmove" u usporedivom iznosu HRK 40.344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</si>
  <si>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III. Obveze prema  poduzetnicima unutar grupe, obveze prema društvima povezanim sudjelujućim interesom i obveze prema dobavljačima</t>
  </si>
  <si>
    <t xml:space="preserve">110,112 i  117 </t>
  </si>
  <si>
    <t>GFI-POD stavke "Obveze prema društvima povezanim sudjelujućim interesom" (AOP 112; HRK 39 tis.) i  "Obveze prema dobavljačima" (AOP 117; HRK 67.471 tis.) je u Revidiranom izvještaju iskazana unutar kratkoročnog dijela stavke "Dobavljači i ostale obveze" (Bilješka 31; "Obveze prema dobavljačima" HRK 67.447 tis., "Obveze prema dobavljačima - povezana društva" HRK 63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</si>
  <si>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IV. Obveze prema zaposlenicima</t>
  </si>
  <si>
    <t>119</t>
  </si>
  <si>
    <t>GFI-POD stavka "Obveze prema zaposlenicima" (AOP 119; HRK 28.794 tis.) je u Revidiranom izvještaju iskazana unutar kratkoročnog dijela stavke "Dobavljači i ostale obveze" (Bilješka 31; "Obveze prema zaposlenima" u usporedivom iznosu HRK 28.794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</si>
  <si>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V. Obveze za poreze, doprinose i slična davanja</t>
  </si>
  <si>
    <t>120</t>
  </si>
  <si>
    <t>GFI-POD stavka "Obveze za poreze, doprinose i slična davanja" (AOP 120; HRK 16.509 tis.) je u Revidiranom izvještaju iskazana unutar kratkoročnog dijela stavke "Dobavljači i ostale obveze" (Bilješka 31; "Obveze za poreze i doprinose i druge obveze" u usporedivom iznosu HRK 16.509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</si>
  <si>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VI. Obveze s osnove udjela u rezultatu i ostale kratkoročne obveze</t>
  </si>
  <si>
    <t>121+ 123</t>
  </si>
  <si>
    <t>Dio 24+ dio 30+
dio 31 + dio 39</t>
  </si>
  <si>
    <t>GFI-POD stavka "Obveze s osnove udjela u rezultatu" (AOP 121; HRK 380 tis.) i "Ostale kratkoročne obveze" (AOP 123; HRK 14.906 tis.) je u Revidiranom izvještaju iskazana unutar kratkoročnih dijelova stavki "Dobavljači i ostale obveze" (Bilješka 31; "Obveza za dividendu" HRK 380 tis., dio "Ostale obveze" HRK 8.839 tis.), kratkoročni dio "Obveze za imovinu s pravom korištenja" (Bilješka 30 u usporedivom iznosu HRK 2.680 tis), "Derivativni financijski instrumenti" (Bilješka 24 u usporedivom iznosu HRK 3.387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"Derivativni financijski instrumenti" Revidiranog izvješća (Bilješka 24) u iznosu HRK 3.387 tis. je iskazan u stavci "Ostale kratkoročne obveze" (AOP 123; HRK 3.387 tis.).</t>
  </si>
  <si>
    <t>ODGOĐENO PLAĆANJE TROŠKOVA I PRIHOD BUDUĆEGA RAZDOBLJA</t>
  </si>
  <si>
    <t>124</t>
  </si>
  <si>
    <t>Dio 31+
dio 32</t>
  </si>
  <si>
    <r>
      <t>GFI-POD stavka "Odgođeno plaćanje troškova i prihod budućeg razdoblja" (AOP 124; HRK 87.858 tis.) je u Revidiranom izvještaju iskazana unutar stavaka  "Dobavljači i ostale obveze" (Bilješka 31; "Obveze po kamatama" HRK 29.168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10.908 tis., "Obračunate obveze za porez na dodanu vrijednost u nerealiziranim prihodima" HRK 483 tis., "Obveze za ukalkulirane troškove" HRK 22.605 tis. i dio "Ostale obveze" HRK 1.859 tis.) te kratkoročnog dijela stavki "Rezerviranja" (Bilješka 32; kratkoročni dio stavke "Otpremnine i jubilarne nagrade" HRK 1.164 tis. i "Bonusi" HRK 19.751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"Rezerviranja" Revidiranog izvješća (Bilješka 32) u iznosu 20.914 tis. je iskazan u stavci "Odgođeno plaćanje troškova i prihod budućeg razdoblja" (AOP 124; HRK 20.914 tis.).</t>
    </r>
  </si>
  <si>
    <t>UKUPNO PASIVA</t>
  </si>
  <si>
    <t>125</t>
  </si>
  <si>
    <t>Rekapitulacija usporedbe GFI-POD računa dobiti i gubitka te konsolidiranog izvještaja o sveobuhvatnoj dobiti iz Revidiranog izvještaja za 2021. godinu</t>
  </si>
  <si>
    <t>GFI-POD RAČUN DOBITI I GUBITKA
u razdoblju od 1.1.2021. do 31.12.2021.
(u tisućama kuna)</t>
  </si>
  <si>
    <t>GFI-POD
AOP oznaka</t>
  </si>
  <si>
    <t>Revidirani izvještaj
Bilješka</t>
  </si>
  <si>
    <t>POSLOVNI PRIHODI (AOP 002+003+004+005+006)</t>
  </si>
  <si>
    <t>001</t>
  </si>
  <si>
    <t xml:space="preserve">  I. Prihodi od prodaje s poduzetnicima unutar grupe i prihodi od prodaje (izvan grupe)</t>
  </si>
  <si>
    <t>002+003</t>
  </si>
  <si>
    <t xml:space="preserve">  II. Prihodi na temelju upotrebe vlastitih proizvoda, roba i usluga, ostali poslovni prihodi s poduzetnicima unutar grupe te ostali poslovni prihodi (izvan grupe)</t>
  </si>
  <si>
    <t>004+005+006</t>
  </si>
  <si>
    <t>Dio 6+
dio 10</t>
  </si>
  <si>
    <r>
      <t>GFI-POD stavke "Prihodi na temelju upotrebe vlastitih proizvoda, roba i usluga" (AOP 004; HRK 326 tis.), "Ostali poslovni prihodi (izvan grupe)" (AOP 006; HRK 38.554 tis.) su u Revidiranom izvještaju iskazane unutar stavki "Ostali prihodi" (Bilješka 6; "Prihod od donacija i ostalo" HRK 7.713 tis., "Prihod od ukidanja rezervacija</t>
    </r>
    <r>
      <rPr>
        <sz val="9"/>
        <rFont val="Arial"/>
        <family val="2"/>
        <charset val="238"/>
      </rPr>
      <t>" HRK 14.027</t>
    </r>
    <r>
      <rPr>
        <sz val="9"/>
        <color theme="1"/>
        <rFont val="Arial"/>
        <family val="2"/>
        <charset val="238"/>
      </rPr>
      <t xml:space="preserve"> tis., "Prihod od prefakturiranja" HRK 1.492 tis., "Prihod od osiguranja i po sudskim žalbama" HRK 8.118 tis., "Prihod od upotrebe vlastitih proizvoda i usluga" HRK 326 tis., "Naplata otpisanih potraživanja" HRK 53 tis., "Ostali prihodi" HRK 5.330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1.820 tis.).
Napomena: Ukupan iznos stavke "Ostali prihodi" Revidiranog izvješća (Bilješka 6) u iznosu HRK 37,060 tis. je iskazan u stavci "Prihodi na temelju upotrebe vlastitih proizvoda, roba i usluga te ostali poslovni prihodi (izvan grupe)" (AOP 004 i 006; HRK 37.060 tis.). 
Ukupan iznos stavke "Ostali dobici/(gubici) - neto" Revidiranog izvješća (Bilješka 10) u iznosu HRK 1.820 tis. je iskazan u stavci "Prihodi na temelju upotrebe vlastitih proizvoda, roba i usluga te ostali poslovni prihodi (izvan grupe)" (AOP 004 i 006; HRK 1.820 tis.).</t>
    </r>
  </si>
  <si>
    <t>POSLOVNI RASHODI (AOP 009+013+017+018+019+022+029 )</t>
  </si>
  <si>
    <t>007</t>
  </si>
  <si>
    <t>Obzirom na drukčiji prikaz, a radi usporedivosti GFI-POD i Revidiranog izvještaja nužno je zbirno promatrati GFI-POD stavke "Troškovi osoblja" (AOP 013; HRK 353.176 tis.), "Ostali troškovi" (AOP 018; HRK 134.451 tis.), "Vrijednosna usklađenja" (AOP 019; HRK 1.670  tis.), "Rezerviranja" (AOP 022; 40.313 tis.) i "Ostali poslovni rashodi" (AOP 029; HRK 11.826 tis.) u odnosu na stavke  "Troškovi zaposlenih" (Bilješka 8; HRK 439.531 tis.) te "Ostali poslovni rashodi (Bilješka 9; HRK 101.905 tis.)  Revidiranog izvješća.</t>
  </si>
  <si>
    <t xml:space="preserve">  I. Materijalni troškovi</t>
  </si>
  <si>
    <t>009</t>
  </si>
  <si>
    <t>GFI-POD stavka "Materijalni troškovi" (AOP 009; HRK 458.262 tis.) je u Revidiranom izvještaju iskazana u stavci "Nabavna vrijednost materijala i usluga" (Bilješka 7 u usporedivom iznosu HRK 458.262 tis.).</t>
  </si>
  <si>
    <t xml:space="preserve">  II. Troškovi osoblja</t>
  </si>
  <si>
    <t>013</t>
  </si>
  <si>
    <t>Dio 8</t>
  </si>
  <si>
    <t>GFI-POD stavka "Troškovi osoblja" (AOP 013; HRK 353.176 tis.) je u Revidiranom izvještaju iskazana unutar stavke "Troškovi zaposlenih" (Bilješka 8; "Plaće - neto" HRK 218.087 tis., "Troškovi mirovinskog osiguranja" HRK 66.349 tis., "Troškovi zdravstvenog osiguranja" HRK 46.430 tis., "Ostalo (doprinosi i porezi)" HRK 22.310 tis.
Napomena: Ukupan iznos stavke "Troškovi zaposlenih" Revidiranog izvješća (Bilješka 8) u iznosu HRK 439.531 tis. je iskazan u stavkama "Troškovi osoblja" (AOP 013; HRK 353.176 tis.), "Ostali troškovi" (AOP 018; HRK 76.950 tis.) i "Rezerviranja" (AOP 022; HRK 9.405 tis.).</t>
  </si>
  <si>
    <t xml:space="preserve">  III. Amortizacija</t>
  </si>
  <si>
    <t>017</t>
  </si>
  <si>
    <t>14+15+16+30</t>
  </si>
  <si>
    <t xml:space="preserve">  IV. Ostali troškovi</t>
  </si>
  <si>
    <t>018</t>
  </si>
  <si>
    <t>Dio 8+
dio 9</t>
  </si>
  <si>
    <t>GFI-POD stavka "Ostali troškovi" (AOP 018; HRK 134.451 tis.) je u Revidiranom izvještaju iskazana unutar stavki "Troškovi zaposlenih" (Bilješka 8; "Trošak otpremnina" HRK 471 tis., "Ostali troškovi zaposlenih" HRK 76.479 tis.) te "Ostali poslovni rashodi" (Bilješka 9; "Komunalne naknade, koncesije i dr." HRK 25.624 tis., dio "Profesionalne usluge i dr. naknade" HRK 19.260 tis., "Troškovi reprezentacije" HRK 3.706 tis. HRK, "Premije osiguranja" HRK 6.805 tis., "Bankarske usluge" HRK 1.093 tis., "Stručni časopisi i dr. administrativni troškovi" HRK 1.012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</si>
  <si>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 Vrijednosna usklađenja</t>
  </si>
  <si>
    <t>019</t>
  </si>
  <si>
    <t>Dio 9</t>
  </si>
  <si>
    <t>GFI-POD stavka "Vrijednosna usklađenja" (AOP 019; HRK 1.670 tis.) je u Revidiranom izvještaju iskazana unutar stavke "Ostali poslovni rashodi" (Bilješka 9; "Vrijednosno usklađenje imovine" u usporedivom iznosu HRK 1.670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</si>
  <si>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VI. Rezerviranja</t>
  </si>
  <si>
    <t>022</t>
  </si>
  <si>
    <t>GFI-POD stavka "Rezerviranja" (AOP 022; HRK 40.313 tis.) je u Revidiranom izvještaju iskazana unutar stavki "Troškovi zaposlenih" (Bilješka 8; "Rezerviranja za otpremnine i jubilarne nagrade" HRK 9.405 tis.) te "Ostali poslovni rashodi" (Bilješka 9; "Rezerviranja" HRK 2.744 tis. i "Rezerviranja ostalo" HRK 28.164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</si>
  <si>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VII. Ostali poslovni rashodi</t>
  </si>
  <si>
    <t>029</t>
  </si>
  <si>
    <t>GFI-POD stavka "Ostali poslovni rashodi" (AOP 029; HRK 11.826 tis.) je u Revidiranom izvještaju iskazana unutar stavki "Ostali poslovni rashodi" (Bilješka 9; "Otpisi nekretnina, postrojenja i oprema" HRK 3.892 tis., "Ostali poslovni rashodi" HRK 7.934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</si>
  <si>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FINANCIJSKI PRIHODI</t>
  </si>
  <si>
    <t>030</t>
  </si>
  <si>
    <t>GFI-POD stavka "Financijski prihodi" (AOP 030; HRK 35.354 tis.) je u Revidiranom izvještaju iskazana unutar stavki "Neto financijski prihodi/(rashodi)" u dijelu financijskih prihoda (Bilješka 11; "Prihodi od kamata" HRK 83 tis., "Neto pozitivne tečajne razlike – ostale" HRK 11.676 tis., "Realizirani neto dobici od promjene vrijednosti i promjena vrijednosti valutnih terminskih ugovora i kamatnog swap-a" HRK 9.233 tis., "Prestanak kontrole nad ovisnim društvom" HRK 13.316 tis., "Prihodi od cassa sconto" HRK 817 tis., "Prihod od dividendi i ostali novčani prinosi" HRK 229 tis.).
Napomena: Ukupan iznos stavke "Neto financijski rashodi" Revidiranog izvješća (Bilješka 11) u iznosu HRK 35.903 tis. je iskazan u stavkama "Financijski prihodi" (AOP 030; HRK 35.354 tis.) i "Financijski rashodi" (AOP 041; HRK 71.257 tis.).</t>
  </si>
  <si>
    <t>FINANCIJSKI RASHODI</t>
  </si>
  <si>
    <t>041</t>
  </si>
  <si>
    <t>GFI-POD stavka "Financijski rashodi" (AOP 041; HRK 71.257 tis.) je u Revidiranom izvještaju iskazana unutar stavki "Neto financijski prihodi/(rashodi)" u dijelu financijskih rashoda (Bilješka 11; "Rashod od kamata" HRK 71.257 tis.).
Napomena: Ukupan iznos stavke "Neto financijski rashodi" Revidiranog izvješća (Bilješka 11) u iznosu HRK 35.903 tis. je iskazan u stavkama "Financijski prihodi" (AOP 030; HRK 35.354 tis.) i "Financijski rashodi" (AOP 041; HRK 71.257 tis.).</t>
  </si>
  <si>
    <t xml:space="preserve">UDIO U DOBITI OD DRUŠTVA POVEZANIH SUDJELUJUĆIM INTERESOM </t>
  </si>
  <si>
    <t>049</t>
  </si>
  <si>
    <t>18</t>
  </si>
  <si>
    <t>GFI-POD stavka "Udio u dobiti od društava poveznih sudjelujućim interesom" (AOP 049; HRK 548 tis.) je u Revidiranom izvještaju iskazana u usporedivom iznosu HRK 548 tis.</t>
  </si>
  <si>
    <t xml:space="preserve">UDIO U GUBITKU OD DRUŠTAVA POVEZANIH SUDJELUJUĆIM INTERESOM </t>
  </si>
  <si>
    <t>051</t>
  </si>
  <si>
    <t>GFI-POD stavka "Udio u gubitku od društava poveznih sudjelujućim interesom" (AOP 051; HRK 144 tis.) je u Revidiranom izvještaju iskazana u usporedivom iznosu HRK 144 tis.</t>
  </si>
  <si>
    <t>UKUPNI PRIHODI (AOP 001+030)</t>
  </si>
  <si>
    <t>UKUPNI RASHODI (AOP 007+041)</t>
  </si>
  <si>
    <t>054</t>
  </si>
  <si>
    <t>DOBIT ILI GUBITAK PRIJE OPOREZIVANJA (AOP 053-054)</t>
  </si>
  <si>
    <t>055</t>
  </si>
  <si>
    <t>POREZ NA DOBIT</t>
  </si>
  <si>
    <t>058</t>
  </si>
  <si>
    <t>DOBIT RAZDOBLJA (AOP 055-058)</t>
  </si>
  <si>
    <t>059</t>
  </si>
  <si>
    <t>Rekapitulacija usporedbe GFI-POD reklasificirane bilance i bilance iz Revidiranih izvještaja za 2020. godinu</t>
  </si>
  <si>
    <t>GFI-POD BILANCA
stanje na dan 31.12.2020.
(u tisućama kuna)</t>
  </si>
  <si>
    <t>DUGOTRAJNA IMOVINA (AOP 003+010+020+036)</t>
  </si>
  <si>
    <t>14+15+16+
dio 18+20+dio 21+dio 23+25+dio 30</t>
  </si>
  <si>
    <t>14+15+30</t>
  </si>
  <si>
    <t>GFI-POD stavka "Materijalna imovina" (AOP 010; HRK 5.662.917 tis.) je u Revidiranom izvještaju iskazana u stavkama "Nekretnine, postrojenja i oprema" (Bilješka 14 u usporedivom iznosu HRK 5.647.311 tis.), "Ulaganja u nekretnine" (Bilješka 15 u usporedivom iznosu HRK 3.942 tis.) te "Imovina s pravom korištenja" (Bilješka 30 u usporedivom iznosu HRK 11.664 tis.).</t>
  </si>
  <si>
    <t>Dio18+20+dio 21</t>
  </si>
  <si>
    <t>GFI-POD stavka "Financijska imovina" (AOP 020; HRK 46.430 tis.) je u Revidiranom izvještaju iskazana u stavkama "Udjel u pridruženom subjektu" (Bilješka 18 u usporedivom iznosu HRK 46.024 tis.),  "Financijska imovina" (Bilješka 20 u usporedivom iznosu HRK 317 tis.) te u dugoročnom dijelu stavke "Krediti i depoziti" (Bilješka 21 u usporedivom iznosu HRK 89 tis.).</t>
  </si>
  <si>
    <t>Dio 21+22+
dio 23+ dio 24+26</t>
  </si>
  <si>
    <t>Obzirom na drukčiji prikaz, a radi usporedivosti GFI-POD i Revidiranog izvještaja nužno je zbirno promatrati GFI-POD stavke "Kratkotrajna imovina" (AOP 037; HRK 737.067 tis.) i "Plaćeni troškovi budućeg razdoblja i obračunati prihodi" (AOP 064; HRK 55.359 tis.) u odnosu na stavku "Kratkotrajna imovina" Revidiranog izvješća (HRK 792.425 tis.).</t>
  </si>
  <si>
    <r>
      <t>GFI-POD stavka "Potraživanja" (AOP 046; HRK 40.185 tis.) je u Revidiranom izvještaju iskazana unutar stavaka "Kupci i ostala potraživanja" (Bilješka 23; "Potraživanja od kupaca - neto" HRK 25.375 tis., "Potraživanja za više plaćeni PDV" HRK 4.900 tis., "Predujmovi dobavljačima" HRK 2.304 tis., "Potraživanja od zaposlenih" HRK 298 tis., "Potraživanja od državnih institucija" HRK 4.529 tis., "Ostala kratkoročna potraživanja" HRK 2.047 tis.)</t>
    </r>
    <r>
      <rPr>
        <sz val="9"/>
        <color theme="1" tint="4.9989318521683403E-2"/>
        <rFont val="Arial"/>
        <family val="2"/>
        <charset val="238"/>
      </rPr>
      <t xml:space="preserve"> te "Potraživanja za preplaćeni porez na dobit" (u usporedivom iznosu HRK 733 tis. -</t>
    </r>
    <r>
      <rPr>
        <sz val="9"/>
        <rFont val="Arial"/>
        <family val="2"/>
        <charset val="238"/>
      </rPr>
      <t xml:space="preserve"> prikazan u bilanci kao zasebna stavka).</t>
    </r>
    <r>
      <rPr>
        <sz val="9"/>
        <color theme="1"/>
        <rFont val="Arial"/>
        <family val="2"/>
        <charset val="238"/>
      </rPr>
      <t xml:space="preserve">
</t>
    </r>
    <r>
      <rPr>
        <sz val="9"/>
        <color theme="1" tint="4.9989318521683403E-2"/>
        <rFont val="Arial"/>
        <family val="2"/>
        <charset val="238"/>
      </rPr>
      <t>Napomena: Ukupna stavka "Kupci i ostala potraživanja" Revidiranog izvješća (Bilješka 23) u iznosu HRK 94.811 tis. je iskazana u stavkama "Potraživanja" (AOP 046: HRK 39.452 tis.) te "Plaćeni troškovi budućeg razdoblja i obračunati prihodi" (AOP 064; HRK 55.359 tis.).</t>
    </r>
  </si>
  <si>
    <t>GFI-POD stavka "Financijska imovina" (AOP 053; HRK 613 tis.) je u Revidiranom izvještaju iskazana u stavci "Krediti i depoziti" - kratkoročni dio (Bilješka 21 u usporedivom iznosu HRK 613 tis.).</t>
  </si>
  <si>
    <t xml:space="preserve">26 </t>
  </si>
  <si>
    <t>GFI-POD stavka "Novac u banci i blagajni" (AOP 063; HRK 665.933 tis.) je u Revidiranom izvještaju iskazana u stavci "Novac i novčani ekvivalenti" (Bilješka 26 u usporedivom iznosu HRK 665.933 tis.).</t>
  </si>
  <si>
    <t>GFI-POD stavka "Plaćeni troškovi budućeg razdoblja i obračunati prihodi" (AOP 064; HRK 55.359 tis.) je u Revidiranom izvještaju iskazana unutar stavke "Kupci i ostala potraživanja" (Bilješka 23; "Obračunati nefakturirani prihodi" HRK 715 tis., "Potraživanja za kamatu" HRK 43 tis., "Unaprijed plaćeni troškovi" HRK 54.600 tis.).
Napomena: Ukupna stavka "Kupci i ostala potraživanja" Revidiranog izvješća (Bilješka 23) u iznosu HRK 94.811 tis. je iskazana u stavkama "Potraživanja" (AOP 046: HRK 39.452 tis.) te "Plaćeni troškovi budućeg razdoblja i obračunati prihodi" (AOP 064; HRK 55.359 tis.).</t>
  </si>
  <si>
    <t>GFI-POD stavka "Kapital i rezerve" (AOP 067; HRK 2.863.857 tis.) je u Revidiranom izvještaju iskazana u stavci "Dionička glavnica" (Bilješke 27 i 28 u usporedivom iznosu HRK 2.863.857 tis.).</t>
  </si>
  <si>
    <t>Dio 31+ dio 32</t>
  </si>
  <si>
    <r>
      <t>GFI-POD stavka "Rezerviranja" (AOP 090; HRK 141.118 tis.) je u Revidiranom izvještaju iskazana u dugoročnim obvezama u stavci "Rezerviranja" (Bilješka 32; dio stavke "Otpremnine i jubilarne nagrade" u iznosu HRK 26.090</t>
    </r>
    <r>
      <rPr>
        <b/>
        <sz val="9"/>
        <color rgb="FFFF0000"/>
        <rFont val="Arial"/>
        <family val="2"/>
        <charset val="238"/>
      </rPr>
      <t xml:space="preserve"> </t>
    </r>
    <r>
      <rPr>
        <b/>
        <sz val="9"/>
        <color rgb="FF333399"/>
        <rFont val="Arial"/>
        <family val="2"/>
        <charset val="238"/>
      </rPr>
      <t>tis. te stavka "Pravni sporovi" u usporedivom iznosu HRK 57.420 tis.) te u dugoročnim obvezama stavke "Naknade za koncesije" (Bilješka 31 u usporedivom iznosu HRK 57.608 tis).</t>
    </r>
  </si>
  <si>
    <t>DUGOROČNE OBVEZE  (AOP 103+107+108)</t>
  </si>
  <si>
    <t>dio 24+25+
dio 29+dio 30+ dio 31</t>
  </si>
  <si>
    <t>Obzirom na drukčiji prikaz, a radi usporedivosti GFI-POD i Revidiranog izvještaja nužno je zbirno promatrati GFI-POD stavke "Dugoročne obveze" (AOP 097; HRK 2.867.349 tis.) i "Rezerviranja" (AOP 090; HRK 141.118 tis.) u odnosu na stavku "Dugoročne obveze" Revidiranog izvješća (HRK 3.008.468 tis.).</t>
  </si>
  <si>
    <t xml:space="preserve">103 </t>
  </si>
  <si>
    <t>GFI-POD stavke "Obveze prema bankama i drugim financijskim institucijama" (AOP 103; HRK 2.770.276 tis.) je u Revidiranom izvještaju iskazane u dugoročnom dijelu stavke "Posudbe" (Bilješka 29 u usporedivom iznosu HRK 2.770.276 tis.).</t>
  </si>
  <si>
    <t xml:space="preserve">  II. Obveze prema dobavljačima</t>
  </si>
  <si>
    <t>105</t>
  </si>
  <si>
    <t xml:space="preserve">  IiI. Ostale dugoročne obveze</t>
  </si>
  <si>
    <r>
      <t>GFI-POD stavka "Ostale dugoročne obveze" (AOP 107; HRK 38.781</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11.602 tis.), "Obveze za imovinu s pravom korištenja" (Bilješka 30 u usporedivom iznosu HRK 6.926 tis.) te dio dugoročnih obveza u stavci "Rezerviranja" (Bilješka 32 "Otpremnine i jubilarne nagrade" HRK</t>
    </r>
    <r>
      <rPr>
        <sz val="9"/>
        <rFont val="Arial"/>
        <family val="2"/>
        <charset val="238"/>
      </rPr>
      <t xml:space="preserve"> 502</t>
    </r>
    <r>
      <rPr>
        <sz val="9"/>
        <color theme="1"/>
        <rFont val="Arial"/>
        <family val="2"/>
        <charset val="238"/>
      </rPr>
      <t xml:space="preserve"> tis. te "Bonusi" HRK 19.751 tis.).
Napomena: Ukupni iznos stavke "Derivativni financijski instrumenti" Revidiranog izvješća (Bilješka 24) u iznosu 16.982 tis. je iskazan u stavkama "Ostale dugoročne obveze" (AOP 107; </t>
    </r>
    <r>
      <rPr>
        <sz val="9"/>
        <rFont val="Arial"/>
        <family val="2"/>
        <charset val="238"/>
      </rPr>
      <t>HRK 11.602 tis.</t>
    </r>
    <r>
      <rPr>
        <sz val="9"/>
        <color theme="1"/>
        <rFont val="Arial"/>
        <family val="2"/>
        <charset val="238"/>
      </rPr>
      <t>) i "Ostale kratkoročne obveze" (AOP 123; HRK 5.380 tis.).</t>
    </r>
  </si>
  <si>
    <t xml:space="preserve">  IV. Odgođena porezna obveza</t>
  </si>
  <si>
    <t xml:space="preserve">KRATKOROČNE OBVEZE (AOP 110+112+114+115+116+117+118+119+120+121+123) </t>
  </si>
  <si>
    <t xml:space="preserve">dio 24+29 + 
dio 30 + dio 31
</t>
  </si>
  <si>
    <t>Obzirom na drukčiji prikaz, a radi usporedivosti GFI-POD i Revidiranog izvještaja nužno je zbirno promatrati GFI-POD stavke "Kratkoročne obveze" (AOP 109; HRK 934.438 tis.) i "Odgođeno plaćanje troškova i prihod budućeg razdoblja" (AOP 124; HRK 72.821 tis.) u odnosu na stavke "Kratkoročne obveze" Revidiranog izvješća (HRK 1.007.258 tis.).</t>
  </si>
  <si>
    <t>114 i 115</t>
  </si>
  <si>
    <r>
      <t>G</t>
    </r>
    <r>
      <rPr>
        <sz val="9"/>
        <rFont val="Arial"/>
        <family val="2"/>
        <charset val="238"/>
      </rPr>
      <t>FI-POD stavke "Obveze prema bankama i drugim financijskim institucijama" (AOP 115; HRK 733.062 tis.) i "Obveze za zajmove, depozite i slično" (AOP 114; HRK 5.304 tis.) su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738.366 tis.).</t>
    </r>
  </si>
  <si>
    <r>
      <t>GFI-POD stavka "Obveze za predujmove" (AOP 116; HRK 69.609 tis.) je u Revidiranom izvještaju iskazana unutar kratkoročnog dijela stavke "Dobavljači i ostale obveze" (Bilješka</t>
    </r>
    <r>
      <rPr>
        <sz val="9"/>
        <rFont val="Arial"/>
        <family val="2"/>
        <charset val="238"/>
      </rPr>
      <t xml:space="preserve"> 31</t>
    </r>
    <r>
      <rPr>
        <sz val="9"/>
        <color theme="1"/>
        <rFont val="Arial"/>
        <family val="2"/>
        <charset val="238"/>
      </rPr>
      <t xml:space="preserve">; "Obveze za predujmove" u usporedivom iznosu HRK 69.609 tis.). 
</t>
    </r>
    <r>
      <rPr>
        <sz val="9"/>
        <color theme="1" tint="4.9989318521683403E-2"/>
        <rFont val="Arial"/>
        <family val="2"/>
        <charset val="238"/>
      </rPr>
      <t>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r>
  </si>
  <si>
    <t xml:space="preserve">  III. Obveze prema  poduzetnicima unutar grupe i obveze prema dobavljačima</t>
  </si>
  <si>
    <t>117</t>
  </si>
  <si>
    <t>GFI-POD stavke "Obveze prema dobavljačima" (AOP 117; HRK 61.809 tis.) je u Revidiranom izvještaju iskazana unutar kratkoročnog dijela stavke "Dobavljači i ostale obveze" (Bilješka 31; "Obveze prema dobavljačima" HRK 61.725 tis., "Obveze prema dobavljačima - povezana društva" HRK 84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</si>
  <si>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t xml:space="preserve">  IV. Obveze po vrijednosnim papirima</t>
  </si>
  <si>
    <t>118</t>
  </si>
  <si>
    <r>
      <t xml:space="preserve">GFI-POD stavka "Obveze po vrijednosnim papirima" (AOP 118; HRK 6.625 tis.) je u Revidiranom izvještaju iskazana unutar kratkoročnog dijela stavke "Dobavljači i ostale obveze" (Bilješka 31; </t>
    </r>
    <r>
      <rPr>
        <sz val="9"/>
        <color theme="1" tint="4.9989318521683403E-2"/>
        <rFont val="Arial"/>
        <family val="2"/>
        <charset val="238"/>
      </rPr>
      <t>"Obveze po mjenicama</t>
    </r>
    <r>
      <rPr>
        <sz val="9"/>
        <color theme="1"/>
        <rFont val="Arial"/>
        <family val="2"/>
        <charset val="238"/>
      </rPr>
      <t xml:space="preserve">" u usporedivom iznosu HRK 6.625 tis.). </t>
    </r>
  </si>
  <si>
    <t xml:space="preserve">  V. Obveze prema zaposlenicima</t>
  </si>
  <si>
    <t>GFI-POD stavka "Obveze prema zaposlenicima" (AOP 119; HRK 19.187 tis.) je u Revidiranom izvještaju iskazana unutar kratkoročnog dijela stavke "Dobavljači i ostale obveze" (Bilješka 31; "Obveze prema zaposlenima" u usporedivom iznosu HRK 19.187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</si>
  <si>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t xml:space="preserve">  VI. Obveze za poreze, doprinose i slična davanja</t>
  </si>
  <si>
    <t>GFI-POD stavka "Obveze za poreze, doprinose i slična davanja" (AOP 120; HRK 6.130 tis.) je u Revidiranom izvještaju iskazana unutar kratkoročnog dijela stavke "Dobavljači i ostale obveze" (Bilješka 31; "Obveze za poreze i doprinose i druge obveze" u usporedivom iznosu HRK 6.129 tis.) te "Obveze za porez iz dobit" (u usporedivom iznosu HRK 1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</si>
  <si>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t xml:space="preserve">  VII. Obveze s osnove udjela u rezultatu i ostale kratkoročne obveze</t>
  </si>
  <si>
    <t>121 i 123</t>
  </si>
  <si>
    <t>GFI-POD stavka "Obveze s osnove udjela u rezultatu" (AOP 121; HRK 389 tis.) i "Ostale kratkoročne obveze" (AOP 123; HRK 32.323 tis.) je u Revidiranom izvještaju iskazana unutar kratkoročnih dijelova stavki "Dobavljači i ostale obveze" (Bilješka 31; "Obveza za dividendu" HRK 389 tis., "Ostale obveze" HRK 10.706 tis.), kratkoročni dio "Obveze za imovinu s pravom korištenja" (Bilješka 30 u usporedivom iznosu HRK 2.243 tis), "Derivativni financijski instrumenti" (Bilješka 24 u usporedivom iznosu HRK 5.380 tis.) te bilješka 39 u usporedivom iznosu HRK 13.994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
Ukupan kratkoročni dio stavke "Derivativni financijski instrumenti" Revidiranog izvješća (Bilješka 24) u iznosu HRK 5.380 tis. je iskazan u stavci "Ostale kratkoročne obveze" (AOP 123; HRK 5.380 tis.).</t>
  </si>
  <si>
    <r>
      <t>GFI-POD stavka "Odgođeno plaćanje troškova i prihod budućeg razdoblja" (AOP 124; HRK 72.821 tis.) je u Revidiranom izvještaju iskazana unutar stavaka  "Dobavljači i ostale obveze" (Bilješka 31; "Obveze po kamatama" HRK 33.727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2.496 tis., "Obračunate obveze za porez na dodanu vrijednost u nerealiziranim prihodima" HRK 121 tis., "Obveze za ukalkulirane troškove" HRK 28.673 tis.) te kratkoročnog dijela stavki "Rezerviranja" (Bilješka 32; kratkoročni dio stavke "Otpremnine i jubilarne nagrade" HRK 5.884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118; HRK 6,130 tis.), "Obveze s osnove udjela u rezultatu" (AOP 121; HRK 389 tis.), " Ostale kratkoročne obveze" (AOP 123; HRK 10.706 tis.) te "Odgođeno plaćanje troškova i prihod budućeg razdoblja" (AOP 124; HRK 66.936 tis.).
Ukupan kratkoročni dio stavke "Rezerviranja" Revidiranog izvješća (Bilješka 32) u iznosu 5.884 tis. je iskazan u stavci "Odgođeno plaćanje troškova i prihod budućeg razdoblja" (AOP 124; HRK 5.884 tis.).</t>
    </r>
  </si>
  <si>
    <t>Rekapitulacija usporedbe GFI-POD računa dobiti i gubitka te konsolidiranog izvještaja o sveobuhvatnoj dobiti iz Revidiranog izvještaja za 2020. godinu</t>
  </si>
  <si>
    <t>GFI-POD RAČUN DOBITI I GUBITKA
u razdoblju od 1.1.2020. do 31.12.2020.
(u tisućama kuna)</t>
  </si>
  <si>
    <r>
      <t>GFI-POD stavke "Prihodi na temelju upotrebe vlastitih proizvoda, roba i usluga" (AOP 004; HRK 461 tis.) i "Ostali poslovni prihodi (izvan grupe)" (AOP 006; HRK 32.671 tis.) su u Revidiranom izvještaju iskazane unutar stavki "Ostali prihodi" (Bilješka 6; "Prihod od donacija i ostalo" HRK 12.255 tis., "Prihod od ukidanja rezervacija" HRK 1.650 tis., "Prihod od prefakturiranja" HRK 2.055 tis., "Prihod od osiguranja i po sudskim žalbama" HRK 2.798 tis., "Prihod od upotrebe vlastitih proizvoda i usluga" HRK 461 tis., "Naplata otpisanih potraživanja" HRK 1.111 tis., "Ostali prihodi" HRK 8.025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4.777 tis.).
Napomena: Ukupan iznos stavke "Ostali prihodi" Revidiranog izvješća (Bilješka 6) u iznosu HRK 28.355 tis. je iskazan u stavci "Prihodi na temelju upotrebe vlastitih proizvoda, roba i usluga, ostali poslovni prihodi s poduzetnicima unutar grupe te ostali poslovni prihodi (izvan grupe)" (AOP 004, 005 i 006; HRK 28.355 tis.). 
Ukupan iznos stavke "Ostali dobici/(gubici) - neto" Revidiranog izvješća (Bilješka 10) u iznosu HRK 4.777 tis. je iskazan u stavci "Prihodi na temelju upotrebe vlastitih proizvoda, roba i usluga, ostali poslovni prihodi s poduzetnicima unutar grupe te ostali poslovni prihodi (izvan grupe)" (AOP 004, 005 i 006; HRK 4.777 tis.).</t>
    </r>
  </si>
  <si>
    <t>Obzirom na drukčiji prikaz, a radi usporedivosti GFI-POD i Revidiranog izvještaja nužno je zbirno promatrati GFI-POD stavke "Troškovi osoblja" (AOP 013; HRK 189,951 tis.), "Ostali troškovi" (AOP 018; HRK 89.098 tis.), "Vrijednosna usklađenja" (AOP 019; HRK 1.510 tis.), "Rezerviranja" (AOP 022; 28.714 tis.) i "Ostali poslovni rashodi" (AOP 029; HRK 10.015 tis.) u odnosu na stavke  "Troškovi zaposlenih" (Bilješka 8; HRK 227.051 tis.) te "Ostali poslovni rashodi (Bilješka 9; HRK 92.236 tis.) Revidiranog izvješća.</t>
  </si>
  <si>
    <t>GFI-POD stavka "Materijalni troškovi" (AOP 009; HRK 254.644 tis.) je u Revidiranom izvještaju iskazana u stavci "Nabavna vrijednost materijala i usluga" (Bilješka 7 u usporedivom iznosu HRK 254.644 tis.).</t>
  </si>
  <si>
    <t>GFI-POD stavka "Troškovi osoblja" (AOP 013; HRK 189.951 tis.) je u Revidiranom izvještaju iskazana unutar stavke "Troškovi zaposlenih" (Bilješka 8; "Plaće - neto" HRK 122.043 tis., "Troškovi mirovinskog osiguranja" HRK 36.138 tis., "Troškovi zdravstvenog osiguranja" HRK 24.606 tis., "Ostalo (doprinosi i porezi)" HRK 7.163 tis.
Napomena: Ukupan iznos stavke "Troškovi zaposlenih" Revidiranog izvješća (Bilješka 8) u iznosu HRK 227.051 tis. je iskazan u stavkama "Troškovi osoblja" (AOP 013; HRK 189.951 tis.), "Ostali troškovi" (AOP 018; HRK 23.509 tis.) i "Rezerviranja" (AOP 022; HRK 13.592 tis.).</t>
  </si>
  <si>
    <t>GFI-POD stavka "Ostali troškovi" (AOP 018; HRK 89.098 tis.) je u Revidiranom izvještaju iskazana unutar stavki "Troškovi zaposlenih" (Bilješka 8; "Trošak otpremnina" HRK 466 tis., "Ostali troškovi zaposlenih" HRK 23.044 tis.) te "Ostali poslovni rashodi" (Bilješka 9; "Komunalne naknade, koncesije i dr." HRK 38.689 tis., "Profesionalne usluge i dr. naknade" HRK 14.452 tis., "Troškovi reprezentacije" HRK 2.199 tis. HRK, "Premije osiguranja" HRK 7.043 tis., "Bankarske usluge" HRK 880 tis., "Stručni časopisi i dr. administrativni troškovi" HRK 2.325 tis.).
Napomena: Ukupan iznos stavke "Troškovi zaposlenih" Revidiranog izvješća (Bilješka 8) u iznosu HRK 227.051 tis. je iskazan u stavkama "Troškovi osoblja" (AOP 013; HRK 189.951 tis.), "Ostali troškovi" (AOP 018; HRK 23.509 tis.) i "Rezerviranja" (AOP 022; HRK 13.592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</si>
  <si>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"Vrijednosna usklađenja" (AOP 019; HRK 1.510 tis.) je u Revidiranom izvještaju iskazana unutar stavke "Ostali poslovni rashodi" (Bilješka 9; "Vrijednosno usklađenje imovine" u usporedivom iznosu HRK 1.510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</si>
  <si>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"Rezerviranja" (AOP 022; HRK 28.714 tis.) je u Revidiranom izvještaju iskazana unutar stavki "Troškovi zaposlenih" (Bilješka 8; "Rezerviranja za otpremnine i jubilarne nagrade" HRK 13.591 tis.) te "Ostali poslovni rashodi" (Bilješka 9; "Rezerviranja" HRK 9.623 tis. i "Rezerviranja za otpremnine" HRK 5.500 tis.).
Napomena: Ukupan iznos stavke "Troškovi zaposlenih" Revidiranog izvješća (Bilješka 8) u iznosu HRK 227.051 tis. je iskazan u stavkama "Troškovi osoblja" (AOP 013; HRK 189.951 tis.), "Ostali troškovi" (AOP 018; HRK 23.509 tis.) i "Rezerviranja" (AOP 022; HRK 13.592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</si>
  <si>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"Ostali poslovni rashodi" (AOP 029; HRK 10.015 tis.) je u Revidiranom izvještaju iskazana unutar stavki "Ostali poslovni rashodi" (Bilješka 9; "Otpisi nekretnina, postrojenja i oprema" HRK 1.531 tis., "Ostali poslovni rashodi" HRK 8.484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</si>
  <si>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Dio 11</t>
  </si>
  <si>
    <t>GFI-POD stavka "Financijski prihodi" (AOP 030; HRK 21.291 tis.) je u Revidiranom izvještaju iskazana unutar stavki "Neto financijski prihodi/(rashodi)" u dijelu financijskih prihoda (Bilješka 11; "Prihodi od kamata" HRK 514 tis., "Neto pozitivne tečajne razlike – ostale" HRK 890 tis., "Realizirani neto dobici od promjene vrijednosti valutnih terminskih ugovora i kamatnog swap-a" HRK 17.770 tis., "Prihodi od cassa sconto" HRK 1.957 tis., "Ostali novčani prinosi" HRK 160 tis.).
Napomena: Ukupan iznos stavke "Neto financijski rashodi" Revidiranog izvješća (Bilješka 11) u iznosu HRK 104.641 tis. je iskazan u stavkama "Financijski prihodi" (AOP 030; HRK 21.291 tis.) i "Financijski rashodi" (AOP 041; HRK 125.932 tis.).</t>
  </si>
  <si>
    <t>GFI-POD stavka "Financijski rashodi" (AOP 041; HRK 125.932 tis.) je u Revidiranom izvještaju iskazana unutar stavki "Neto financijski prihodi/(rashodi)" u dijelu financijskih rashoda (Bilješka 11; "Rashod od kamata" HRK 66.170 tis., "Neto negativne tečajne razlike od financijskih aktivnosti" HRK 41.918 tis., "Promjena vrijednosti valutnih terminskih ugovora i kamatnog swap-a" HRK 17.844 tis.).
Napomena: Ukupan iznos stavke "Neto financijski rashodi" Revidiranog izvješća (Bilješka 11) u iznosu HRK 104.641 tis. je iskazan u stavkama "Financijski prihodi" (AOP 030; HRK 21.291 tis.) i "Financijski rashodi" (AOP 041; HRK 125.932 tis.).</t>
  </si>
  <si>
    <t>GFI-POD stavka "Udio u dobiti od društava poveznih sudjelujućim interesom" (AOP 051; HRK 1.644 tis.) je u Revidiranom izvještaju iskazana u usporedivom iznosu HRK 1.644 tis.</t>
  </si>
  <si>
    <t>Rekapitulacija usporedbe GFI-POD novčanog toka te konsolidiranog izvještaja o novčanom toku iz Revidiranog izvještaja za 2021. godinu</t>
  </si>
  <si>
    <t>GFI-POD IZVJEŠTAJ O NOVČANOM TOKU
u razdoblju od 1.1.2021. do 31.12.2021.
(u tisućama kuna)</t>
  </si>
  <si>
    <t>A) NETO NOVČANI TOKOVI OD POSLOVNIH AKTIVNOSTI</t>
  </si>
  <si>
    <t xml:space="preserve">GFI-POD stavka "Neto novčani tokovi od poslovnih aktivnosti" (AOP 020; HRK 610.039 tis.) je u Revidiranom izvještaju iskazana u stavkama "Novčani tok od poslovnih aktivnosti" u usporedivom iznosu HRK 680.682 tis., te stavci "Plaćena kamata" (Novčani tok od financijskih aktivnosti) u iznosu HRK -70.643 tis. </t>
  </si>
  <si>
    <t xml:space="preserve">B) NETO NOVČANI TOKOVI OD INVESTICIJSKIH AKTIVNOSTI </t>
  </si>
  <si>
    <t>034</t>
  </si>
  <si>
    <t>GFI-POD stavka "Neto novčani tokovi od investicijskih aktivnosti" (AOP 034; HRK -157.173 tis.) je u Revidiranom izvještaju iskazana u stavci "Novčani tok od ulagačkih aktivnosti" u usporedivom iznosu HRK -157.173 tis.</t>
  </si>
  <si>
    <t>C) NETO NOVČANI TOKOVI OD FINANCIJSKIH AKTIVNOSTI</t>
  </si>
  <si>
    <t>GFI-POD stavka "Neto novčani tokovi od financijskih aktivnosti" (AOP 046; HRK -3.541 tis.) je u Revidiranom izvještaju iskazana u stavci "Novčani tok od financijskih aktivnosti" u usporedivom iznosu HRK -74.184 tis. uvećanoj za stavku "Plaćena kamata" u iznosu HRK 70.643 tis.</t>
  </si>
  <si>
    <t>D) NETO POVEĆANJE ILI SMANJENJE NOVČANIH TOKOVA (AOP 020+034+046)</t>
  </si>
  <si>
    <t>048</t>
  </si>
  <si>
    <t>F) NOVAC I NOVČANI EKVIVALENTI NA KRAJU RAZDOBLJA (AOP 048+049)</t>
  </si>
  <si>
    <t>050</t>
  </si>
  <si>
    <t>Rekapitulacija usporedbe GFI-POD novčanog toka te konsolidiranog izvještaja o novčanom toku iz Revidiranog izvještaja za 2020. godinu</t>
  </si>
  <si>
    <t>GFI-POD IZVJEŠTAJ O NOVČANOM TOKU
u razdoblju od 1.1.2020. do 31.12.2020.
(u tisućama kuna)</t>
  </si>
  <si>
    <t>GFI-POD stavka "Neto novčani tokovi od poslovnih aktivnosti" (AOP 020; HRK -37.477 tis.) je u Revidiranom izvještaju iskazana u stavkama "Novčani tok od poslovnih aktivnosti" u usporedivom iznosu HRK -3.186 tis. te stavci "Plaćena kamata" (Novčani tok od financijskih aktivnosti) u iznosu HRK -34.291 tis.</t>
  </si>
  <si>
    <t>GFI-POD stavka "Neto novčani tokovi od investicijskih aktivnosti" (AOP 034; HRK -585.950 tis.) je u Revidiranom izvještaju iskazana u stavci "Novčani tok od ulagačkih aktivnosti" u usporedivom iznosu HRK -585.950 tis.</t>
  </si>
  <si>
    <t>GFI-POD stavka "Neto novčani tokovi od financijskih aktivnosti" (AOP 046; HRK 739.217 tis.) je u Revidiranom izvještaju iskazana u stavci "Novčani tok od financijskih aktivnosti" u usporedivom iznosu HRK 704.926 tis. uvećanoj za stavku "Plaćena kamata" u iznosu HRK 34.291 tis.</t>
  </si>
  <si>
    <t>Rekapitulacija usporedbe GFI-POD Izvještaja o promjenama kapitala te konsolidiranog izvještaja o promjenama kapitala iz Revidiranog izvještaja za 2021. godinu</t>
  </si>
  <si>
    <t>GFI-POD IZVJEŠTAJ O PROMJENAMA KAPITALA
u razdoblju od 1.1.2021. do 31.12.2021.
(u tisućama kuna)</t>
  </si>
  <si>
    <t>KAPITAL I REZERVE (AOP 31 do 50)</t>
  </si>
  <si>
    <t>51</t>
  </si>
  <si>
    <t>27+28+33</t>
  </si>
  <si>
    <t>GFI-POD stavka "Kapital i rezerve" (AOP 067; HRK 3.311.059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81 tis.), "Zakonske rezerve" (Bilješka 28 u usporedivom iznosu HRK 83.601 tis.), "Ostale rezerve" (Bilješka 28 u usporedivom iznosu HRK 163.749 tis.), "Zadržana dobit" (Bilješka 28 u usporedivom iznosu HRK 467.737 tis.) te "Nekontrolirajući interes" (Bilješka 33 u usporedivom iznosu HRK 1.043.064 tis.).
Napomena: Radi potpune usporedivosti, slijedeće stavke treba promatrati kako je navedeno: Stavka Revidiranog izvještaja "Ostale rezerve" (Bilješka 28; HRK 163.749 tis.) odgovara GFI POD stavci "Rezerve za vlastite dionice" (AOP 072; HRK 136.815 tis.), dijelu GFI POD stavke "Zadržana dobit" (AOP 083; HRK 24.684 tis.) te GFI POD stavke "Ostale rezerve" (AOP 075 HRK 2.250 tis.). Stavka Revidiranog izvještaja „Zadržana dobit“ (Bilješka 28; HRK 467.737 tis.) odgovara zbroju GFI POD stavki "Dobit poslovne godine" (AOP 086; HRK 104.375 tis.) te dijela stavke "Zadržana dobit" (AOP 083; HRK 363.362 tis.).</t>
  </si>
  <si>
    <t>Rekapitulacija usporedbe GFI-POD Izvještaja o promjenama kapitala te konsolidiranog izvještaja o promjenama kapitala iz Revidiranog izvještaja za 2020. godinu</t>
  </si>
  <si>
    <t>GFI-POD IZVJEŠTAJ O PROMJENAMA KAPITALA
u razdoblju od 1.1.2020. do 31.12.2020.
(u tisućama kuna)</t>
  </si>
  <si>
    <t>GFI-POD stavka "Kapital i rezerve" (AOP 067; HRK 2.863.857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1 tis.), "Zakonske rezerve" (Bilješka 28 u usporedivom iznosu HRK 83.601 tis.), "Ostale rezerve" (Bilješka 28 u usporedivom iznosu HRK 161.993 tis.), "Zadržana dobit" (Bilješka 28 u usporedivom iznosu HRK 363.625 tis.) te "Nekontrolirajući interes" (Bilješka 33 u usporedivom iznosu HRK 701.810 tis.).
Napomena: Radi potpune usporedivosti, slijedeće stavke treba promatrati kako je navedeno: Stavka Revidiranog izvještaja "Ostale rezerve" (Bilješka 28; HRK 161.993 tis.) odgovara GFI POD stavci "Rezerve za vlastite dionice" (AOP 072; HRK 136.815 tis.), dijelu GFI POD stavke "Zadržana dobit" (AOP 083; HRK 22.846 tis.) te GFI POD stavke "Ostale rezerve" (AOP 075 HRK 2.332 tis.). Stavka Revidiranog izvještaja „Zadržana dobit“ (Bilješka 28; HRK 363.626 tis.) odgovara zbroju GFI POD stavki "Gubitak poslovne godine" (AOP 086; HRK -329.594 tis.) te dijela stavke "Zadržana dobit" (AOP 083; HRK 693.220 tis.).</t>
  </si>
  <si>
    <r>
      <t xml:space="preserve">                   BILJEŠKE UZ FINANCIJSKE IZVJEŠTAJE - GFI
Naziv izdavatelja:   Valamar Riviera d.d.
OIB:   36201212847
Izvještajno razdoblje: 01.01.2021. do 31.12.2021.
Bilješke uz financijske izvještaje sastavljaju se sukladno odredbama </t>
    </r>
    <r>
      <rPr>
        <b/>
        <sz val="10"/>
        <rFont val="Arial"/>
        <family val="2"/>
        <charset val="238"/>
      </rPr>
      <t>Međunarodnih standarda financijskog izvještavanja</t>
    </r>
    <r>
      <rPr>
        <sz val="10"/>
        <rFont val="Arial"/>
        <family val="2"/>
        <charset val="238"/>
      </rPr>
      <t xml:space="preserve">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</si>
  <si>
    <t xml:space="preserve">     2. Prihodi od ulaganja u udjele (dionice) društava povezanih sudjelujućim interesima</t>
  </si>
  <si>
    <t xml:space="preserve">     3. Prihodi od ostalih dugotrajnih financijskih ulaganja i zajmova poduzetnicima unutar grupe</t>
  </si>
  <si>
    <t xml:space="preserve">     5. Tečajne razlike i ostali financijski prihodi iz odnosa s poduzetnicima unutar grupe</t>
  </si>
  <si>
    <t xml:space="preserve">                   BILJEŠKE UZ FINANCIJSKE IZVJEŠTAJE - GFI
Naziv izdavatelja:  Valamar Riviera d.d.
OIB:    36201212847
Izvještajno razdoblje: 01.01.2023. do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</si>
  <si>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Na 31.12.2022. godine stavka u bilanci Druga rezerviranja sadržavala je obvezu za koncesije na turističkom zemljištu utvrđenoj prema Zakona o turističkom i ostalom građevinskom zemljištu neprocijenjenom u postupku pretvorbe i privatizacije (ZOTZ) u iznosu od 7.958.831 eura, rezervacije za najam turističkog zemljišta od stupanja na snagu Zakona o neprocijenjenom građevinskom zemljištu (ZNGZ) u iznosu od 5.581.129 eura i druge rezervacije u iznosu od 95.280 eura. Donošenje dviju Uredbi u veljači 2024. godine kojima se je definirao jednični iznos najma turističkog zemljišta te tako utvrdio ukupan trošak najma dovelo je do ukidanja prethodno navedenih rezervacija. Obveza za koncesiju smanjena je uslijed smanjenja površina najma turističkog zemljišta (detaljnije objašnjeno u Godišnjem izvješću za 2023. godinu). Preostali iznos obveze za koncesiju u iznosu od 6.277.106 eura reklasificiran je iz stavke Druga rezerviranja (AOP 096) u stavku Ostale dugoročne obveze (AOP 107).</t>
  </si>
  <si>
    <t>Detaljnije informacije o financijskim izvještajima dostupne su u objavljenom PDF dokumentu "Godišnje izvješće 2023."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</si>
  <si>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2023.“ koji je istovremeno s ovim dokumentom objavljen na internetskim stranicama HANFA-e, Zagrebačke burze i Izdavatelja.</t>
  </si>
  <si>
    <t>Grupa Valamar Riviera u nastavku predstavlja usporedbe stavki GFI POD financijskih izvještaja i revidiranih Bilješki za 2023. godinu.</t>
  </si>
  <si>
    <t>Rekapitulacija usporedbe GFI-POD bilance i konsolidirane bilance iz Revidiranih izvještaja za 2023. godinu</t>
  </si>
  <si>
    <t>GFI-POD stavka "Materijalna imovina" (AOP 010; EUR 662.330 tis.) je u Revidiranom izvještaju iskazana u stavkama "Nekretnine, postrojenja i oprema" (EUR 658.450 tis.), "Ulaganja u nekretnine" (EUR 348 tis.) te "Imovina s pravom korištenja" (EUR 3.532 tis.).</t>
  </si>
  <si>
    <t>GFI-POD stavka "Dugotrajna financijska imovina" (AOP 020; EUR 18.469 tis.) je u Revidiranom izvještaju iskazana u stavkama "Udjel u pridruženom subjektu" (EUR 16.250 tis.), "Financijska imovina" (EUR 158 tis.), dugoročni dio stavke Derivativni financijski instrumenti (675 tis. EUR) te dugoročni dio stavke "Krediti i depoziti" (1.386 tis. EUR).</t>
  </si>
  <si>
    <t>GFI-POD stavka "Potraživanja" (AOP 046; EUR 6.201 tis.) i GFI-POD stavka "Plaćeni troškovi budućeg razdoblja i obračunati prihodi" (AOP 064; EUR 3.764 tis.) su u Revidiranom izvještaju iskazane u stavci "Kupci i ostala potraživanja" (EUR 9.965 tis.).</t>
  </si>
  <si>
    <t>GFI-POD stavka "Financijska imovina" (AOP 053; EUR 25.642 tis.) je u Revidiranom izvještaju iskazana u stavci "Krediti i depoziti" - kratkoročni dio (EUR 24.036 tis.) te u kratkoročnom dijelu "Derivativni financijski instrumenti" (EUR 1.606 tis.).</t>
  </si>
  <si>
    <t>GFI-POD stavka "Novac u banci i blagajni" (AOP 063; EUR 55.185 tis.) je u Revidiranom izvještaju iskazana u stavci "Novac i novčani ekvivalenti" (EUR 55.185 tis.).</t>
  </si>
  <si>
    <t>GFI-POD stavka "Kapital i rezerve" (AOP 067; EUR 446.821 tis.) je u Revidiranom izvještaju iskazana u stavci "Dionička glavnica" (EUR 446.821 tis.).</t>
  </si>
  <si>
    <t>GFI-POD stavka "Rezerviranja" (AOP 090; EUR 8.330 tis.) je u Revidiranom izvještaju iskazana u dugoročnim obvezama u stavci "Rezerviranja" (EUR 8.330 tis.).</t>
  </si>
  <si>
    <t>GFI-POD stavka "Dugoročne Obveze" (AOP 097; EUR 264.708 tis.) je u Revidiranom izvještaju iskazana u dugoročnom dijelu stavke "Posudbe" (EUR 244.201 tis.), "Obveze za imovinu s pravom korištenja" (EUR 2.551 tis.), "Dobavljači i ostale obveze" (EUR 12.237 tis.) te "Odgođena porezna obveza" (EUR 5.719 tis.).</t>
  </si>
  <si>
    <t>GFI-POD stavka "Kratkoročne Obveze" (AOP 109; EUR 84.649 tis.) i GFI-POD stavka "Odgođeno plaćanje troškova i prihod budućeg razdoblja" (AOP 124; EUR 21.703 tis.) su u Revidiranom izvještaju iskazane unutar kratkoročnog dijela stavke "Posudbe" (EUR 49.938 tis.), "Obveze za imovinu s pravom korištenja" (EUR 593 tis.) te "Dobavljači i ostale obveze" (EUR 47.088 tis.), "Obveze za porez iz dobiti" (EUR 2.877 tis.), "Rezerviranja" (EUR 5.855 tis.).</t>
  </si>
  <si>
    <t>Rekapitulacija usporedbe GFI-POD računa dobiti i gubitka te konsolidiranog izvještaja o sveobuhvatnoj dobiti iz Revidiranog izvještaja za 2023. godinu</t>
  </si>
  <si>
    <t>GFI-POD stavka "Poslovni prihodi" (AOP 001; EUR 372.208 tis.) su u Revidiranom izvještaju iskazani u stavkama "Prihodi od prodaje" (EUR 365.719 tis.), "Ostali prihodi" (EUR 6.371 tis.), te "Ostali dobici/(gubici) - neto" (EUR 118 tis.).</t>
  </si>
  <si>
    <t>GFI-POD stavka "Poslovni rashodi" (AOP 007; EUR 329.806 tis.) su u Revidiranom izvještaju iskazani u stavkama "Nabavna vrijednost materijala i usluga" (EUR 118.248 tis.), "Troškovi zaposlenih" (EUR 128.621 tis.), "Amortizacija" (EUR 65.778 tis.) te "Ostali poslovni rashodi" (EUR 17.159 tis.)</t>
  </si>
  <si>
    <t xml:space="preserve">GFI-POD stavka "Materijalni troškovi" (AOP 009; EUR 118.248 tis.) je u Revidiranom izvještaju iskazana u stavci "Nabavna vrijednost materijala i usluga" (EUR 118.248 tis.). </t>
  </si>
  <si>
    <t>GFI-POD stavka "Troškovi osoblja" (AOP 013; EUR 104.577 tis.) je u Revidiranom izvještaju iskazana u stavci "Troškovi zaposlenih" (EUR 128.621 tis.). Ostatak od EUR 24.044 tis. prikazan je na GFI-POD stavkama: "Ostali troškovi" (AOP 018; EUR 22.750 tis. i odnosi se najvećim dijelom na prijevoz i ostale naknade zaposlenicima te troškove studenata), i "Rezerviranja" (AOP 022; EUR 1.295 tis. i odnosi se na rezervacije za zaposlenike).</t>
  </si>
  <si>
    <t>GFI-POD stavke "Ostali troškovi" (AOP 018; EUR 36.169 tis.) i "Ostali poslovni rashodi" (AOP 029; EUR 3.441 tis.) su u Revidiranom izvještaju iskazane u dijelu stavke "Ostali poslovni rashodi" (EUR 16.860 tis.). Ostatak od EUR 22.750 tis. je prethodno objašnjen pod troškovima osoblja.</t>
  </si>
  <si>
    <t>GFI-POD stavka "Vrijednosna usklađenja" (AOP 019; EUR 37 tis.) je u Revidiranom izvještaju iskazana u dijelu stavke "Ostali poslovni rashodi" (EUR 37 tis.).</t>
  </si>
  <si>
    <t>GFI-POD stavka "Rezerviranja" (AOP 022; EUR 1.557 tis.) je u Revidiranom izvještaju iskazana u dijelu stavke "Ostali poslovni rashodi" (EUR 263 tis.) i u dijelu stavke "Troškovi zaposlenih" (EUR 1.294 tis.).</t>
  </si>
  <si>
    <t>GFI-POD stavka "Financijski prihodi" (AOP 030; EUR 3.125 tis.) je u Revidiranom izvještaju iskazana unutar stavke "Neto financijski rezultat" u dijelu financijskih prihoda (EUR 3.125 tis.).</t>
  </si>
  <si>
    <t>GFI-POD stavka "Financijski rashodi" (AOP 041; EUR 11.159 tis.) je u Revidiranom izvještaju iskazana unutar stavke "Neto financijski rezultat" u dijelu financijskih rashoda (EUR 11.159 tis.).</t>
  </si>
  <si>
    <t>Rekapitulacija usporedbe GFI-POD novčanog toka te konsolidiranog izvještaja o novčanom toku iz Revidiranog izvještaja za 2023. godinu</t>
  </si>
  <si>
    <t>GFI-POD stavka "Neto novčani tokovi od poslovnih aktivnosti" (AOP 020; EUR 113.287 tis.) je u Revidiranom izvještaju iskazana u stavkama "Novčani tok od poslovnih aktivnosti" u iznosu od EUR 121.630 tis. te stavci "Plaćena kamata" (Novčani tok od financijskih aktivnosti) u iznosu EUR -8.343 tis.</t>
  </si>
  <si>
    <t>GFI-POD stavka "Neto novčani tokovi od investicijskih aktivnosti" (AOP 034; EUR -66.249 tis.) je u Revidiranom izvještaju iskazana u stavci "Novčani tok od ulagačkih aktivnosti" u iznosu EUR -66.249 tis.</t>
  </si>
  <si>
    <t>GFI-POD stavka "Neto novčani tokovi od financijskih aktivnosti" (AOP 046; EUR -81.153 tis.) je u Revidiranom izvještaju iskazana u stavci "Novčani tok od financijskih aktivnosti" u iznosu od EUR -89.496 tis. uvećanoj za stavku "Plaćena kamata" u iznosu EUR -8.343 tis.</t>
  </si>
  <si>
    <t>Rekapitulacija usporedbe GFI-POD Izvještaja o promjenama kapitala te konsolidiranog izvještaja o promjenama kapitala iz Revidiranog izvještaja za 2023. godinu</t>
  </si>
  <si>
    <t>GFI-POD stavka "Kapital i rezerve" (AOP 067; EUR 446.821 tis.) je u Revidiranom izvještaju iskazana u stavkama "Dionički kapital" (EUR 221.915 tis.), "Vlastite dionice" (EUR -13.743 tis.), "Kapitalne rezerve" (EUR 1.219 tis.), "Rezerve za fer vrijednost" (EUR 40 tis.), "Zakonske rezerve" (EUR 11.096 tis.), "Ostale rezerve" (EUR 22.123 tis.), "Zadržana dobit" (EUR 65.618 tis.) te "Nekontrolirajući interes" (EUR 138.553 tis.). Ostale se rezerve u Revidiranom izvještaju sastoje od rezervi za trezorske dionice u iznosu EUR 18.158 tis., ostale rezerve u iznosu EUR 391 tis. kao rezultat priznanja troška plaća za plaćanja temeljem dionica namirom u glavničkim instrumentima, a preostali iznos čine učinci konsolidacije. Zadržana dobit iz Revidiranog izvještaja proizlazi samo iz redovnog rezultata poslovanja.</t>
  </si>
  <si>
    <t>u eurima</t>
  </si>
  <si>
    <t>V.    UDIO U DOBITI OD DRUŠTAVA POVEZANIH SUDJELUJUĆIM INTERESOM</t>
  </si>
  <si>
    <t>VII.  UDIO U GUBITKU OD DRUŠTAVA POVEZANIH SUDJELUJUĆIM INTERESOM</t>
  </si>
  <si>
    <r>
      <t xml:space="preserve">XIX. DOBIT ILI GUBITAK RAZDOBLJA </t>
    </r>
    <r>
      <rPr>
        <sz val="12"/>
        <color theme="2"/>
        <rFont val="Aptos Display"/>
        <family val="2"/>
        <scheme val="major"/>
      </rPr>
      <t>(AOP 076+077)</t>
    </r>
  </si>
  <si>
    <t>A) NETO NOVČANI TOKOVI OD POSLOVNIH AKTIVNOSTI (AOP 017 do 019)</t>
  </si>
  <si>
    <r>
      <t xml:space="preserve">C) NETO NOVČANI TOKOVI OD FINANCIJSKIH AKTIVNOSTI </t>
    </r>
    <r>
      <rPr>
        <sz val="12"/>
        <color theme="2"/>
        <rFont val="Aptos Narrow"/>
        <family val="2"/>
        <scheme val="minor"/>
      </rPr>
      <t>(AOP 039+045)</t>
    </r>
  </si>
  <si>
    <r>
      <t xml:space="preserve">F) NOVAC I NOVČANI EKVIVALENTI NA KRAJU RAZDOBLJA </t>
    </r>
    <r>
      <rPr>
        <sz val="12"/>
        <color theme="2"/>
        <rFont val="Aptos Narrow"/>
        <family val="2"/>
        <scheme val="minor"/>
      </rPr>
      <t>(AOP 048+049)</t>
    </r>
  </si>
  <si>
    <r>
      <t xml:space="preserve">D) NETO POVEĆANJE ILI SMANJENJE NOVČANNIH TOKOVA </t>
    </r>
    <r>
      <rPr>
        <sz val="12"/>
        <color theme="2"/>
        <rFont val="Aptos Narrow"/>
        <family val="2"/>
        <scheme val="minor"/>
      </rPr>
      <t>(AOP 020+034+046+047)</t>
    </r>
  </si>
  <si>
    <t>AKTIVA</t>
  </si>
  <si>
    <t>F) UKUPNO – PASIVA (AOP 067+090+097+109+124)</t>
  </si>
  <si>
    <t>VII. SVEOBUHVATNA DOBIT ILI GUBITAK RAZDOBLJA (AOP 100+101)</t>
  </si>
  <si>
    <t>2021/2020</t>
  </si>
  <si>
    <t>2022/2021</t>
  </si>
  <si>
    <t>2023/2022</t>
  </si>
  <si>
    <t xml:space="preserve">     4. Obveze za zajmove, depozite i slično društava povezanih sudjelujućim interesom</t>
  </si>
  <si>
    <r>
      <t xml:space="preserve">III. FINANCIJSKI PRIHODI </t>
    </r>
    <r>
      <rPr>
        <sz val="12"/>
        <color theme="2" tint="-0.749992370372631"/>
        <rFont val="Aptos Display"/>
        <family val="2"/>
        <scheme val="major"/>
      </rPr>
      <t>(AOP 031 do 040)</t>
    </r>
  </si>
  <si>
    <r>
      <t xml:space="preserve">IV. FINANCIJSKI RASHODI </t>
    </r>
    <r>
      <rPr>
        <sz val="12"/>
        <color theme="2" tint="-0.749992370372631"/>
        <rFont val="Aptos Display"/>
        <family val="2"/>
        <scheme val="major"/>
      </rPr>
      <t>(AOP 042 do 048)</t>
    </r>
  </si>
  <si>
    <r>
      <t xml:space="preserve">IX.   UKUPNI PRIHODI </t>
    </r>
    <r>
      <rPr>
        <sz val="12"/>
        <color theme="2" tint="-0.749992370372631"/>
        <rFont val="Aptos Display"/>
        <family val="2"/>
        <scheme val="major"/>
      </rPr>
      <t>(AOP 001+030+049 +050)</t>
    </r>
  </si>
  <si>
    <r>
      <t xml:space="preserve">X.    UKUPNI RASHODI </t>
    </r>
    <r>
      <rPr>
        <sz val="12"/>
        <color theme="2" tint="-0.749992370372631"/>
        <rFont val="Aptos Display"/>
        <family val="2"/>
        <scheme val="major"/>
      </rPr>
      <t>(AOP 007+041+051 + 052)</t>
    </r>
  </si>
  <si>
    <r>
      <t xml:space="preserve">XI.   DOBIT ILI GUBITAK PRIJE OPOREZIVANJA </t>
    </r>
    <r>
      <rPr>
        <sz val="12"/>
        <color theme="2" tint="-0.749992370372631"/>
        <rFont val="Aptos Display"/>
        <family val="2"/>
        <scheme val="major"/>
      </rPr>
      <t>(AOP 053-054)</t>
    </r>
  </si>
  <si>
    <r>
      <t>XIV. DOBIT ILI GUBITAK PREKINUTOG POSLOVANJA PRIJE OPOREZIVANJA</t>
    </r>
    <r>
      <rPr>
        <sz val="12"/>
        <color theme="2" tint="-0.749992370372631"/>
        <rFont val="Aptos Display"/>
        <family val="2"/>
        <scheme val="major"/>
      </rPr>
      <t xml:space="preserve"> (AOP 063-064)</t>
    </r>
  </si>
  <si>
    <r>
      <t xml:space="preserve">XVI. DOBIT ILI GUBITAK PRIJE OPOREZIVANJA </t>
    </r>
    <r>
      <rPr>
        <sz val="12"/>
        <color theme="2" tint="-0.749992370372631"/>
        <rFont val="Aptos Display"/>
        <family val="2"/>
        <scheme val="major"/>
      </rPr>
      <t>(AOP 055+062)</t>
    </r>
  </si>
  <si>
    <r>
      <t xml:space="preserve">XVII. POREZ NA DOBIT </t>
    </r>
    <r>
      <rPr>
        <sz val="12"/>
        <color theme="2" tint="-0.749992370372631"/>
        <rFont val="Aptos Display"/>
        <family val="2"/>
        <scheme val="major"/>
      </rPr>
      <t>(AOP 058+065)</t>
    </r>
  </si>
  <si>
    <r>
      <t xml:space="preserve">XVIII. DOBIT ILI GUBITAK RAZDOBLJA </t>
    </r>
    <r>
      <rPr>
        <sz val="12"/>
        <color theme="2" tint="-0.749992370372631"/>
        <rFont val="Aptos Display"/>
        <family val="2"/>
        <scheme val="major"/>
      </rPr>
      <t>(AOP 068-071)</t>
    </r>
  </si>
  <si>
    <r>
      <t xml:space="preserve">V. NETO OSTALA SVEOBUHVATNA DOBIT ILI GUBITAK </t>
    </r>
    <r>
      <rPr>
        <sz val="12"/>
        <color theme="2" tint="-0.749992370372631"/>
        <rFont val="Aptos Display"/>
        <family val="2"/>
        <scheme val="major"/>
      </rPr>
      <t>(AOP 080+087 - 086 - 096)</t>
    </r>
  </si>
  <si>
    <r>
      <t xml:space="preserve">VI. SVEOBUHVATNA DOBIT ILI GUBITAK RAZDOBLJA </t>
    </r>
    <r>
      <rPr>
        <sz val="12"/>
        <color theme="2" tint="-0.749992370372631"/>
        <rFont val="Aptos Display"/>
        <family val="2"/>
        <scheme val="major"/>
      </rPr>
      <t>(AOP 078+097)</t>
    </r>
  </si>
  <si>
    <t>I. POSLOVNI PRIHODI (AOP 002 do 006)</t>
  </si>
  <si>
    <t>II. POSLOVNI RASHODI (AOP 08+009+013+017+018+019+022+029)</t>
  </si>
  <si>
    <t>XIII. DOBIT ILI GUBITAK RAZDOBLJA (AOP 055-059)</t>
  </si>
  <si>
    <t>B) NETO NOVČANI TOKOVI OD INVESTICIJSKIH AKTIVNOSTI (AOP 027+033)</t>
  </si>
  <si>
    <r>
      <t xml:space="preserve">V. Ukupno novčani primici od financijskih aktivnosti </t>
    </r>
    <r>
      <rPr>
        <sz val="12"/>
        <color theme="2"/>
        <rFont val="Aptos Narrow"/>
        <family val="2"/>
        <scheme val="minor"/>
      </rPr>
      <t>(AOP 035 do 038)</t>
    </r>
  </si>
  <si>
    <r>
      <t xml:space="preserve">VI. Ukupno novčani izdaci od financijskih aktivnosti </t>
    </r>
    <r>
      <rPr>
        <sz val="12"/>
        <color theme="2"/>
        <rFont val="Aptos Narrow"/>
        <family val="2"/>
        <scheme val="minor"/>
      </rPr>
      <t>(AOP 040 do 044)</t>
    </r>
  </si>
  <si>
    <t>I.  Povećanje ili smanjenje novčanih tokova prije promjena u radnom kapitalu (AOP 001+002)</t>
  </si>
  <si>
    <t>II. Novac iz poslovanja (AOP 011+012)</t>
  </si>
  <si>
    <t>III. Ukupno novčani primici od investicijskih aktivnosti (AOP 021 do 026)</t>
  </si>
  <si>
    <t>IV. Ukupno novčani izdaci od investicijskih aktivnosti (AOP 028 do 032)</t>
  </si>
  <si>
    <t>VERTIKALNA ANALIZA</t>
  </si>
  <si>
    <t>C)  KRATKOTRAJNA IMOVINA (AOP 038+046+053+063)</t>
  </si>
  <si>
    <t>D)  PLAĆENI TR. BUDUĆEG RAZDOBLJA I OBRAČUNATI PRIHODI</t>
  </si>
  <si>
    <t>A)  KAPITAL I REZERVE (AOP 068 do 070+076+077+083+086+089)</t>
  </si>
  <si>
    <t>B)  REZERVIRANJA (AOP 091 do 096)</t>
  </si>
  <si>
    <t>C)  DUGOROČNE OBVEZE (AOP 098 do 108)</t>
  </si>
  <si>
    <t>D)  KRATKOROČNE OBVEZE (AOP 110 do 123)</t>
  </si>
  <si>
    <t>B)  DUGOTRAJNA IMOVINA (AOP 003+010+020+031+036)</t>
  </si>
  <si>
    <r>
      <t xml:space="preserve">B)  DUGOTRAJNA IMOVINA </t>
    </r>
    <r>
      <rPr>
        <sz val="12"/>
        <color theme="2" tint="-0.749992370372631"/>
        <rFont val="Bahnschrift"/>
        <family val="2"/>
        <charset val="238"/>
      </rPr>
      <t>(AOP 003+010+020+031+036)</t>
    </r>
  </si>
  <si>
    <r>
      <t xml:space="preserve">C)  KRATKOTRAJNA IMOVINA </t>
    </r>
    <r>
      <rPr>
        <sz val="12"/>
        <color theme="2" tint="-0.749992370372631"/>
        <rFont val="Bahnschrift"/>
        <family val="2"/>
        <charset val="238"/>
      </rPr>
      <t>(AOP 038+046+053+063)</t>
    </r>
  </si>
  <si>
    <r>
      <t xml:space="preserve">A)  KAPITAL I REZERVE </t>
    </r>
    <r>
      <rPr>
        <sz val="12"/>
        <color theme="2" tint="-0.749992370372631"/>
        <rFont val="Bahnschrift"/>
        <family val="2"/>
        <charset val="238"/>
      </rPr>
      <t>(AOP 068 do 070+076+077+083+086+089)</t>
    </r>
  </si>
  <si>
    <t>E)  UKUPNO AKTIVA (AOP 001+002+037+064)</t>
  </si>
  <si>
    <t>I. POSLOVNI PRIHODI</t>
  </si>
  <si>
    <t>III. FINANCIJSKI PRIHODI</t>
  </si>
  <si>
    <t>IV. FINANCIJSKI RASHODI</t>
  </si>
  <si>
    <t>II. POSLOVNI RASHODI</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</si>
  <si>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</si>
  <si>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</si>
  <si>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</si>
  <si>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A)  KAPITAL I REZERVE</t>
  </si>
  <si>
    <t>B)  REZERVIRANJA</t>
  </si>
  <si>
    <t>C)  DUGOROČNE OBVEZE</t>
  </si>
  <si>
    <t>D)  KRATKOROČNE OBVEZE</t>
  </si>
  <si>
    <t>E) ODGOĐENO PLAĆANJE TR. I PRIHOD BUDUĆEGA RAZDOBLJA</t>
  </si>
  <si>
    <t>B)  DUGOTRAJNA IMOVINA</t>
  </si>
  <si>
    <t>C)  KRATKOTRAJNA IMOVINA</t>
  </si>
  <si>
    <t xml:space="preserve">   11. Obveze za poreze, doprinose i sličana davanja</t>
  </si>
  <si>
    <t xml:space="preserve">     4. Ulaganja u udjele (dionice) društava povezanih sudjelujućim interesom</t>
  </si>
  <si>
    <t>Koeficijent trenutne likvidnosti</t>
  </si>
  <si>
    <t>Koeficijent ubrzane likvidnosti</t>
  </si>
  <si>
    <t>Koeficijent tekuće likvidnosti</t>
  </si>
  <si>
    <t>Koeficijent financijske stabilnosti</t>
  </si>
  <si>
    <t>FORMULA</t>
  </si>
  <si>
    <t xml:space="preserve">AOP 063 NOVAC U BANCI I BLAGAJNI/AOP 109 KRATKOROČNE OBVEZE </t>
  </si>
  <si>
    <t xml:space="preserve">(AOP 063 NOVAC U BANCI I BLAGAJNI + AOP 046 POTRAŽIVANJA)/AOP 109 KRATKOROČNE OBVEZE </t>
  </si>
  <si>
    <t xml:space="preserve">AOP 037 KRATKOTRAJNA IMOVINA/AOP 109 KRATKOROČNE OBVEZE </t>
  </si>
  <si>
    <t>AOP 002 DUGOTRAJNA IMOVINA/ (AOP 067 KAPITAL I  + 097  DUGOROČNE OBVEZE)</t>
  </si>
  <si>
    <t>Koeficijenti zaduženosti</t>
  </si>
  <si>
    <t>Koeficijent vlastitog financiranja</t>
  </si>
  <si>
    <t>Koeficijent financiranja</t>
  </si>
  <si>
    <t>POKAZATELJI ZADUŽENOSTI</t>
  </si>
  <si>
    <t>POKAZATELJI LIKVIDNOSTI</t>
  </si>
  <si>
    <t xml:space="preserve">Statički pokazatelji </t>
  </si>
  <si>
    <t xml:space="preserve">Dinamički pokazatelji </t>
  </si>
  <si>
    <t>Faktor zaduženosti</t>
  </si>
  <si>
    <t xml:space="preserve">Pokriće troškova kamata </t>
  </si>
  <si>
    <t>POKAZATELJI AKTIVNOSTI</t>
  </si>
  <si>
    <r>
      <t>Koeficij</t>
    </r>
    <r>
      <rPr>
        <sz val="11"/>
        <color theme="1"/>
        <rFont val="Aptos Narrow"/>
        <family val="2"/>
        <scheme val="minor"/>
      </rPr>
      <t>ent obrta ukupne imovine</t>
    </r>
  </si>
  <si>
    <t>Trajanje naplate potraživanja u danima</t>
  </si>
  <si>
    <t>POKAZATELJI EKONOMIČNOSTI</t>
  </si>
  <si>
    <t>Ekonomičnost  poslovanja</t>
  </si>
  <si>
    <t>Ekonomičnost ukupnog poslovanja</t>
  </si>
  <si>
    <t>Ekonomičnost financiranja</t>
  </si>
  <si>
    <t>(AOP 097 DUGOROČNE OBVEZE + AOP 109 KRATKOROČNE OBVEZE) / 065 UKUPNO AKTIVA</t>
  </si>
  <si>
    <t>AOP 067  KAPITAL I REZERVE / 065 UKUPNO AKTIVA</t>
  </si>
  <si>
    <t xml:space="preserve">(AOP 097 DUGOROČNE OBVEZE + AOP 109 KRATKOROČNE OBVEZE)  / AOP 067  KAPITAL I REZERVE </t>
  </si>
  <si>
    <t>053 UKUPNI PRIHODI / 065 UKUPNO AKTIVA</t>
  </si>
  <si>
    <r>
      <t>Koeficij</t>
    </r>
    <r>
      <rPr>
        <sz val="11"/>
        <color theme="1"/>
        <rFont val="Aptos Narrow"/>
        <family val="2"/>
        <scheme val="minor"/>
      </rPr>
      <t>ent obrta kratkotrajne imovine</t>
    </r>
  </si>
  <si>
    <r>
      <t>Koeficij</t>
    </r>
    <r>
      <rPr>
        <sz val="11"/>
        <color theme="1"/>
        <rFont val="Aptos Narrow"/>
        <family val="2"/>
        <scheme val="minor"/>
      </rPr>
      <t>ent obrta potraživanja</t>
    </r>
  </si>
  <si>
    <t xml:space="preserve">053 UKUPNI PRIHODI / 037 KRATKOTRAJNA IMOVINA </t>
  </si>
  <si>
    <t>001 POSLOVNI PRIHODI/ 046 POTRAŽIVANJA</t>
  </si>
  <si>
    <t>365/001 POSLOVNI PRIHODI/ 046 POTRAŽIVANJA</t>
  </si>
  <si>
    <t>053  UKUPNI PRIHODI / 054 UKUPNI RASHODI</t>
  </si>
  <si>
    <t xml:space="preserve">001 POSLOVNI PRIHODI / 007 POSLOVNI RASHODI </t>
  </si>
  <si>
    <t>030 FINANCIJSKI PRIHODI / 041 FINANCIJSKI RASHODI</t>
  </si>
  <si>
    <t>(AOP 056 Dobit prije oporezivanja + AOP 044 Rashodi s osnove kamata i slični rashodi) / AOP 044 Rashodi s osnove kamata i slični rashodi</t>
  </si>
  <si>
    <t>(AOP 097 DUGOROČNE OBVEZE + / AOP 109 KRATKOROČNE OBVEZE) / (084 Zadržana dobit + 017 Amortizacija)</t>
  </si>
  <si>
    <t>IZVJEŠTAJ O OSTALOJ SVEOBUHVATNOJ DOBITI (popunjava poduzetnik obveznik primjene MSFI-a)</t>
  </si>
  <si>
    <t>DODATAK Izvještaju o  ostaloj sveobuhvatnoj dobiti (popunjava poduzetnik koji sastavlja konsolidirani izvještaj)</t>
  </si>
  <si>
    <t>DODATAK RDG-u (popunjava poduzetnik koji sastavlja konsolidirani godišnji financijski izvještaj)</t>
  </si>
  <si>
    <t>HORIZONTALNA ANALIZA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</si>
</sst>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_-* #,##0_-;\-* #,##0_-;_-* &quot;-&quot;??_-;_-@_-"/>
    <numFmt numFmtId="167" formatCode="0.0%"/>
  </numFmts>
  <fonts count="56" x14ac:knownFonts="1">
    <font>
      <sz val="11"/>
      <color theme="1"/>
      <name val="Aptos Narrow"/>
      <family val="2"/>
      <charset val="238"/>
      <scheme val="minor"/>
    </font>
    <font>
      <sz val="11"/>
      <color theme="1"/>
      <name val="Aptos Narrow"/>
      <family val="2"/>
      <charset val="238"/>
      <scheme val="minor"/>
    </font>
    <font>
      <b/>
      <sz val="9"/>
      <color indexed="62"/>
      <name val="Arial"/>
      <family val="2"/>
      <charset val="238"/>
    </font>
    <font>
      <sz val="9"/>
      <name val="Arial"/>
      <family val="2"/>
      <charset val="238"/>
    </font>
    <font>
      <b/>
      <sz val="9"/>
      <color indexed="18"/>
      <name val="Arial"/>
      <family val="2"/>
      <charset val="238"/>
    </font>
    <font>
      <sz val="8"/>
      <name val="Arial"/>
      <family val="2"/>
      <charset val="238"/>
    </font>
    <font>
      <sz val="10"/>
      <name val="Arial"/>
      <family val="2"/>
      <charset val="238"/>
    </font>
    <font>
      <sz val="10"/>
      <color indexed="8"/>
      <name val="Arial"/>
      <family val="2"/>
      <charset val="238"/>
    </font>
    <font>
      <b/>
      <sz val="12"/>
      <name val="Arial"/>
      <family val="2"/>
      <charset val="238"/>
    </font>
    <font>
      <b/>
      <sz val="10"/>
      <name val="Arial"/>
      <family val="2"/>
      <charset val="238"/>
    </font>
    <font>
      <b/>
      <sz val="8"/>
      <color indexed="9"/>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b/>
      <sz val="8"/>
      <name val="Arial"/>
      <family val="2"/>
      <charset val="238"/>
    </font>
    <font>
      <sz val="8"/>
      <color indexed="12"/>
      <name val="Arial"/>
      <family val="2"/>
      <charset val="238"/>
    </font>
    <font>
      <b/>
      <sz val="12"/>
      <color theme="1"/>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00B0F0"/>
      <name val="Arial"/>
      <family val="2"/>
      <charset val="238"/>
    </font>
    <font>
      <sz val="10"/>
      <color theme="1"/>
      <name val="Aptos Narrow"/>
      <family val="2"/>
      <charset val="238"/>
      <scheme val="minor"/>
    </font>
    <font>
      <i/>
      <sz val="9"/>
      <color theme="1"/>
      <name val="Arial"/>
      <family val="2"/>
      <charset val="238"/>
    </font>
    <font>
      <b/>
      <i/>
      <sz val="9"/>
      <color theme="1"/>
      <name val="Arial"/>
      <family val="2"/>
      <charset val="238"/>
    </font>
    <font>
      <b/>
      <sz val="9"/>
      <color rgb="FFFF0000"/>
      <name val="Arial"/>
      <family val="2"/>
      <charset val="238"/>
    </font>
    <font>
      <sz val="9"/>
      <color theme="1" tint="4.9989318521683403E-2"/>
      <name val="Arial"/>
      <family val="2"/>
      <charset val="238"/>
    </font>
    <font>
      <sz val="12"/>
      <color theme="1"/>
      <name val="Aptos Narrow"/>
      <family val="2"/>
      <scheme val="minor"/>
    </font>
    <font>
      <b/>
      <sz val="12"/>
      <color indexed="18"/>
      <name val="Aptos Narrow"/>
      <family val="2"/>
      <scheme val="minor"/>
    </font>
    <font>
      <sz val="12"/>
      <name val="Aptos Narrow"/>
      <family val="2"/>
      <scheme val="minor"/>
    </font>
    <font>
      <b/>
      <sz val="12"/>
      <name val="Aptos Narrow"/>
      <family val="2"/>
      <scheme val="minor"/>
    </font>
    <font>
      <i/>
      <sz val="12"/>
      <name val="Aptos Narrow"/>
      <family val="2"/>
      <scheme val="minor"/>
    </font>
    <font>
      <b/>
      <sz val="12"/>
      <color theme="2"/>
      <name val="Aptos Display"/>
      <family val="2"/>
      <scheme val="major"/>
    </font>
    <font>
      <sz val="12"/>
      <color theme="2"/>
      <name val="Aptos Display"/>
      <family val="2"/>
      <scheme val="major"/>
    </font>
    <font>
      <sz val="10"/>
      <color rgb="FFFF0000"/>
      <name val="Arial"/>
      <family val="2"/>
      <charset val="238"/>
    </font>
    <font>
      <b/>
      <sz val="12"/>
      <color theme="2"/>
      <name val="Aptos Narrow"/>
      <family val="2"/>
      <scheme val="minor"/>
    </font>
    <font>
      <sz val="12"/>
      <color theme="2"/>
      <name val="Aptos Narrow"/>
      <family val="2"/>
      <scheme val="minor"/>
    </font>
    <font>
      <sz val="11"/>
      <color theme="2"/>
      <name val="Aptos Narrow"/>
      <family val="2"/>
      <scheme val="minor"/>
    </font>
    <font>
      <b/>
      <sz val="12"/>
      <color theme="1"/>
      <name val="Aptos Narrow"/>
      <family val="2"/>
      <scheme val="minor"/>
    </font>
    <font>
      <b/>
      <sz val="12"/>
      <color theme="1"/>
      <name val="Aptos Display"/>
      <family val="2"/>
      <scheme val="major"/>
    </font>
    <font>
      <b/>
      <sz val="12"/>
      <color theme="2" tint="-0.749992370372631"/>
      <name val="Aptos Display"/>
      <family val="2"/>
      <scheme val="major"/>
    </font>
    <font>
      <sz val="12"/>
      <color theme="2" tint="-0.749992370372631"/>
      <name val="Aptos Display"/>
      <family val="2"/>
      <scheme val="major"/>
    </font>
    <font>
      <i/>
      <sz val="12"/>
      <color theme="2" tint="-0.749992370372631"/>
      <name val="Aptos Display"/>
      <family val="2"/>
      <scheme val="major"/>
    </font>
    <font>
      <sz val="12"/>
      <color theme="2" tint="-0.749992370372631"/>
      <name val="Aptos Narrow"/>
      <family val="2"/>
      <scheme val="minor"/>
    </font>
    <font>
      <b/>
      <sz val="12"/>
      <color theme="2" tint="-0.749992370372631"/>
      <name val="Aptos Narrow"/>
      <family val="2"/>
      <scheme val="minor"/>
    </font>
    <font>
      <b/>
      <sz val="12"/>
      <color theme="2" tint="-0.749992370372631"/>
      <name val="Bahnschrift"/>
      <family val="2"/>
      <charset val="238"/>
    </font>
    <font>
      <b/>
      <sz val="11"/>
      <color theme="2" tint="-0.749992370372631"/>
      <name val="Bahnschrift"/>
      <family val="2"/>
      <charset val="238"/>
    </font>
    <font>
      <sz val="12"/>
      <color theme="2" tint="-0.749992370372631"/>
      <name val="Bahnschrift"/>
      <family val="2"/>
      <charset val="238"/>
    </font>
    <font>
      <b/>
      <sz val="12"/>
      <color theme="2"/>
      <name val="Bahnschrift"/>
      <family val="2"/>
      <charset val="238"/>
    </font>
    <font>
      <sz val="11"/>
      <color theme="2" tint="-0.749992370372631"/>
      <name val="Bahnschrift"/>
      <family val="2"/>
      <charset val="238"/>
    </font>
    <font>
      <b/>
      <sz val="11"/>
      <color theme="1"/>
      <name val="Aptos Narrow"/>
      <family val="2"/>
      <scheme val="minor"/>
    </font>
    <font>
      <b/>
      <i/>
      <sz val="11"/>
      <color rgb="FFC00000"/>
      <name val="Aptos Narrow"/>
      <family val="2"/>
      <scheme val="minor"/>
    </font>
    <font>
      <sz val="11"/>
      <color theme="1"/>
      <name val="Aptos Narrow"/>
      <family val="2"/>
      <scheme val="minor"/>
    </font>
  </fonts>
  <fills count="36">
    <fill>
      <patternFill patternType="none"/>
    </fill>
    <fill>
      <patternFill patternType="gray125"/>
    </fill>
    <fill>
      <patternFill patternType="solid">
        <fgColor theme="4" tint="0.79998168889431442"/>
        <bgColor indexed="64"/>
      </patternFill>
    </fill>
    <fill>
      <patternFill patternType="solid">
        <fgColor indexed="22"/>
        <bgColor indexed="64"/>
      </patternFill>
    </fill>
    <fill>
      <patternFill patternType="solid">
        <fgColor theme="0"/>
        <bgColor indexed="64"/>
      </patternFill>
    </fill>
    <fill>
      <patternFill patternType="lightGray">
        <fgColor indexed="22"/>
      </patternFill>
    </fill>
    <fill>
      <patternFill patternType="solid">
        <fgColor indexed="55"/>
        <bgColor indexed="64"/>
      </patternFill>
    </fill>
    <fill>
      <patternFill patternType="gray125">
        <fgColor indexed="22"/>
        <bgColor indexed="22"/>
      </patternFill>
    </fill>
    <fill>
      <patternFill patternType="lightUp">
        <fgColor indexed="22"/>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59996337778862885"/>
        <bgColor indexed="64"/>
      </patternFill>
    </fill>
    <fill>
      <patternFill patternType="solid">
        <fgColor theme="5" tint="-0.24994659260841701"/>
        <bgColor indexed="64"/>
      </patternFill>
    </fill>
    <fill>
      <patternFill patternType="solid">
        <fgColor rgb="FFC00000"/>
        <bgColor indexed="64"/>
      </patternFill>
    </fill>
    <fill>
      <patternFill patternType="solid">
        <fgColor theme="7"/>
        <bgColor indexed="64"/>
      </patternFill>
    </fill>
    <fill>
      <patternFill patternType="solid">
        <fgColor rgb="FF0070C0"/>
        <bgColor indexed="64"/>
      </patternFill>
    </fill>
    <fill>
      <patternFill patternType="solid">
        <fgColor theme="2"/>
        <bgColor indexed="64"/>
      </patternFill>
    </fill>
    <fill>
      <patternFill patternType="solid">
        <fgColor theme="5"/>
        <bgColor indexed="64"/>
      </patternFill>
    </fill>
    <fill>
      <patternFill patternType="mediumGray">
        <fgColor indexed="22"/>
        <bgColor theme="4"/>
      </patternFill>
    </fill>
    <fill>
      <patternFill patternType="solid">
        <fgColor theme="4"/>
        <bgColor indexed="64"/>
      </patternFill>
    </fill>
    <fill>
      <patternFill patternType="solid">
        <fgColor theme="2" tint="-9.9948118533890809E-2"/>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39994506668294322"/>
        <bgColor indexed="64"/>
      </patternFill>
    </fill>
    <fill>
      <patternFill patternType="solid">
        <fgColor theme="3" tint="0.24994659260841701"/>
        <bgColor indexed="64"/>
      </patternFill>
    </fill>
    <fill>
      <patternFill patternType="solid">
        <fgColor theme="3" tint="9.9948118533890809E-2"/>
        <bgColor indexed="64"/>
      </patternFill>
    </fill>
    <fill>
      <patternFill patternType="solid">
        <fgColor theme="3" tint="9.9978637043366805E-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00B0F0"/>
        <bgColor indexed="64"/>
      </patternFill>
    </fill>
  </fills>
  <borders count="108">
    <border>
      <left/>
      <right/>
      <top/>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indexed="64"/>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theme="0" tint="-0.34998626667073579"/>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medium">
        <color indexed="64"/>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theme="1"/>
      </left>
      <right style="hair">
        <color indexed="64"/>
      </right>
      <top style="medium">
        <color theme="1"/>
      </top>
      <bottom/>
      <diagonal/>
    </border>
    <border>
      <left/>
      <right style="thin">
        <color theme="0" tint="-0.34998626667073579"/>
      </right>
      <top style="medium">
        <color indexed="64"/>
      </top>
      <bottom/>
      <diagonal/>
    </border>
    <border>
      <left style="medium">
        <color theme="1"/>
      </left>
      <right style="hair">
        <color indexed="64"/>
      </right>
      <top style="medium">
        <color theme="1"/>
      </top>
      <bottom style="thin">
        <color theme="0" tint="-0.34998626667073579"/>
      </bottom>
      <diagonal/>
    </border>
    <border>
      <left style="medium">
        <color theme="1"/>
      </left>
      <right/>
      <top style="thin">
        <color theme="0" tint="-0.34998626667073579"/>
      </top>
      <bottom style="medium">
        <color theme="1"/>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diagonal/>
    </border>
    <border>
      <left style="thin">
        <color theme="0" tint="-0.34998626667073579"/>
      </left>
      <right style="medium">
        <color theme="1"/>
      </right>
      <top style="medium">
        <color theme="1"/>
      </top>
      <bottom/>
      <diagonal/>
    </border>
    <border>
      <left style="thin">
        <color indexed="64"/>
      </left>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ashed">
        <color indexed="64"/>
      </left>
      <right style="dashed">
        <color indexed="64"/>
      </right>
      <top style="thick">
        <color auto="1"/>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thick">
        <color indexed="64"/>
      </left>
      <right style="dashed">
        <color indexed="64"/>
      </right>
      <top style="thick">
        <color indexed="64"/>
      </top>
      <bottom style="dashed">
        <color indexed="64"/>
      </bottom>
      <diagonal/>
    </border>
    <border>
      <left style="dashed">
        <color indexed="64"/>
      </left>
      <right style="thick">
        <color indexed="64"/>
      </right>
      <top style="thick">
        <color indexed="64"/>
      </top>
      <bottom style="dashed">
        <color indexed="64"/>
      </bottom>
      <diagonal/>
    </border>
    <border>
      <left style="thick">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style="thin">
        <color theme="0" tint="-0.34998626667073579"/>
      </left>
      <right style="hair">
        <color indexed="64"/>
      </right>
      <top style="thin">
        <color theme="0" tint="-0.34998626667073579"/>
      </top>
      <bottom style="thin">
        <color theme="0" tint="-0.34998626667073579"/>
      </bottom>
      <diagonal/>
    </border>
    <border>
      <left/>
      <right style="hair">
        <color indexed="64"/>
      </right>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style="thick">
        <color indexed="64"/>
      </left>
      <right style="dashed">
        <color indexed="64"/>
      </right>
      <top style="dashed">
        <color indexed="64"/>
      </top>
      <bottom/>
      <diagonal/>
    </border>
    <border>
      <left style="dashed">
        <color indexed="64"/>
      </left>
      <right style="thick">
        <color indexed="64"/>
      </right>
      <top style="dashed">
        <color indexed="64"/>
      </top>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dashed">
        <color indexed="64"/>
      </right>
      <top style="thick">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dashed">
        <color indexed="64"/>
      </right>
      <top style="dashed">
        <color indexed="64"/>
      </top>
      <bottom style="thick">
        <color indexed="64"/>
      </bottom>
      <diagonal/>
    </border>
    <border>
      <left/>
      <right style="thick">
        <color indexed="64"/>
      </right>
      <top style="dashed">
        <color indexed="64"/>
      </top>
      <bottom style="dashed">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style="thick">
        <color indexed="64"/>
      </left>
      <right style="dashed">
        <color indexed="64"/>
      </right>
      <top/>
      <bottom/>
      <diagonal/>
    </border>
    <border>
      <left style="dashed">
        <color indexed="64"/>
      </left>
      <right style="dashed">
        <color indexed="64"/>
      </right>
      <top/>
      <bottom/>
      <diagonal/>
    </border>
    <border>
      <left style="dashed">
        <color indexed="64"/>
      </left>
      <right style="thick">
        <color indexed="64"/>
      </right>
      <top/>
      <bottom/>
      <diagonal/>
    </border>
  </borders>
  <cellStyleXfs count="6">
    <xf numFmtId="0" fontId="0" fillId="0" borderId="0"/>
    <xf numFmtId="43" fontId="1" fillId="0" borderId="0" applyFont="0" applyFill="0" applyBorder="0" applyAlignment="0" applyProtection="0"/>
    <xf numFmtId="0" fontId="6" fillId="0" borderId="0"/>
    <xf numFmtId="0" fontId="6" fillId="0" borderId="0"/>
    <xf numFmtId="0" fontId="7" fillId="0" borderId="0">
      <alignment vertical="top"/>
    </xf>
    <xf numFmtId="9" fontId="1" fillId="0" borderId="0" applyFont="0" applyFill="0" applyBorder="0" applyAlignment="0" applyProtection="0"/>
  </cellStyleXfs>
  <cellXfs count="539">
    <xf numFmtId="0" fontId="0" fillId="0" borderId="0" xfId="0"/>
    <xf numFmtId="0" fontId="6" fillId="0" borderId="0" xfId="2"/>
    <xf numFmtId="0" fontId="8" fillId="0" borderId="0" xfId="4" applyFont="1" applyAlignment="1">
      <alignment horizontal="center" vertical="center" wrapText="1"/>
    </xf>
    <xf numFmtId="0" fontId="6" fillId="0" borderId="0" xfId="2" applyAlignment="1">
      <alignment horizontal="center" vertical="center" wrapText="1"/>
    </xf>
    <xf numFmtId="3" fontId="6" fillId="0" borderId="0" xfId="4" applyNumberFormat="1" applyFont="1" applyAlignment="1">
      <alignment wrapText="1"/>
    </xf>
    <xf numFmtId="3" fontId="6" fillId="0" borderId="0" xfId="2" applyNumberFormat="1"/>
    <xf numFmtId="4" fontId="6" fillId="0" borderId="0" xfId="2" applyNumberFormat="1"/>
    <xf numFmtId="0" fontId="9" fillId="0" borderId="0" xfId="4" applyFont="1" applyAlignment="1">
      <alignment horizontal="center" vertical="center"/>
    </xf>
    <xf numFmtId="14" fontId="9" fillId="5" borderId="0" xfId="4" applyNumberFormat="1" applyFont="1" applyFill="1" applyAlignment="1">
      <alignment horizontal="center" vertical="center"/>
    </xf>
    <xf numFmtId="3" fontId="6" fillId="0" borderId="0" xfId="2" applyNumberFormat="1" applyAlignment="1">
      <alignment horizontal="center" vertical="center" wrapText="1"/>
    </xf>
    <xf numFmtId="3" fontId="10" fillId="6" borderId="5" xfId="0" applyNumberFormat="1" applyFont="1" applyFill="1" applyBorder="1" applyAlignment="1">
      <alignment horizontal="center" vertical="center" wrapText="1"/>
    </xf>
    <xf numFmtId="3" fontId="12" fillId="6" borderId="5" xfId="0" applyNumberFormat="1" applyFont="1" applyFill="1" applyBorder="1" applyAlignment="1">
      <alignment horizontal="center" vertical="center" wrapText="1"/>
    </xf>
    <xf numFmtId="49" fontId="10" fillId="6" borderId="8" xfId="0" applyNumberFormat="1" applyFont="1" applyFill="1" applyBorder="1" applyAlignment="1">
      <alignment horizontal="center" vertical="center"/>
    </xf>
    <xf numFmtId="3" fontId="10" fillId="6" borderId="8" xfId="0" applyNumberFormat="1" applyFont="1" applyFill="1" applyBorder="1" applyAlignment="1">
      <alignment horizontal="center" vertical="center" wrapText="1"/>
    </xf>
    <xf numFmtId="3" fontId="10" fillId="6" borderId="8" xfId="0" applyNumberFormat="1" applyFont="1" applyFill="1" applyBorder="1" applyAlignment="1">
      <alignment horizontal="center" vertical="center"/>
    </xf>
    <xf numFmtId="3" fontId="10" fillId="6" borderId="9" xfId="0" applyNumberFormat="1" applyFont="1" applyFill="1" applyBorder="1" applyAlignment="1">
      <alignment horizontal="center" vertical="center"/>
    </xf>
    <xf numFmtId="165" fontId="15" fillId="0" borderId="11" xfId="0" applyNumberFormat="1" applyFont="1" applyBorder="1" applyAlignment="1">
      <alignment horizontal="center" vertical="center"/>
    </xf>
    <xf numFmtId="3" fontId="5" fillId="0" borderId="11" xfId="0" applyNumberFormat="1" applyFont="1" applyBorder="1" applyAlignment="1" applyProtection="1">
      <alignment vertical="center" shrinkToFit="1"/>
      <protection locked="0"/>
    </xf>
    <xf numFmtId="3" fontId="16" fillId="0" borderId="11" xfId="0" applyNumberFormat="1" applyFont="1" applyBorder="1" applyAlignment="1">
      <alignment vertical="center" shrinkToFit="1"/>
    </xf>
    <xf numFmtId="165" fontId="15" fillId="2" borderId="11" xfId="0" applyNumberFormat="1" applyFont="1" applyFill="1" applyBorder="1" applyAlignment="1">
      <alignment horizontal="center" vertical="center"/>
    </xf>
    <xf numFmtId="3" fontId="16" fillId="2" borderId="11" xfId="0" applyNumberFormat="1" applyFont="1" applyFill="1" applyBorder="1" applyAlignment="1">
      <alignment vertical="center" shrinkToFit="1"/>
    </xf>
    <xf numFmtId="3" fontId="5" fillId="8" borderId="11" xfId="0" applyNumberFormat="1" applyFont="1" applyFill="1" applyBorder="1" applyAlignment="1">
      <alignment vertical="center" shrinkToFit="1"/>
    </xf>
    <xf numFmtId="165" fontId="15" fillId="2" borderId="12" xfId="0" applyNumberFormat="1" applyFont="1" applyFill="1" applyBorder="1" applyAlignment="1">
      <alignment horizontal="center" vertical="center"/>
    </xf>
    <xf numFmtId="3" fontId="16" fillId="2" borderId="12" xfId="0" applyNumberFormat="1" applyFont="1" applyFill="1" applyBorder="1" applyAlignment="1">
      <alignment vertical="center" shrinkToFit="1"/>
    </xf>
    <xf numFmtId="0" fontId="6" fillId="0" borderId="0" xfId="0" applyFont="1" applyAlignment="1">
      <alignment horizontal="left" vertical="top" wrapText="1"/>
    </xf>
    <xf numFmtId="0" fontId="6" fillId="0" borderId="0" xfId="0" applyFont="1" applyAlignment="1">
      <alignment horizontal="left" vertical="top"/>
    </xf>
    <xf numFmtId="0" fontId="0" fillId="4" borderId="0" xfId="0" applyFill="1" applyAlignment="1">
      <alignment horizontal="left"/>
    </xf>
    <xf numFmtId="0" fontId="6" fillId="4" borderId="0" xfId="0" applyFont="1" applyFill="1" applyAlignment="1">
      <alignment horizontal="left" vertical="top"/>
    </xf>
    <xf numFmtId="0" fontId="6" fillId="4" borderId="0" xfId="0" applyFont="1" applyFill="1" applyAlignment="1">
      <alignment horizontal="left" vertical="top" wrapText="1"/>
    </xf>
    <xf numFmtId="0" fontId="0" fillId="4" borderId="0" xfId="0" applyFill="1" applyAlignment="1">
      <alignment vertical="top"/>
    </xf>
    <xf numFmtId="0" fontId="17" fillId="4" borderId="0" xfId="0" applyFont="1" applyFill="1"/>
    <xf numFmtId="49" fontId="18" fillId="4" borderId="0" xfId="0" applyNumberFormat="1" applyFont="1" applyFill="1" applyAlignment="1">
      <alignment horizontal="center"/>
    </xf>
    <xf numFmtId="0" fontId="19" fillId="4" borderId="0" xfId="0" applyFont="1" applyFill="1"/>
    <xf numFmtId="0" fontId="20" fillId="4" borderId="0" xfId="0" applyFont="1" applyFill="1"/>
    <xf numFmtId="0" fontId="18" fillId="4" borderId="0" xfId="0" applyFont="1" applyFill="1"/>
    <xf numFmtId="0" fontId="18" fillId="4" borderId="0" xfId="0" applyFont="1" applyFill="1" applyAlignment="1">
      <alignment horizontal="center"/>
    </xf>
    <xf numFmtId="0" fontId="18" fillId="9" borderId="14" xfId="0" applyFont="1" applyFill="1" applyBorder="1" applyAlignment="1">
      <alignment vertical="center" wrapText="1"/>
    </xf>
    <xf numFmtId="49" fontId="18" fillId="9" borderId="15" xfId="0" applyNumberFormat="1" applyFont="1" applyFill="1" applyBorder="1" applyAlignment="1">
      <alignment horizontal="center" vertical="center" wrapText="1"/>
    </xf>
    <xf numFmtId="49" fontId="18" fillId="9" borderId="16" xfId="0" applyNumberFormat="1" applyFont="1" applyFill="1" applyBorder="1" applyAlignment="1">
      <alignment horizontal="center" vertical="center" wrapText="1"/>
    </xf>
    <xf numFmtId="0" fontId="18" fillId="9" borderId="17" xfId="0" applyFont="1" applyFill="1" applyBorder="1" applyAlignment="1">
      <alignment horizontal="center" vertical="center" wrapText="1"/>
    </xf>
    <xf numFmtId="0" fontId="21" fillId="2" borderId="18" xfId="0" applyFont="1" applyFill="1" applyBorder="1" applyAlignment="1">
      <alignment horizontal="left" vertical="center"/>
    </xf>
    <xf numFmtId="49" fontId="21" fillId="2" borderId="19" xfId="0" applyNumberFormat="1" applyFont="1" applyFill="1" applyBorder="1" applyAlignment="1">
      <alignment horizontal="center" vertical="center"/>
    </xf>
    <xf numFmtId="49" fontId="21" fillId="2" borderId="19" xfId="0" applyNumberFormat="1" applyFont="1" applyFill="1" applyBorder="1" applyAlignment="1">
      <alignment horizontal="center" vertical="center" wrapText="1"/>
    </xf>
    <xf numFmtId="3" fontId="21" fillId="2" borderId="19" xfId="0" applyNumberFormat="1" applyFont="1" applyFill="1" applyBorder="1" applyAlignment="1">
      <alignment horizontal="right" vertical="center"/>
    </xf>
    <xf numFmtId="0" fontId="22" fillId="2" borderId="20" xfId="0" applyFont="1" applyFill="1" applyBorder="1" applyAlignment="1">
      <alignment horizontal="left" vertical="center"/>
    </xf>
    <xf numFmtId="0" fontId="23" fillId="4" borderId="18" xfId="0" applyFont="1" applyFill="1" applyBorder="1" applyAlignment="1">
      <alignment horizontal="left" vertical="center"/>
    </xf>
    <xf numFmtId="49" fontId="23" fillId="4" borderId="19" xfId="0" applyNumberFormat="1" applyFont="1" applyFill="1" applyBorder="1" applyAlignment="1">
      <alignment horizontal="center" vertical="center"/>
    </xf>
    <xf numFmtId="3" fontId="23" fillId="4" borderId="19" xfId="0" applyNumberFormat="1" applyFont="1" applyFill="1" applyBorder="1" applyAlignment="1">
      <alignment horizontal="right" vertical="center"/>
    </xf>
    <xf numFmtId="0" fontId="23" fillId="4" borderId="20" xfId="0" applyFont="1" applyFill="1" applyBorder="1" applyAlignment="1">
      <alignment horizontal="left" vertical="center"/>
    </xf>
    <xf numFmtId="0" fontId="23" fillId="4" borderId="18" xfId="0" applyFont="1" applyFill="1" applyBorder="1" applyAlignment="1">
      <alignment horizontal="left" vertical="center" wrapText="1"/>
    </xf>
    <xf numFmtId="49" fontId="23" fillId="4" borderId="19" xfId="0" applyNumberFormat="1" applyFont="1" applyFill="1" applyBorder="1" applyAlignment="1">
      <alignment horizontal="center" vertical="center" wrapText="1"/>
    </xf>
    <xf numFmtId="3" fontId="23" fillId="0" borderId="19" xfId="0" applyNumberFormat="1" applyFont="1" applyBorder="1" applyAlignment="1">
      <alignment horizontal="right" vertical="center"/>
    </xf>
    <xf numFmtId="0" fontId="23" fillId="0" borderId="20" xfId="0" applyFont="1" applyBorder="1" applyAlignment="1">
      <alignment horizontal="left" vertical="center" wrapText="1"/>
    </xf>
    <xf numFmtId="0" fontId="23" fillId="4" borderId="20" xfId="0" applyFont="1" applyFill="1" applyBorder="1" applyAlignment="1">
      <alignment horizontal="left" vertical="center" wrapText="1"/>
    </xf>
    <xf numFmtId="0" fontId="23" fillId="0" borderId="18" xfId="0" applyFont="1" applyBorder="1" applyAlignment="1">
      <alignment horizontal="left" vertical="center"/>
    </xf>
    <xf numFmtId="49" fontId="23" fillId="0" borderId="19" xfId="0" applyNumberFormat="1" applyFont="1" applyBorder="1" applyAlignment="1">
      <alignment horizontal="center" vertical="center"/>
    </xf>
    <xf numFmtId="49" fontId="23" fillId="0" borderId="19" xfId="0" applyNumberFormat="1" applyFont="1" applyBorder="1" applyAlignment="1">
      <alignment horizontal="center" vertical="center" wrapText="1"/>
    </xf>
    <xf numFmtId="0" fontId="23" fillId="4" borderId="21" xfId="0" applyFont="1" applyFill="1" applyBorder="1" applyAlignment="1">
      <alignment horizontal="left" vertical="center"/>
    </xf>
    <xf numFmtId="49" fontId="18" fillId="4" borderId="22" xfId="0" applyNumberFormat="1" applyFont="1" applyFill="1" applyBorder="1" applyAlignment="1">
      <alignment horizontal="center" vertical="center"/>
    </xf>
    <xf numFmtId="3" fontId="23" fillId="4" borderId="22" xfId="0" applyNumberFormat="1" applyFont="1" applyFill="1" applyBorder="1" applyAlignment="1">
      <alignment horizontal="right" vertical="center"/>
    </xf>
    <xf numFmtId="0" fontId="23" fillId="4" borderId="22" xfId="0" applyFont="1" applyFill="1" applyBorder="1" applyAlignment="1">
      <alignment horizontal="right" vertical="center"/>
    </xf>
    <xf numFmtId="0" fontId="23" fillId="4" borderId="23" xfId="0" applyFont="1" applyFill="1" applyBorder="1" applyAlignment="1">
      <alignment wrapText="1"/>
    </xf>
    <xf numFmtId="3" fontId="21" fillId="2" borderId="24" xfId="0" applyNumberFormat="1" applyFont="1" applyFill="1" applyBorder="1" applyAlignment="1">
      <alignment horizontal="right" vertical="center"/>
    </xf>
    <xf numFmtId="0" fontId="21" fillId="2" borderId="20" xfId="0" applyFont="1" applyFill="1" applyBorder="1" applyAlignment="1">
      <alignment horizontal="left" vertical="center" wrapText="1"/>
    </xf>
    <xf numFmtId="0" fontId="23" fillId="0" borderId="25" xfId="0" applyFont="1" applyBorder="1" applyAlignment="1">
      <alignment vertical="center" wrapText="1"/>
    </xf>
    <xf numFmtId="0" fontId="23" fillId="0" borderId="18" xfId="0" applyFont="1" applyBorder="1" applyAlignment="1">
      <alignment horizontal="left" vertical="center" wrapText="1"/>
    </xf>
    <xf numFmtId="0" fontId="23" fillId="4" borderId="26" xfId="0" applyFont="1" applyFill="1" applyBorder="1" applyAlignment="1">
      <alignment wrapText="1"/>
    </xf>
    <xf numFmtId="0" fontId="21" fillId="2" borderId="21" xfId="0" applyFont="1" applyFill="1" applyBorder="1" applyAlignment="1">
      <alignment horizontal="left" vertical="center" wrapText="1"/>
    </xf>
    <xf numFmtId="49" fontId="21" fillId="2" borderId="27" xfId="0" applyNumberFormat="1" applyFont="1" applyFill="1" applyBorder="1" applyAlignment="1">
      <alignment horizontal="center" vertical="center" wrapText="1"/>
    </xf>
    <xf numFmtId="0" fontId="18" fillId="10" borderId="28" xfId="0" applyFont="1" applyFill="1" applyBorder="1" applyAlignment="1">
      <alignment horizontal="left" vertical="center"/>
    </xf>
    <xf numFmtId="49" fontId="18" fillId="10" borderId="29" xfId="0" applyNumberFormat="1" applyFont="1" applyFill="1" applyBorder="1" applyAlignment="1">
      <alignment horizontal="center" vertical="center"/>
    </xf>
    <xf numFmtId="49" fontId="18" fillId="10" borderId="30" xfId="0" applyNumberFormat="1" applyFont="1" applyFill="1" applyBorder="1" applyAlignment="1">
      <alignment horizontal="center" vertical="center"/>
    </xf>
    <xf numFmtId="3" fontId="18" fillId="10" borderId="30" xfId="0" applyNumberFormat="1" applyFont="1" applyFill="1" applyBorder="1" applyAlignment="1">
      <alignment horizontal="right" vertical="center"/>
    </xf>
    <xf numFmtId="3" fontId="18" fillId="10" borderId="31" xfId="0" applyNumberFormat="1" applyFont="1" applyFill="1" applyBorder="1" applyAlignment="1">
      <alignment horizontal="right" vertical="center"/>
    </xf>
    <xf numFmtId="0" fontId="23" fillId="4" borderId="32" xfId="0" applyFont="1" applyFill="1" applyBorder="1" applyAlignment="1">
      <alignment horizontal="left" vertical="center"/>
    </xf>
    <xf numFmtId="49" fontId="18" fillId="4" borderId="33" xfId="0" applyNumberFormat="1" applyFont="1" applyFill="1" applyBorder="1" applyAlignment="1">
      <alignment horizontal="center" vertical="center"/>
    </xf>
    <xf numFmtId="49" fontId="18" fillId="4" borderId="34" xfId="0" applyNumberFormat="1" applyFont="1" applyFill="1" applyBorder="1" applyAlignment="1">
      <alignment horizontal="center" vertical="center"/>
    </xf>
    <xf numFmtId="0" fontId="23" fillId="4" borderId="34" xfId="0" applyFont="1" applyFill="1" applyBorder="1" applyAlignment="1">
      <alignment horizontal="right" vertical="center"/>
    </xf>
    <xf numFmtId="0" fontId="23" fillId="4" borderId="35" xfId="0" applyFont="1" applyFill="1" applyBorder="1" applyAlignment="1">
      <alignment horizontal="left" vertical="center"/>
    </xf>
    <xf numFmtId="0" fontId="21" fillId="2" borderId="36" xfId="0" applyFont="1" applyFill="1" applyBorder="1" applyAlignment="1">
      <alignment vertical="center"/>
    </xf>
    <xf numFmtId="49" fontId="21" fillId="2" borderId="37" xfId="0" applyNumberFormat="1" applyFont="1" applyFill="1" applyBorder="1" applyAlignment="1">
      <alignment horizontal="center" vertical="center"/>
    </xf>
    <xf numFmtId="3" fontId="21" fillId="2" borderId="38" xfId="0" applyNumberFormat="1" applyFont="1" applyFill="1" applyBorder="1" applyAlignment="1">
      <alignment horizontal="right" vertical="center"/>
    </xf>
    <xf numFmtId="3" fontId="21" fillId="2" borderId="39" xfId="0" applyNumberFormat="1" applyFont="1" applyFill="1" applyBorder="1" applyAlignment="1">
      <alignment horizontal="right" vertical="center"/>
    </xf>
    <xf numFmtId="0" fontId="21" fillId="2" borderId="40" xfId="0" applyFont="1" applyFill="1" applyBorder="1" applyAlignment="1">
      <alignment horizontal="left" vertical="center" wrapText="1"/>
    </xf>
    <xf numFmtId="0" fontId="23" fillId="4" borderId="41" xfId="0" applyFont="1" applyFill="1" applyBorder="1" applyAlignment="1">
      <alignment horizontal="left" vertical="center"/>
    </xf>
    <xf numFmtId="0" fontId="23" fillId="4" borderId="27" xfId="0" applyFont="1" applyFill="1" applyBorder="1" applyAlignment="1">
      <alignment horizontal="left" vertical="center"/>
    </xf>
    <xf numFmtId="0" fontId="21" fillId="2" borderId="41" xfId="0" applyFont="1" applyFill="1" applyBorder="1" applyAlignment="1">
      <alignment horizontal="left" vertical="center" wrapText="1"/>
    </xf>
    <xf numFmtId="3" fontId="21" fillId="2" borderId="20" xfId="0" applyNumberFormat="1" applyFont="1" applyFill="1" applyBorder="1" applyAlignment="1">
      <alignment horizontal="left" vertical="top" wrapText="1"/>
    </xf>
    <xf numFmtId="0" fontId="23" fillId="4" borderId="42" xfId="0" applyFont="1" applyFill="1" applyBorder="1" applyAlignment="1">
      <alignment horizontal="left" vertical="center"/>
    </xf>
    <xf numFmtId="0" fontId="21" fillId="2" borderId="20" xfId="0" applyFont="1" applyFill="1" applyBorder="1" applyAlignment="1">
      <alignment vertical="center" wrapText="1"/>
    </xf>
    <xf numFmtId="0" fontId="23" fillId="4" borderId="43" xfId="0" applyFont="1" applyFill="1" applyBorder="1" applyAlignment="1">
      <alignment horizontal="left" vertical="center" wrapText="1"/>
    </xf>
    <xf numFmtId="0" fontId="23" fillId="0" borderId="20" xfId="0" applyFont="1" applyBorder="1" applyAlignment="1">
      <alignment horizontal="left" vertical="center"/>
    </xf>
    <xf numFmtId="0" fontId="23" fillId="4" borderId="41" xfId="0" applyFont="1" applyFill="1" applyBorder="1" applyAlignment="1">
      <alignment horizontal="left" vertical="center" wrapText="1"/>
    </xf>
    <xf numFmtId="0" fontId="3" fillId="0" borderId="20" xfId="0" applyFont="1" applyBorder="1" applyAlignment="1">
      <alignment horizontal="left" vertical="center" wrapText="1"/>
    </xf>
    <xf numFmtId="0" fontId="23" fillId="4" borderId="21" xfId="0" applyFont="1" applyFill="1" applyBorder="1" applyAlignment="1">
      <alignment horizontal="left" vertical="center" wrapText="1"/>
    </xf>
    <xf numFmtId="0" fontId="25" fillId="0" borderId="0" xfId="0" quotePrefix="1" applyFont="1" applyAlignment="1">
      <alignment vertical="center"/>
    </xf>
    <xf numFmtId="0" fontId="25" fillId="0" borderId="0" xfId="0" quotePrefix="1" applyFont="1" applyAlignment="1">
      <alignment horizontal="left" vertical="center"/>
    </xf>
    <xf numFmtId="0" fontId="18" fillId="10" borderId="44" xfId="0" applyFont="1" applyFill="1" applyBorder="1" applyAlignment="1">
      <alignment horizontal="left" vertical="center"/>
    </xf>
    <xf numFmtId="49" fontId="18" fillId="10" borderId="45" xfId="0" applyNumberFormat="1" applyFont="1" applyFill="1" applyBorder="1" applyAlignment="1">
      <alignment horizontal="center" vertical="center"/>
    </xf>
    <xf numFmtId="3" fontId="18" fillId="10" borderId="45" xfId="0" applyNumberFormat="1" applyFont="1" applyFill="1" applyBorder="1" applyAlignment="1">
      <alignment horizontal="right" vertical="center"/>
    </xf>
    <xf numFmtId="3" fontId="18" fillId="10" borderId="46" xfId="0" applyNumberFormat="1" applyFont="1" applyFill="1" applyBorder="1" applyAlignment="1">
      <alignment horizontal="right" vertical="center"/>
    </xf>
    <xf numFmtId="0" fontId="0" fillId="4" borderId="0" xfId="0" applyFill="1"/>
    <xf numFmtId="3" fontId="0" fillId="4" borderId="0" xfId="0" applyNumberFormat="1" applyFill="1"/>
    <xf numFmtId="49" fontId="18" fillId="4" borderId="0" xfId="0" applyNumberFormat="1" applyFont="1" applyFill="1" applyAlignment="1">
      <alignment horizontal="center" vertical="center"/>
    </xf>
    <xf numFmtId="49" fontId="18" fillId="4" borderId="0" xfId="0" applyNumberFormat="1" applyFont="1" applyFill="1" applyAlignment="1">
      <alignment horizontal="center" vertical="center" wrapText="1"/>
    </xf>
    <xf numFmtId="0" fontId="23" fillId="4" borderId="0" xfId="0" applyFont="1" applyFill="1"/>
    <xf numFmtId="0" fontId="26" fillId="4" borderId="0" xfId="0" applyFont="1" applyFill="1"/>
    <xf numFmtId="49" fontId="27" fillId="4" borderId="0" xfId="0" applyNumberFormat="1" applyFont="1" applyFill="1" applyAlignment="1">
      <alignment horizontal="center" vertical="center"/>
    </xf>
    <xf numFmtId="49" fontId="27" fillId="4" borderId="0" xfId="0" applyNumberFormat="1" applyFont="1" applyFill="1" applyAlignment="1">
      <alignment horizontal="center" vertical="center" wrapText="1"/>
    </xf>
    <xf numFmtId="3" fontId="18" fillId="4" borderId="0" xfId="0" applyNumberFormat="1" applyFont="1" applyFill="1" applyAlignment="1">
      <alignment horizontal="center"/>
    </xf>
    <xf numFmtId="3" fontId="28" fillId="4" borderId="0" xfId="0" applyNumberFormat="1" applyFont="1" applyFill="1" applyAlignment="1">
      <alignment horizontal="center"/>
    </xf>
    <xf numFmtId="0" fontId="28" fillId="4" borderId="0" xfId="0" applyFont="1" applyFill="1" applyAlignment="1">
      <alignment vertical="center"/>
    </xf>
    <xf numFmtId="0" fontId="18" fillId="9" borderId="47" xfId="0" applyFont="1" applyFill="1" applyBorder="1" applyAlignment="1">
      <alignment vertical="center" wrapText="1"/>
    </xf>
    <xf numFmtId="49" fontId="18" fillId="9" borderId="48" xfId="0" applyNumberFormat="1" applyFont="1" applyFill="1" applyBorder="1" applyAlignment="1">
      <alignment horizontal="center" vertical="center" wrapText="1"/>
    </xf>
    <xf numFmtId="3" fontId="18" fillId="9" borderId="48" xfId="0" applyNumberFormat="1" applyFont="1" applyFill="1" applyBorder="1" applyAlignment="1">
      <alignment horizontal="center" vertical="center" wrapText="1"/>
    </xf>
    <xf numFmtId="0" fontId="18" fillId="9" borderId="49" xfId="0" applyFont="1" applyFill="1" applyBorder="1" applyAlignment="1">
      <alignment horizontal="center" vertical="center"/>
    </xf>
    <xf numFmtId="0" fontId="21" fillId="2" borderId="50" xfId="0" applyFont="1" applyFill="1" applyBorder="1" applyAlignment="1">
      <alignment vertical="center" wrapText="1"/>
    </xf>
    <xf numFmtId="49" fontId="21" fillId="2" borderId="51" xfId="0" applyNumberFormat="1" applyFont="1" applyFill="1" applyBorder="1" applyAlignment="1">
      <alignment horizontal="center" vertical="center"/>
    </xf>
    <xf numFmtId="49" fontId="21" fillId="2" borderId="51" xfId="0" applyNumberFormat="1" applyFont="1" applyFill="1" applyBorder="1" applyAlignment="1">
      <alignment horizontal="center" vertical="center" wrapText="1"/>
    </xf>
    <xf numFmtId="3" fontId="21" fillId="2" borderId="51" xfId="0" applyNumberFormat="1" applyFont="1" applyFill="1" applyBorder="1" applyAlignment="1">
      <alignment horizontal="right" vertical="center"/>
    </xf>
    <xf numFmtId="0" fontId="22" fillId="2" borderId="52" xfId="0" applyFont="1" applyFill="1" applyBorder="1" applyAlignment="1">
      <alignment horizontal="left" vertical="center"/>
    </xf>
    <xf numFmtId="49" fontId="18" fillId="4" borderId="22" xfId="0" applyNumberFormat="1" applyFont="1" applyFill="1" applyBorder="1" applyAlignment="1">
      <alignment horizontal="center" vertical="center" wrapText="1"/>
    </xf>
    <xf numFmtId="0" fontId="23" fillId="4" borderId="26" xfId="0" applyFont="1" applyFill="1" applyBorder="1" applyAlignment="1">
      <alignment horizontal="left" vertical="center"/>
    </xf>
    <xf numFmtId="0" fontId="21" fillId="2" borderId="41" xfId="0" applyFont="1" applyFill="1" applyBorder="1" applyAlignment="1">
      <alignment horizontal="left" vertical="center"/>
    </xf>
    <xf numFmtId="0" fontId="3" fillId="4" borderId="20" xfId="0" applyFont="1" applyFill="1" applyBorder="1" applyAlignment="1">
      <alignment horizontal="left" vertical="center" wrapText="1"/>
    </xf>
    <xf numFmtId="3" fontId="0" fillId="0" borderId="0" xfId="0" applyNumberFormat="1"/>
    <xf numFmtId="0" fontId="21" fillId="0" borderId="41" xfId="0" applyFont="1" applyBorder="1" applyAlignment="1">
      <alignment horizontal="left" vertical="center"/>
    </xf>
    <xf numFmtId="49" fontId="21" fillId="0" borderId="19" xfId="0" applyNumberFormat="1" applyFont="1" applyBorder="1" applyAlignment="1">
      <alignment horizontal="center" vertical="center"/>
    </xf>
    <xf numFmtId="49" fontId="21" fillId="0" borderId="19" xfId="0" applyNumberFormat="1" applyFont="1" applyBorder="1" applyAlignment="1">
      <alignment horizontal="center" vertical="center" wrapText="1"/>
    </xf>
    <xf numFmtId="3" fontId="21" fillId="0" borderId="19" xfId="0" applyNumberFormat="1" applyFont="1" applyBorder="1" applyAlignment="1">
      <alignment horizontal="right" vertical="center"/>
    </xf>
    <xf numFmtId="0" fontId="21" fillId="0" borderId="20" xfId="0" applyFont="1" applyBorder="1" applyAlignment="1">
      <alignment horizontal="left" vertical="center" wrapText="1"/>
    </xf>
    <xf numFmtId="0" fontId="21" fillId="0" borderId="41" xfId="0" applyFont="1" applyBorder="1" applyAlignment="1">
      <alignment horizontal="left" vertical="center" wrapText="1"/>
    </xf>
    <xf numFmtId="0" fontId="18" fillId="4" borderId="42" xfId="0" applyFont="1" applyFill="1" applyBorder="1" applyAlignment="1">
      <alignment horizontal="left" vertical="center"/>
    </xf>
    <xf numFmtId="3" fontId="21" fillId="4" borderId="22" xfId="0" applyNumberFormat="1" applyFont="1" applyFill="1" applyBorder="1" applyAlignment="1">
      <alignment horizontal="right" vertical="center"/>
    </xf>
    <xf numFmtId="0" fontId="18" fillId="4" borderId="22" xfId="0" applyFont="1" applyFill="1" applyBorder="1" applyAlignment="1">
      <alignment horizontal="right" vertical="center"/>
    </xf>
    <xf numFmtId="0" fontId="18" fillId="4" borderId="26" xfId="0" applyFont="1" applyFill="1" applyBorder="1" applyAlignment="1">
      <alignment horizontal="left" vertical="center"/>
    </xf>
    <xf numFmtId="0" fontId="21" fillId="2" borderId="20" xfId="0" applyFont="1" applyFill="1" applyBorder="1" applyAlignment="1">
      <alignment horizontal="left" vertical="center"/>
    </xf>
    <xf numFmtId="3" fontId="22" fillId="4" borderId="22" xfId="0" applyNumberFormat="1" applyFont="1" applyFill="1" applyBorder="1" applyAlignment="1">
      <alignment horizontal="right" vertical="center"/>
    </xf>
    <xf numFmtId="0" fontId="21" fillId="2" borderId="44" xfId="0" applyFont="1" applyFill="1" applyBorder="1" applyAlignment="1">
      <alignment horizontal="left" vertical="center"/>
    </xf>
    <xf numFmtId="49" fontId="21" fillId="2" borderId="45" xfId="0" applyNumberFormat="1" applyFont="1" applyFill="1" applyBorder="1" applyAlignment="1">
      <alignment horizontal="center" vertical="center"/>
    </xf>
    <xf numFmtId="49" fontId="21" fillId="2" borderId="45" xfId="0" applyNumberFormat="1" applyFont="1" applyFill="1" applyBorder="1" applyAlignment="1">
      <alignment horizontal="center" vertical="center" wrapText="1"/>
    </xf>
    <xf numFmtId="3" fontId="21" fillId="2" borderId="45" xfId="0" applyNumberFormat="1" applyFont="1" applyFill="1" applyBorder="1" applyAlignment="1">
      <alignment horizontal="right" vertical="center"/>
    </xf>
    <xf numFmtId="0" fontId="22" fillId="2" borderId="46" xfId="0" applyFont="1" applyFill="1" applyBorder="1" applyAlignment="1">
      <alignment horizontal="left" vertical="center"/>
    </xf>
    <xf numFmtId="0" fontId="18" fillId="9" borderId="53" xfId="0" applyFont="1" applyFill="1" applyBorder="1" applyAlignment="1">
      <alignment vertical="center" wrapText="1"/>
    </xf>
    <xf numFmtId="49" fontId="18" fillId="9" borderId="54" xfId="0" applyNumberFormat="1" applyFont="1" applyFill="1" applyBorder="1" applyAlignment="1">
      <alignment horizontal="center" vertical="center" wrapText="1"/>
    </xf>
    <xf numFmtId="0" fontId="21" fillId="2" borderId="21" xfId="0" applyFont="1" applyFill="1" applyBorder="1" applyAlignment="1">
      <alignment horizontal="left" vertical="center"/>
    </xf>
    <xf numFmtId="49" fontId="21" fillId="2"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xf>
    <xf numFmtId="49" fontId="23" fillId="4" borderId="27" xfId="0" applyNumberFormat="1" applyFont="1" applyFill="1" applyBorder="1" applyAlignment="1">
      <alignment horizontal="center" vertical="center" wrapText="1"/>
    </xf>
    <xf numFmtId="0" fontId="21" fillId="2" borderId="55" xfId="0" applyFont="1" applyFill="1" applyBorder="1" applyAlignment="1">
      <alignment horizontal="left" vertical="center"/>
    </xf>
    <xf numFmtId="49" fontId="21" fillId="2" borderId="38" xfId="0" applyNumberFormat="1" applyFont="1" applyFill="1" applyBorder="1" applyAlignment="1">
      <alignment horizontal="center" vertical="center"/>
    </xf>
    <xf numFmtId="49" fontId="21" fillId="2" borderId="39" xfId="0" applyNumberFormat="1" applyFont="1" applyFill="1" applyBorder="1" applyAlignment="1">
      <alignment horizontal="center" vertical="center"/>
    </xf>
    <xf numFmtId="0" fontId="23" fillId="0" borderId="26" xfId="0" applyFont="1" applyBorder="1" applyAlignment="1">
      <alignment horizontal="left" vertical="center"/>
    </xf>
    <xf numFmtId="0" fontId="3" fillId="4" borderId="21" xfId="0" applyFont="1" applyFill="1" applyBorder="1" applyAlignment="1">
      <alignment horizontal="left" vertical="center" wrapText="1"/>
    </xf>
    <xf numFmtId="0" fontId="18" fillId="10" borderId="56" xfId="0" applyFont="1" applyFill="1" applyBorder="1" applyAlignment="1">
      <alignment horizontal="left" vertical="center"/>
    </xf>
    <xf numFmtId="49" fontId="18" fillId="10" borderId="44" xfId="0" applyNumberFormat="1" applyFont="1" applyFill="1" applyBorder="1" applyAlignment="1">
      <alignment horizontal="center" vertical="center"/>
    </xf>
    <xf numFmtId="0" fontId="26" fillId="4" borderId="57" xfId="0" applyFont="1" applyFill="1" applyBorder="1"/>
    <xf numFmtId="49" fontId="27" fillId="4" borderId="57" xfId="0" applyNumberFormat="1" applyFont="1" applyFill="1" applyBorder="1" applyAlignment="1">
      <alignment horizontal="center" vertical="center"/>
    </xf>
    <xf numFmtId="49" fontId="27" fillId="4" borderId="57" xfId="0" applyNumberFormat="1" applyFont="1" applyFill="1" applyBorder="1" applyAlignment="1">
      <alignment horizontal="center" vertical="center" wrapText="1"/>
    </xf>
    <xf numFmtId="3" fontId="18" fillId="4" borderId="57" xfId="0" applyNumberFormat="1" applyFont="1" applyFill="1" applyBorder="1" applyAlignment="1">
      <alignment horizontal="center"/>
    </xf>
    <xf numFmtId="3" fontId="28" fillId="4" borderId="57" xfId="0" applyNumberFormat="1" applyFont="1" applyFill="1" applyBorder="1" applyAlignment="1">
      <alignment horizontal="center"/>
    </xf>
    <xf numFmtId="0" fontId="28" fillId="4" borderId="57" xfId="0" applyFont="1" applyFill="1" applyBorder="1" applyAlignment="1">
      <alignment vertical="center"/>
    </xf>
    <xf numFmtId="0" fontId="18" fillId="9" borderId="58" xfId="0" applyFont="1" applyFill="1" applyBorder="1" applyAlignment="1">
      <alignment vertical="center" wrapText="1"/>
    </xf>
    <xf numFmtId="49" fontId="18" fillId="9" borderId="59" xfId="0" applyNumberFormat="1" applyFont="1" applyFill="1" applyBorder="1" applyAlignment="1">
      <alignment horizontal="center" vertical="center" wrapText="1"/>
    </xf>
    <xf numFmtId="3" fontId="18" fillId="9" borderId="59" xfId="0" applyNumberFormat="1" applyFont="1" applyFill="1" applyBorder="1" applyAlignment="1">
      <alignment horizontal="center" vertical="center" wrapText="1"/>
    </xf>
    <xf numFmtId="0" fontId="18" fillId="9" borderId="60" xfId="0" applyFont="1" applyFill="1" applyBorder="1" applyAlignment="1">
      <alignment horizontal="center" vertical="center"/>
    </xf>
    <xf numFmtId="0" fontId="21" fillId="2" borderId="61" xfId="0" applyFont="1" applyFill="1" applyBorder="1" applyAlignment="1">
      <alignment vertical="center" wrapText="1"/>
    </xf>
    <xf numFmtId="0" fontId="22" fillId="2" borderId="62" xfId="0" applyFont="1" applyFill="1" applyBorder="1" applyAlignment="1">
      <alignment horizontal="left" vertical="center"/>
    </xf>
    <xf numFmtId="0" fontId="23" fillId="0" borderId="43" xfId="0" applyFont="1" applyBorder="1" applyAlignment="1">
      <alignment horizontal="left" vertical="center"/>
    </xf>
    <xf numFmtId="0" fontId="23" fillId="0" borderId="43" xfId="0" applyFont="1" applyBorder="1" applyAlignment="1">
      <alignment horizontal="left" vertical="center" wrapText="1"/>
    </xf>
    <xf numFmtId="0" fontId="23" fillId="4" borderId="63" xfId="0" applyFont="1" applyFill="1" applyBorder="1" applyAlignment="1">
      <alignment horizontal="left" vertical="center"/>
    </xf>
    <xf numFmtId="0" fontId="23" fillId="4" borderId="64" xfId="0" applyFont="1" applyFill="1" applyBorder="1" applyAlignment="1">
      <alignment horizontal="left" vertical="center"/>
    </xf>
    <xf numFmtId="0" fontId="21" fillId="2" borderId="43" xfId="0" applyFont="1" applyFill="1" applyBorder="1" applyAlignment="1">
      <alignment horizontal="left" vertical="center" wrapText="1"/>
    </xf>
    <xf numFmtId="3" fontId="18" fillId="4" borderId="22" xfId="0" applyNumberFormat="1" applyFont="1" applyFill="1" applyBorder="1" applyAlignment="1">
      <alignment horizontal="right" vertical="center"/>
    </xf>
    <xf numFmtId="0" fontId="18" fillId="4" borderId="64" xfId="0" applyFont="1" applyFill="1" applyBorder="1" applyAlignment="1">
      <alignment horizontal="left" vertical="center"/>
    </xf>
    <xf numFmtId="0" fontId="21" fillId="2" borderId="43" xfId="0" applyFont="1" applyFill="1" applyBorder="1" applyAlignment="1">
      <alignment horizontal="left" vertical="center"/>
    </xf>
    <xf numFmtId="0" fontId="22" fillId="2" borderId="43" xfId="0" applyFont="1" applyFill="1" applyBorder="1" applyAlignment="1">
      <alignment horizontal="left" vertical="center"/>
    </xf>
    <xf numFmtId="49" fontId="21" fillId="2" borderId="30" xfId="0" applyNumberFormat="1" applyFont="1" applyFill="1" applyBorder="1" applyAlignment="1">
      <alignment horizontal="center" vertical="center" wrapText="1"/>
    </xf>
    <xf numFmtId="3" fontId="21" fillId="2" borderId="30" xfId="0" applyNumberFormat="1" applyFont="1" applyFill="1" applyBorder="1" applyAlignment="1">
      <alignment horizontal="right" vertical="center"/>
    </xf>
    <xf numFmtId="0" fontId="22" fillId="2" borderId="65" xfId="0" applyFont="1" applyFill="1" applyBorder="1" applyAlignment="1">
      <alignment horizontal="left" vertical="center"/>
    </xf>
    <xf numFmtId="0" fontId="18" fillId="9" borderId="66" xfId="0" applyFont="1" applyFill="1" applyBorder="1" applyAlignment="1">
      <alignment horizontal="left" vertical="center" wrapText="1"/>
    </xf>
    <xf numFmtId="0" fontId="18" fillId="9" borderId="67" xfId="0" applyFont="1" applyFill="1" applyBorder="1" applyAlignment="1">
      <alignment horizontal="center" vertical="center" wrapText="1"/>
    </xf>
    <xf numFmtId="0" fontId="4" fillId="2" borderId="0" xfId="0" applyFont="1" applyFill="1" applyAlignment="1">
      <alignment horizontal="left" vertical="center" wrapText="1"/>
    </xf>
    <xf numFmtId="0" fontId="21" fillId="2" borderId="62"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2" fillId="2" borderId="69" xfId="0" applyFont="1" applyFill="1" applyBorder="1" applyAlignment="1">
      <alignment vertical="center" wrapText="1"/>
    </xf>
    <xf numFmtId="49" fontId="2" fillId="2" borderId="70" xfId="0" applyNumberFormat="1" applyFont="1" applyFill="1" applyBorder="1" applyAlignment="1">
      <alignment horizontal="center" vertical="center" wrapText="1"/>
    </xf>
    <xf numFmtId="0" fontId="2" fillId="2" borderId="70" xfId="0" applyFont="1" applyFill="1" applyBorder="1" applyAlignment="1">
      <alignment horizontal="center" vertical="center" wrapText="1"/>
    </xf>
    <xf numFmtId="3" fontId="21" fillId="2" borderId="70" xfId="0" applyNumberFormat="1" applyFont="1" applyFill="1" applyBorder="1" applyAlignment="1">
      <alignment vertical="center" wrapText="1"/>
    </xf>
    <xf numFmtId="3" fontId="2" fillId="2" borderId="70" xfId="0" applyNumberFormat="1" applyFont="1" applyFill="1" applyBorder="1" applyAlignment="1">
      <alignment vertical="center" wrapText="1"/>
    </xf>
    <xf numFmtId="0" fontId="21" fillId="2" borderId="70" xfId="0" applyFont="1" applyFill="1" applyBorder="1" applyAlignment="1">
      <alignment vertical="center" wrapText="1"/>
    </xf>
    <xf numFmtId="0" fontId="2" fillId="2" borderId="70" xfId="0" applyFont="1" applyFill="1" applyBorder="1" applyAlignment="1">
      <alignment vertical="center" wrapText="1"/>
    </xf>
    <xf numFmtId="166" fontId="6" fillId="0" borderId="0" xfId="1" applyNumberFormat="1" applyFont="1"/>
    <xf numFmtId="0" fontId="6" fillId="0" borderId="0" xfId="0" applyFont="1"/>
    <xf numFmtId="0" fontId="6" fillId="4" borderId="85" xfId="0" applyFont="1" applyFill="1" applyBorder="1" applyAlignment="1">
      <alignment horizontal="left" vertical="center" wrapText="1"/>
    </xf>
    <xf numFmtId="0" fontId="9" fillId="0" borderId="0" xfId="0" applyFont="1"/>
    <xf numFmtId="3" fontId="6" fillId="0" borderId="0" xfId="0" applyNumberFormat="1" applyFont="1"/>
    <xf numFmtId="4" fontId="6" fillId="0" borderId="0" xfId="0" applyNumberFormat="1" applyFont="1"/>
    <xf numFmtId="0" fontId="6" fillId="0" borderId="86" xfId="0" applyFont="1" applyBorder="1"/>
    <xf numFmtId="0" fontId="37" fillId="0" borderId="0" xfId="0" applyFont="1"/>
    <xf numFmtId="0" fontId="37" fillId="0" borderId="0" xfId="0" applyFont="1" applyAlignment="1">
      <alignment horizontal="left"/>
    </xf>
    <xf numFmtId="0" fontId="6" fillId="0" borderId="0" xfId="0" applyFont="1" applyAlignment="1">
      <alignment wrapText="1"/>
    </xf>
    <xf numFmtId="164" fontId="35" fillId="17" borderId="76" xfId="0" applyNumberFormat="1" applyFont="1" applyFill="1" applyBorder="1" applyAlignment="1">
      <alignment horizontal="center" vertical="top"/>
    </xf>
    <xf numFmtId="164" fontId="35" fillId="15" borderId="76" xfId="0" applyNumberFormat="1" applyFont="1" applyFill="1" applyBorder="1" applyAlignment="1">
      <alignment horizontal="center" vertical="top"/>
    </xf>
    <xf numFmtId="0" fontId="32" fillId="0" borderId="87" xfId="0" applyFont="1" applyBorder="1" applyAlignment="1">
      <alignment horizontal="left" vertical="top" wrapText="1"/>
    </xf>
    <xf numFmtId="0" fontId="34" fillId="0" borderId="80" xfId="0" applyFont="1" applyBorder="1" applyAlignment="1">
      <alignment horizontal="left" vertical="top" wrapText="1"/>
    </xf>
    <xf numFmtId="0" fontId="32" fillId="0" borderId="80" xfId="0" applyFont="1" applyBorder="1" applyAlignment="1">
      <alignment horizontal="left" vertical="top" wrapText="1"/>
    </xf>
    <xf numFmtId="0" fontId="31" fillId="0" borderId="80" xfId="0" applyFont="1" applyBorder="1" applyAlignment="1">
      <alignment horizontal="left" vertical="top" wrapText="1"/>
    </xf>
    <xf numFmtId="0" fontId="30" fillId="0" borderId="0" xfId="0" applyFont="1" applyAlignment="1">
      <alignment vertical="top" wrapText="1"/>
    </xf>
    <xf numFmtId="0" fontId="32" fillId="0" borderId="0" xfId="2" applyFont="1" applyAlignment="1">
      <alignment vertical="top" wrapText="1"/>
    </xf>
    <xf numFmtId="164" fontId="33" fillId="4" borderId="88" xfId="0" applyNumberFormat="1" applyFont="1" applyFill="1" applyBorder="1" applyAlignment="1">
      <alignment horizontal="center" vertical="top" wrapText="1"/>
    </xf>
    <xf numFmtId="166" fontId="32" fillId="0" borderId="88" xfId="1" applyNumberFormat="1" applyFont="1" applyBorder="1" applyAlignment="1">
      <alignment vertical="top" wrapText="1"/>
    </xf>
    <xf numFmtId="166" fontId="32" fillId="0" borderId="89" xfId="1" applyNumberFormat="1" applyFont="1" applyBorder="1" applyAlignment="1">
      <alignment vertical="top" wrapText="1"/>
    </xf>
    <xf numFmtId="166" fontId="32" fillId="0" borderId="76" xfId="1" applyNumberFormat="1" applyFont="1" applyBorder="1" applyAlignment="1">
      <alignment vertical="top" wrapText="1"/>
    </xf>
    <xf numFmtId="166" fontId="32" fillId="0" borderId="81" xfId="1" applyNumberFormat="1" applyFont="1" applyBorder="1" applyAlignment="1">
      <alignment vertical="top" wrapText="1"/>
    </xf>
    <xf numFmtId="164" fontId="33" fillId="4" borderId="76" xfId="0" applyNumberFormat="1" applyFont="1" applyFill="1" applyBorder="1" applyAlignment="1">
      <alignment horizontal="center" vertical="top" wrapText="1"/>
    </xf>
    <xf numFmtId="0" fontId="38" fillId="19" borderId="90" xfId="0" applyFont="1" applyFill="1" applyBorder="1" applyAlignment="1">
      <alignment horizontal="left" vertical="top" wrapText="1"/>
    </xf>
    <xf numFmtId="164" fontId="38" fillId="19" borderId="77" xfId="0" applyNumberFormat="1" applyFont="1" applyFill="1" applyBorder="1" applyAlignment="1">
      <alignment horizontal="center" vertical="top" wrapText="1"/>
    </xf>
    <xf numFmtId="166" fontId="38" fillId="19" borderId="77" xfId="1" applyNumberFormat="1" applyFont="1" applyFill="1" applyBorder="1" applyAlignment="1">
      <alignment vertical="top" wrapText="1"/>
    </xf>
    <xf numFmtId="166" fontId="38" fillId="19" borderId="91" xfId="1" applyNumberFormat="1" applyFont="1" applyFill="1" applyBorder="1" applyAlignment="1">
      <alignment vertical="top" wrapText="1"/>
    </xf>
    <xf numFmtId="0" fontId="38" fillId="19" borderId="80" xfId="0" applyFont="1" applyFill="1" applyBorder="1" applyAlignment="1">
      <alignment horizontal="left" vertical="top" wrapText="1"/>
    </xf>
    <xf numFmtId="164" fontId="38" fillId="19" borderId="76" xfId="0" applyNumberFormat="1" applyFont="1" applyFill="1" applyBorder="1" applyAlignment="1">
      <alignment horizontal="center" vertical="top" wrapText="1"/>
    </xf>
    <xf numFmtId="166" fontId="39" fillId="19" borderId="76" xfId="1" applyNumberFormat="1" applyFont="1" applyFill="1" applyBorder="1" applyAlignment="1">
      <alignment vertical="top" wrapText="1"/>
    </xf>
    <xf numFmtId="166" fontId="39" fillId="19" borderId="81" xfId="1" applyNumberFormat="1" applyFont="1" applyFill="1" applyBorder="1" applyAlignment="1">
      <alignment vertical="top" wrapText="1"/>
    </xf>
    <xf numFmtId="0" fontId="38" fillId="15" borderId="82" xfId="0" applyFont="1" applyFill="1" applyBorder="1" applyAlignment="1">
      <alignment horizontal="left" vertical="top" wrapText="1"/>
    </xf>
    <xf numFmtId="164" fontId="38" fillId="15" borderId="83" xfId="0" applyNumberFormat="1" applyFont="1" applyFill="1" applyBorder="1" applyAlignment="1">
      <alignment horizontal="center" vertical="top" wrapText="1"/>
    </xf>
    <xf numFmtId="166" fontId="39" fillId="15" borderId="83" xfId="1" applyNumberFormat="1" applyFont="1" applyFill="1" applyBorder="1" applyAlignment="1">
      <alignment vertical="top" wrapText="1"/>
    </xf>
    <xf numFmtId="166" fontId="39" fillId="15" borderId="84" xfId="1" applyNumberFormat="1" applyFont="1" applyFill="1" applyBorder="1" applyAlignment="1">
      <alignment vertical="top" wrapText="1"/>
    </xf>
    <xf numFmtId="0" fontId="38" fillId="14" borderId="80" xfId="0" applyFont="1" applyFill="1" applyBorder="1" applyAlignment="1">
      <alignment horizontal="left" vertical="top" wrapText="1"/>
    </xf>
    <xf numFmtId="164" fontId="38" fillId="14" borderId="76" xfId="0" applyNumberFormat="1" applyFont="1" applyFill="1" applyBorder="1" applyAlignment="1">
      <alignment horizontal="center" vertical="top" wrapText="1"/>
    </xf>
    <xf numFmtId="166" fontId="39" fillId="14" borderId="76" xfId="1" applyNumberFormat="1" applyFont="1" applyFill="1" applyBorder="1" applyAlignment="1">
      <alignment vertical="top" wrapText="1"/>
    </xf>
    <xf numFmtId="166" fontId="39" fillId="14" borderId="81" xfId="1" applyNumberFormat="1" applyFont="1" applyFill="1" applyBorder="1" applyAlignment="1">
      <alignment vertical="top" wrapText="1"/>
    </xf>
    <xf numFmtId="0" fontId="41" fillId="12" borderId="72" xfId="0" applyFont="1" applyFill="1" applyBorder="1" applyAlignment="1">
      <alignment horizontal="center" vertical="top" wrapText="1"/>
    </xf>
    <xf numFmtId="0" fontId="41" fillId="12" borderId="71" xfId="0" applyFont="1" applyFill="1" applyBorder="1" applyAlignment="1">
      <alignment horizontal="center" vertical="top" wrapText="1"/>
    </xf>
    <xf numFmtId="0" fontId="41" fillId="0" borderId="0" xfId="0" applyFont="1" applyAlignment="1">
      <alignment vertical="top" wrapText="1"/>
    </xf>
    <xf numFmtId="0" fontId="42" fillId="12" borderId="71" xfId="0" applyFont="1" applyFill="1" applyBorder="1" applyAlignment="1">
      <alignment horizontal="center"/>
    </xf>
    <xf numFmtId="166" fontId="35" fillId="15" borderId="76" xfId="1" applyNumberFormat="1" applyFont="1" applyFill="1" applyBorder="1" applyAlignment="1">
      <alignment vertical="top"/>
    </xf>
    <xf numFmtId="166" fontId="35" fillId="15" borderId="81" xfId="1" applyNumberFormat="1" applyFont="1" applyFill="1" applyBorder="1" applyAlignment="1">
      <alignment vertical="top"/>
    </xf>
    <xf numFmtId="0" fontId="43" fillId="12" borderId="71" xfId="0" applyFont="1" applyFill="1" applyBorder="1" applyAlignment="1">
      <alignment horizontal="center"/>
    </xf>
    <xf numFmtId="0" fontId="43" fillId="12" borderId="71" xfId="0" applyFont="1" applyFill="1" applyBorder="1" applyAlignment="1">
      <alignment horizontal="center" vertical="top"/>
    </xf>
    <xf numFmtId="0" fontId="43" fillId="0" borderId="0" xfId="0" applyFont="1" applyAlignment="1">
      <alignment vertical="top"/>
    </xf>
    <xf numFmtId="0" fontId="44" fillId="0" borderId="0" xfId="2" applyFont="1" applyAlignment="1">
      <alignment vertical="top"/>
    </xf>
    <xf numFmtId="164" fontId="43" fillId="0" borderId="76" xfId="0" applyNumberFormat="1" applyFont="1" applyBorder="1" applyAlignment="1">
      <alignment horizontal="center" vertical="top"/>
    </xf>
    <xf numFmtId="166" fontId="44" fillId="0" borderId="76" xfId="1" applyNumberFormat="1" applyFont="1" applyBorder="1" applyAlignment="1">
      <alignment vertical="top"/>
    </xf>
    <xf numFmtId="166" fontId="44" fillId="0" borderId="81" xfId="1" applyNumberFormat="1" applyFont="1" applyBorder="1" applyAlignment="1">
      <alignment vertical="top"/>
    </xf>
    <xf numFmtId="10" fontId="44" fillId="0" borderId="80" xfId="5" applyNumberFormat="1" applyFont="1" applyBorder="1" applyAlignment="1">
      <alignment vertical="top"/>
    </xf>
    <xf numFmtId="10" fontId="44" fillId="0" borderId="76" xfId="5" applyNumberFormat="1" applyFont="1" applyBorder="1" applyAlignment="1">
      <alignment vertical="top"/>
    </xf>
    <xf numFmtId="10" fontId="44" fillId="0" borderId="81" xfId="5" applyNumberFormat="1" applyFont="1" applyBorder="1" applyAlignment="1">
      <alignment vertical="top"/>
    </xf>
    <xf numFmtId="164" fontId="43" fillId="27" borderId="76" xfId="0" applyNumberFormat="1" applyFont="1" applyFill="1" applyBorder="1" applyAlignment="1">
      <alignment horizontal="center" vertical="top"/>
    </xf>
    <xf numFmtId="166" fontId="44" fillId="27" borderId="76" xfId="1" applyNumberFormat="1" applyFont="1" applyFill="1" applyBorder="1" applyAlignment="1">
      <alignment vertical="top"/>
    </xf>
    <xf numFmtId="166" fontId="44" fillId="27" borderId="81" xfId="1" applyNumberFormat="1" applyFont="1" applyFill="1" applyBorder="1" applyAlignment="1">
      <alignment vertical="top"/>
    </xf>
    <xf numFmtId="164" fontId="43" fillId="26" borderId="76" xfId="0" applyNumberFormat="1" applyFont="1" applyFill="1" applyBorder="1" applyAlignment="1">
      <alignment horizontal="center" vertical="top"/>
    </xf>
    <xf numFmtId="166" fontId="44" fillId="26" borderId="76" xfId="1" applyNumberFormat="1" applyFont="1" applyFill="1" applyBorder="1" applyAlignment="1">
      <alignment vertical="top"/>
    </xf>
    <xf numFmtId="166" fontId="44" fillId="26" borderId="81" xfId="1" applyNumberFormat="1" applyFont="1" applyFill="1" applyBorder="1" applyAlignment="1">
      <alignment vertical="top"/>
    </xf>
    <xf numFmtId="164" fontId="43" fillId="18" borderId="76" xfId="0" applyNumberFormat="1" applyFont="1" applyFill="1" applyBorder="1" applyAlignment="1">
      <alignment horizontal="center" vertical="top"/>
    </xf>
    <xf numFmtId="166" fontId="44" fillId="18" borderId="76" xfId="1" applyNumberFormat="1" applyFont="1" applyFill="1" applyBorder="1" applyAlignment="1">
      <alignment vertical="top"/>
    </xf>
    <xf numFmtId="166" fontId="44" fillId="18" borderId="81" xfId="1" applyNumberFormat="1" applyFont="1" applyFill="1" applyBorder="1" applyAlignment="1">
      <alignment vertical="top"/>
    </xf>
    <xf numFmtId="164" fontId="43" fillId="13" borderId="76" xfId="0" applyNumberFormat="1" applyFont="1" applyFill="1" applyBorder="1" applyAlignment="1">
      <alignment horizontal="center" vertical="top"/>
    </xf>
    <xf numFmtId="166" fontId="44" fillId="13" borderId="76" xfId="1" applyNumberFormat="1" applyFont="1" applyFill="1" applyBorder="1" applyAlignment="1">
      <alignment vertical="top"/>
    </xf>
    <xf numFmtId="166" fontId="44" fillId="13" borderId="81" xfId="1" applyNumberFormat="1" applyFont="1" applyFill="1" applyBorder="1" applyAlignment="1">
      <alignment vertical="top"/>
    </xf>
    <xf numFmtId="164" fontId="43" fillId="4" borderId="76" xfId="0" applyNumberFormat="1" applyFont="1" applyFill="1" applyBorder="1" applyAlignment="1">
      <alignment horizontal="center" vertical="top"/>
    </xf>
    <xf numFmtId="166" fontId="44" fillId="4" borderId="76" xfId="1" applyNumberFormat="1" applyFont="1" applyFill="1" applyBorder="1" applyAlignment="1">
      <alignment vertical="top"/>
    </xf>
    <xf numFmtId="0" fontId="44" fillId="4" borderId="76" xfId="2" applyFont="1" applyFill="1" applyBorder="1" applyAlignment="1">
      <alignment vertical="top"/>
    </xf>
    <xf numFmtId="0" fontId="44" fillId="4" borderId="81" xfId="2" applyFont="1" applyFill="1" applyBorder="1" applyAlignment="1">
      <alignment vertical="top"/>
    </xf>
    <xf numFmtId="166" fontId="44" fillId="4" borderId="81" xfId="1" applyNumberFormat="1" applyFont="1" applyFill="1" applyBorder="1" applyAlignment="1">
      <alignment vertical="top"/>
    </xf>
    <xf numFmtId="164" fontId="43" fillId="0" borderId="83" xfId="0" applyNumberFormat="1" applyFont="1" applyBorder="1" applyAlignment="1">
      <alignment horizontal="center" vertical="top"/>
    </xf>
    <xf numFmtId="166" fontId="44" fillId="0" borderId="83" xfId="1" applyNumberFormat="1" applyFont="1" applyBorder="1" applyAlignment="1">
      <alignment vertical="top"/>
    </xf>
    <xf numFmtId="166" fontId="44" fillId="0" borderId="84" xfId="1" applyNumberFormat="1" applyFont="1" applyBorder="1" applyAlignment="1">
      <alignment vertical="top"/>
    </xf>
    <xf numFmtId="10" fontId="44" fillId="0" borderId="82" xfId="5" applyNumberFormat="1" applyFont="1" applyBorder="1" applyAlignment="1">
      <alignment vertical="top"/>
    </xf>
    <xf numFmtId="10" fontId="44" fillId="0" borderId="83" xfId="5" applyNumberFormat="1" applyFont="1" applyBorder="1" applyAlignment="1">
      <alignment vertical="top"/>
    </xf>
    <xf numFmtId="10" fontId="44" fillId="0" borderId="84" xfId="5" applyNumberFormat="1" applyFont="1" applyBorder="1" applyAlignment="1">
      <alignment vertical="top"/>
    </xf>
    <xf numFmtId="0" fontId="44" fillId="0" borderId="0" xfId="0" applyFont="1" applyAlignment="1">
      <alignment vertical="top"/>
    </xf>
    <xf numFmtId="10" fontId="44" fillId="28" borderId="78" xfId="5" applyNumberFormat="1" applyFont="1" applyFill="1" applyBorder="1" applyAlignment="1">
      <alignment vertical="top"/>
    </xf>
    <xf numFmtId="10" fontId="44" fillId="28" borderId="75" xfId="5" applyNumberFormat="1" applyFont="1" applyFill="1" applyBorder="1" applyAlignment="1">
      <alignment vertical="top"/>
    </xf>
    <xf numFmtId="10" fontId="44" fillId="28" borderId="79" xfId="5" applyNumberFormat="1" applyFont="1" applyFill="1" applyBorder="1" applyAlignment="1">
      <alignment vertical="top"/>
    </xf>
    <xf numFmtId="10" fontId="44" fillId="28" borderId="80" xfId="5" applyNumberFormat="1" applyFont="1" applyFill="1" applyBorder="1" applyAlignment="1">
      <alignment vertical="top"/>
    </xf>
    <xf numFmtId="10" fontId="44" fillId="28" borderId="76" xfId="5" applyNumberFormat="1" applyFont="1" applyFill="1" applyBorder="1" applyAlignment="1">
      <alignment vertical="top"/>
    </xf>
    <xf numFmtId="10" fontId="44" fillId="28" borderId="81" xfId="5" applyNumberFormat="1" applyFont="1" applyFill="1" applyBorder="1" applyAlignment="1">
      <alignment vertical="top"/>
    </xf>
    <xf numFmtId="10" fontId="44" fillId="13" borderId="80" xfId="5" applyNumberFormat="1" applyFont="1" applyFill="1" applyBorder="1" applyAlignment="1">
      <alignment vertical="top"/>
    </xf>
    <xf numFmtId="10" fontId="44" fillId="13" borderId="76" xfId="5" applyNumberFormat="1" applyFont="1" applyFill="1" applyBorder="1" applyAlignment="1">
      <alignment vertical="top"/>
    </xf>
    <xf numFmtId="10" fontId="44" fillId="13" borderId="81" xfId="5" applyNumberFormat="1" applyFont="1" applyFill="1" applyBorder="1" applyAlignment="1">
      <alignment vertical="top"/>
    </xf>
    <xf numFmtId="166" fontId="35" fillId="17" borderId="76" xfId="1" applyNumberFormat="1" applyFont="1" applyFill="1" applyBorder="1" applyAlignment="1">
      <alignment vertical="top"/>
    </xf>
    <xf numFmtId="166" fontId="35" fillId="17" borderId="81" xfId="1" applyNumberFormat="1" applyFont="1" applyFill="1" applyBorder="1" applyAlignment="1">
      <alignment vertical="top"/>
    </xf>
    <xf numFmtId="0" fontId="35" fillId="0" borderId="0" xfId="2" applyFont="1" applyAlignment="1">
      <alignment vertical="top"/>
    </xf>
    <xf numFmtId="10" fontId="35" fillId="29" borderId="80" xfId="5" applyNumberFormat="1" applyFont="1" applyFill="1" applyBorder="1" applyAlignment="1">
      <alignment vertical="top"/>
    </xf>
    <xf numFmtId="10" fontId="35" fillId="29" borderId="76" xfId="5" applyNumberFormat="1" applyFont="1" applyFill="1" applyBorder="1" applyAlignment="1">
      <alignment vertical="top"/>
    </xf>
    <xf numFmtId="10" fontId="35" fillId="29" borderId="81" xfId="5" applyNumberFormat="1" applyFont="1" applyFill="1" applyBorder="1" applyAlignment="1">
      <alignment vertical="top"/>
    </xf>
    <xf numFmtId="10" fontId="36" fillId="30" borderId="80" xfId="5" applyNumberFormat="1" applyFont="1" applyFill="1" applyBorder="1" applyAlignment="1">
      <alignment vertical="top"/>
    </xf>
    <xf numFmtId="10" fontId="36" fillId="30" borderId="76" xfId="5" applyNumberFormat="1" applyFont="1" applyFill="1" applyBorder="1" applyAlignment="1">
      <alignment vertical="top"/>
    </xf>
    <xf numFmtId="10" fontId="36" fillId="30" borderId="81" xfId="5" applyNumberFormat="1" applyFont="1" applyFill="1" applyBorder="1" applyAlignment="1">
      <alignment vertical="top"/>
    </xf>
    <xf numFmtId="164" fontId="35" fillId="31" borderId="76" xfId="0" applyNumberFormat="1" applyFont="1" applyFill="1" applyBorder="1" applyAlignment="1">
      <alignment horizontal="center" vertical="top"/>
    </xf>
    <xf numFmtId="166" fontId="36" fillId="31" borderId="76" xfId="1" applyNumberFormat="1" applyFont="1" applyFill="1" applyBorder="1" applyAlignment="1">
      <alignment vertical="top"/>
    </xf>
    <xf numFmtId="166" fontId="36" fillId="31" borderId="81" xfId="1" applyNumberFormat="1" applyFont="1" applyFill="1" applyBorder="1" applyAlignment="1">
      <alignment vertical="top"/>
    </xf>
    <xf numFmtId="10" fontId="35" fillId="15" borderId="80" xfId="5" applyNumberFormat="1" applyFont="1" applyFill="1" applyBorder="1" applyAlignment="1">
      <alignment vertical="top"/>
    </xf>
    <xf numFmtId="10" fontId="35" fillId="15" borderId="76" xfId="5" applyNumberFormat="1" applyFont="1" applyFill="1" applyBorder="1" applyAlignment="1">
      <alignment vertical="top"/>
    </xf>
    <xf numFmtId="10" fontId="35" fillId="15" borderId="81" xfId="5" applyNumberFormat="1" applyFont="1" applyFill="1" applyBorder="1" applyAlignment="1">
      <alignment vertical="top"/>
    </xf>
    <xf numFmtId="164" fontId="35" fillId="32" borderId="76" xfId="0" applyNumberFormat="1" applyFont="1" applyFill="1" applyBorder="1" applyAlignment="1">
      <alignment horizontal="center" vertical="top"/>
    </xf>
    <xf numFmtId="166" fontId="35" fillId="32" borderId="76" xfId="1" applyNumberFormat="1" applyFont="1" applyFill="1" applyBorder="1" applyAlignment="1">
      <alignment vertical="top"/>
    </xf>
    <xf numFmtId="166" fontId="35" fillId="32" borderId="81" xfId="1" applyNumberFormat="1" applyFont="1" applyFill="1" applyBorder="1" applyAlignment="1">
      <alignment vertical="top"/>
    </xf>
    <xf numFmtId="10" fontId="35" fillId="32" borderId="80" xfId="5" applyNumberFormat="1" applyFont="1" applyFill="1" applyBorder="1" applyAlignment="1">
      <alignment vertical="top"/>
    </xf>
    <xf numFmtId="10" fontId="35" fillId="32" borderId="76" xfId="5" applyNumberFormat="1" applyFont="1" applyFill="1" applyBorder="1" applyAlignment="1">
      <alignment vertical="top"/>
    </xf>
    <xf numFmtId="10" fontId="35" fillId="32" borderId="81" xfId="5" applyNumberFormat="1" applyFont="1" applyFill="1" applyBorder="1" applyAlignment="1">
      <alignment vertical="top"/>
    </xf>
    <xf numFmtId="164" fontId="43" fillId="33" borderId="76" xfId="0" applyNumberFormat="1" applyFont="1" applyFill="1" applyBorder="1" applyAlignment="1">
      <alignment horizontal="center" vertical="top"/>
    </xf>
    <xf numFmtId="166" fontId="44" fillId="33" borderId="76" xfId="1" applyNumberFormat="1" applyFont="1" applyFill="1" applyBorder="1" applyAlignment="1">
      <alignment vertical="top"/>
    </xf>
    <xf numFmtId="166" fontId="44" fillId="33" borderId="81" xfId="1" applyNumberFormat="1" applyFont="1" applyFill="1" applyBorder="1" applyAlignment="1">
      <alignment vertical="top"/>
    </xf>
    <xf numFmtId="164" fontId="43" fillId="34" borderId="76" xfId="0" applyNumberFormat="1" applyFont="1" applyFill="1" applyBorder="1" applyAlignment="1">
      <alignment horizontal="center" vertical="top"/>
    </xf>
    <xf numFmtId="166" fontId="43" fillId="34" borderId="76" xfId="1" applyNumberFormat="1" applyFont="1" applyFill="1" applyBorder="1" applyAlignment="1">
      <alignment vertical="top"/>
    </xf>
    <xf numFmtId="166" fontId="43" fillId="34" borderId="81" xfId="1" applyNumberFormat="1" applyFont="1" applyFill="1" applyBorder="1" applyAlignment="1">
      <alignment vertical="top"/>
    </xf>
    <xf numFmtId="164" fontId="43" fillId="34" borderId="75" xfId="0" applyNumberFormat="1" applyFont="1" applyFill="1" applyBorder="1" applyAlignment="1">
      <alignment horizontal="center" vertical="top"/>
    </xf>
    <xf numFmtId="166" fontId="43" fillId="34" borderId="75" xfId="1" applyNumberFormat="1" applyFont="1" applyFill="1" applyBorder="1" applyAlignment="1">
      <alignment vertical="top"/>
    </xf>
    <xf numFmtId="166" fontId="43" fillId="34" borderId="79" xfId="1" applyNumberFormat="1" applyFont="1" applyFill="1" applyBorder="1" applyAlignment="1">
      <alignment vertical="top"/>
    </xf>
    <xf numFmtId="10" fontId="32" fillId="0" borderId="78" xfId="5" applyNumberFormat="1" applyFont="1" applyBorder="1" applyAlignment="1">
      <alignment vertical="top" wrapText="1"/>
    </xf>
    <xf numFmtId="10" fontId="32" fillId="0" borderId="80" xfId="5" applyNumberFormat="1" applyFont="1" applyBorder="1" applyAlignment="1">
      <alignment vertical="top" wrapText="1"/>
    </xf>
    <xf numFmtId="10" fontId="32" fillId="0" borderId="76" xfId="5" applyNumberFormat="1" applyFont="1" applyBorder="1" applyAlignment="1">
      <alignment vertical="top" wrapText="1"/>
    </xf>
    <xf numFmtId="10" fontId="32" fillId="0" borderId="81" xfId="5" applyNumberFormat="1" applyFont="1" applyBorder="1" applyAlignment="1">
      <alignment vertical="top" wrapText="1"/>
    </xf>
    <xf numFmtId="10" fontId="38" fillId="19" borderId="80" xfId="5" applyNumberFormat="1" applyFont="1" applyFill="1" applyBorder="1" applyAlignment="1">
      <alignment vertical="top" wrapText="1"/>
    </xf>
    <xf numFmtId="10" fontId="38" fillId="19" borderId="76" xfId="5" applyNumberFormat="1" applyFont="1" applyFill="1" applyBorder="1" applyAlignment="1">
      <alignment vertical="top" wrapText="1"/>
    </xf>
    <xf numFmtId="10" fontId="38" fillId="19" borderId="81" xfId="5" applyNumberFormat="1" applyFont="1" applyFill="1" applyBorder="1" applyAlignment="1">
      <alignment vertical="top" wrapText="1"/>
    </xf>
    <xf numFmtId="10" fontId="38" fillId="32" borderId="80" xfId="5" applyNumberFormat="1" applyFont="1" applyFill="1" applyBorder="1" applyAlignment="1">
      <alignment vertical="top" wrapText="1"/>
    </xf>
    <xf numFmtId="10" fontId="38" fillId="32" borderId="76" xfId="5" applyNumberFormat="1" applyFont="1" applyFill="1" applyBorder="1" applyAlignment="1">
      <alignment vertical="top" wrapText="1"/>
    </xf>
    <xf numFmtId="10" fontId="38" fillId="32" borderId="81" xfId="5" applyNumberFormat="1" applyFont="1" applyFill="1" applyBorder="1" applyAlignment="1">
      <alignment vertical="top" wrapText="1"/>
    </xf>
    <xf numFmtId="10" fontId="39" fillId="15" borderId="82" xfId="5" applyNumberFormat="1" applyFont="1" applyFill="1" applyBorder="1" applyAlignment="1">
      <alignment vertical="top" wrapText="1"/>
    </xf>
    <xf numFmtId="10" fontId="39" fillId="15" borderId="83" xfId="5" applyNumberFormat="1" applyFont="1" applyFill="1" applyBorder="1" applyAlignment="1">
      <alignment vertical="top" wrapText="1"/>
    </xf>
    <xf numFmtId="10" fontId="39" fillId="15" borderId="84" xfId="5" applyNumberFormat="1" applyFont="1" applyFill="1" applyBorder="1" applyAlignment="1">
      <alignment vertical="top" wrapText="1"/>
    </xf>
    <xf numFmtId="164" fontId="38" fillId="16" borderId="76" xfId="0" applyNumberFormat="1" applyFont="1" applyFill="1" applyBorder="1" applyAlignment="1">
      <alignment horizontal="center" vertical="top" wrapText="1"/>
    </xf>
    <xf numFmtId="166" fontId="39" fillId="16" borderId="76" xfId="1" applyNumberFormat="1" applyFont="1" applyFill="1" applyBorder="1" applyAlignment="1">
      <alignment vertical="top" wrapText="1"/>
    </xf>
    <xf numFmtId="166" fontId="39" fillId="16" borderId="81" xfId="1" applyNumberFormat="1" applyFont="1" applyFill="1" applyBorder="1" applyAlignment="1">
      <alignment vertical="top" wrapText="1"/>
    </xf>
    <xf numFmtId="10" fontId="39" fillId="16" borderId="80" xfId="5" applyNumberFormat="1" applyFont="1" applyFill="1" applyBorder="1" applyAlignment="1">
      <alignment vertical="top" wrapText="1"/>
    </xf>
    <xf numFmtId="10" fontId="39" fillId="16" borderId="76" xfId="5" applyNumberFormat="1" applyFont="1" applyFill="1" applyBorder="1" applyAlignment="1">
      <alignment vertical="top" wrapText="1"/>
    </xf>
    <xf numFmtId="10" fontId="39" fillId="16" borderId="81" xfId="5" applyNumberFormat="1" applyFont="1" applyFill="1" applyBorder="1" applyAlignment="1">
      <alignment vertical="top" wrapText="1"/>
    </xf>
    <xf numFmtId="166" fontId="38" fillId="16" borderId="76" xfId="1" applyNumberFormat="1" applyFont="1" applyFill="1" applyBorder="1" applyAlignment="1">
      <alignment vertical="top" wrapText="1"/>
    </xf>
    <xf numFmtId="166" fontId="38" fillId="16" borderId="81" xfId="1" applyNumberFormat="1" applyFont="1" applyFill="1" applyBorder="1" applyAlignment="1">
      <alignment vertical="top" wrapText="1"/>
    </xf>
    <xf numFmtId="10" fontId="38" fillId="16" borderId="80" xfId="5" applyNumberFormat="1" applyFont="1" applyFill="1" applyBorder="1" applyAlignment="1">
      <alignment vertical="top" wrapText="1"/>
    </xf>
    <xf numFmtId="10" fontId="38" fillId="16" borderId="76" xfId="5" applyNumberFormat="1" applyFont="1" applyFill="1" applyBorder="1" applyAlignment="1">
      <alignment vertical="top" wrapText="1"/>
    </xf>
    <xf numFmtId="10" fontId="38" fillId="16" borderId="81" xfId="5" applyNumberFormat="1" applyFont="1" applyFill="1" applyBorder="1" applyAlignment="1">
      <alignment vertical="top" wrapText="1"/>
    </xf>
    <xf numFmtId="164" fontId="47" fillId="25" borderId="76" xfId="0" applyNumberFormat="1" applyFont="1" applyFill="1" applyBorder="1" applyAlignment="1">
      <alignment horizontal="center" vertical="top" wrapText="1"/>
    </xf>
    <xf numFmtId="166" fontId="46" fillId="25" borderId="76" xfId="1" applyNumberFormat="1" applyFont="1" applyFill="1" applyBorder="1" applyAlignment="1">
      <alignment vertical="top" wrapText="1"/>
    </xf>
    <xf numFmtId="166" fontId="46" fillId="25" borderId="81" xfId="1" applyNumberFormat="1" applyFont="1" applyFill="1" applyBorder="1" applyAlignment="1">
      <alignment vertical="top" wrapText="1"/>
    </xf>
    <xf numFmtId="10" fontId="46" fillId="25" borderId="80" xfId="5" applyNumberFormat="1" applyFont="1" applyFill="1" applyBorder="1" applyAlignment="1">
      <alignment vertical="top" wrapText="1"/>
    </xf>
    <xf numFmtId="10" fontId="46" fillId="25" borderId="76" xfId="5" applyNumberFormat="1" applyFont="1" applyFill="1" applyBorder="1" applyAlignment="1">
      <alignment vertical="top" wrapText="1"/>
    </xf>
    <xf numFmtId="10" fontId="46" fillId="25" borderId="81" xfId="5" applyNumberFormat="1" applyFont="1" applyFill="1" applyBorder="1" applyAlignment="1">
      <alignment vertical="top" wrapText="1"/>
    </xf>
    <xf numFmtId="164" fontId="33" fillId="18" borderId="76" xfId="0" applyNumberFormat="1" applyFont="1" applyFill="1" applyBorder="1" applyAlignment="1">
      <alignment horizontal="center" vertical="top" wrapText="1"/>
    </xf>
    <xf numFmtId="166" fontId="32" fillId="18" borderId="76" xfId="1" applyNumberFormat="1" applyFont="1" applyFill="1" applyBorder="1" applyAlignment="1">
      <alignment vertical="top" wrapText="1"/>
    </xf>
    <xf numFmtId="166" fontId="32" fillId="18" borderId="81" xfId="1" applyNumberFormat="1" applyFont="1" applyFill="1" applyBorder="1" applyAlignment="1">
      <alignment vertical="top" wrapText="1"/>
    </xf>
    <xf numFmtId="10" fontId="32" fillId="18" borderId="80" xfId="5" applyNumberFormat="1" applyFont="1" applyFill="1" applyBorder="1" applyAlignment="1">
      <alignment vertical="top" wrapText="1"/>
    </xf>
    <xf numFmtId="10" fontId="32" fillId="18" borderId="76" xfId="5" applyNumberFormat="1" applyFont="1" applyFill="1" applyBorder="1" applyAlignment="1">
      <alignment vertical="top" wrapText="1"/>
    </xf>
    <xf numFmtId="10" fontId="32" fillId="18" borderId="81" xfId="5" applyNumberFormat="1" applyFont="1" applyFill="1" applyBorder="1" applyAlignment="1">
      <alignment vertical="top" wrapText="1"/>
    </xf>
    <xf numFmtId="0" fontId="48" fillId="12" borderId="72" xfId="0" applyFont="1" applyFill="1" applyBorder="1" applyAlignment="1">
      <alignment horizontal="center"/>
    </xf>
    <xf numFmtId="0" fontId="48" fillId="12" borderId="71" xfId="0" applyFont="1" applyFill="1" applyBorder="1" applyAlignment="1">
      <alignment horizontal="center"/>
    </xf>
    <xf numFmtId="0" fontId="48" fillId="0" borderId="0" xfId="0" applyFont="1"/>
    <xf numFmtId="0" fontId="50" fillId="0" borderId="0" xfId="0" applyFont="1"/>
    <xf numFmtId="0" fontId="50" fillId="18" borderId="72" xfId="0" applyFont="1" applyFill="1" applyBorder="1"/>
    <xf numFmtId="0" fontId="50" fillId="18" borderId="73" xfId="0" applyFont="1" applyFill="1" applyBorder="1"/>
    <xf numFmtId="0" fontId="50" fillId="18" borderId="74" xfId="0" applyFont="1" applyFill="1" applyBorder="1"/>
    <xf numFmtId="0" fontId="48" fillId="23" borderId="80" xfId="0" applyFont="1" applyFill="1" applyBorder="1" applyAlignment="1">
      <alignment horizontal="left"/>
    </xf>
    <xf numFmtId="164" fontId="48" fillId="23" borderId="76" xfId="0" applyNumberFormat="1" applyFont="1" applyFill="1" applyBorder="1" applyAlignment="1">
      <alignment horizontal="center"/>
    </xf>
    <xf numFmtId="166" fontId="50" fillId="23" borderId="76" xfId="1" applyNumberFormat="1" applyFont="1" applyFill="1" applyBorder="1" applyAlignment="1"/>
    <xf numFmtId="166" fontId="50" fillId="23" borderId="81" xfId="1" applyNumberFormat="1" applyFont="1" applyFill="1" applyBorder="1" applyAlignment="1"/>
    <xf numFmtId="0" fontId="50" fillId="23" borderId="78" xfId="0" applyFont="1" applyFill="1" applyBorder="1"/>
    <xf numFmtId="0" fontId="50" fillId="23" borderId="75" xfId="0" applyFont="1" applyFill="1" applyBorder="1"/>
    <xf numFmtId="0" fontId="50" fillId="23" borderId="79" xfId="0" applyFont="1" applyFill="1" applyBorder="1"/>
    <xf numFmtId="167" fontId="50" fillId="0" borderId="0" xfId="5" applyNumberFormat="1" applyFont="1"/>
    <xf numFmtId="166" fontId="48" fillId="23" borderId="76" xfId="1" applyNumberFormat="1" applyFont="1" applyFill="1" applyBorder="1" applyAlignment="1"/>
    <xf numFmtId="166" fontId="48" fillId="23" borderId="81" xfId="1" applyNumberFormat="1" applyFont="1" applyFill="1" applyBorder="1" applyAlignment="1"/>
    <xf numFmtId="10" fontId="48" fillId="23" borderId="80" xfId="5" applyNumberFormat="1" applyFont="1" applyFill="1" applyBorder="1"/>
    <xf numFmtId="10" fontId="48" fillId="23" borderId="76" xfId="5" applyNumberFormat="1" applyFont="1" applyFill="1" applyBorder="1"/>
    <xf numFmtId="10" fontId="48" fillId="23" borderId="81" xfId="5" applyNumberFormat="1" applyFont="1" applyFill="1" applyBorder="1"/>
    <xf numFmtId="0" fontId="50" fillId="24" borderId="80" xfId="0" applyFont="1" applyFill="1" applyBorder="1" applyAlignment="1">
      <alignment horizontal="left"/>
    </xf>
    <xf numFmtId="164" fontId="48" fillId="24" borderId="76" xfId="0" applyNumberFormat="1" applyFont="1" applyFill="1" applyBorder="1" applyAlignment="1">
      <alignment horizontal="center"/>
    </xf>
    <xf numFmtId="166" fontId="50" fillId="24" borderId="76" xfId="1" applyNumberFormat="1" applyFont="1" applyFill="1" applyBorder="1" applyAlignment="1"/>
    <xf numFmtId="166" fontId="50" fillId="24" borderId="81" xfId="1" applyNumberFormat="1" applyFont="1" applyFill="1" applyBorder="1" applyAlignment="1"/>
    <xf numFmtId="10" fontId="50" fillId="24" borderId="80" xfId="5" applyNumberFormat="1" applyFont="1" applyFill="1" applyBorder="1"/>
    <xf numFmtId="10" fontId="50" fillId="24" borderId="76" xfId="5" applyNumberFormat="1" applyFont="1" applyFill="1" applyBorder="1"/>
    <xf numFmtId="10" fontId="50" fillId="24" borderId="81" xfId="5" applyNumberFormat="1" applyFont="1" applyFill="1" applyBorder="1"/>
    <xf numFmtId="0" fontId="50" fillId="0" borderId="80" xfId="0" applyFont="1" applyBorder="1" applyAlignment="1">
      <alignment horizontal="left"/>
    </xf>
    <xf numFmtId="164" fontId="48" fillId="0" borderId="76" xfId="0" applyNumberFormat="1" applyFont="1" applyBorder="1" applyAlignment="1">
      <alignment horizontal="center"/>
    </xf>
    <xf numFmtId="166" fontId="50" fillId="0" borderId="76" xfId="1" applyNumberFormat="1" applyFont="1" applyBorder="1" applyAlignment="1"/>
    <xf numFmtId="166" fontId="50" fillId="0" borderId="81" xfId="1" applyNumberFormat="1" applyFont="1" applyBorder="1" applyAlignment="1"/>
    <xf numFmtId="10" fontId="50" fillId="0" borderId="80" xfId="5" applyNumberFormat="1" applyFont="1" applyBorder="1"/>
    <xf numFmtId="10" fontId="50" fillId="0" borderId="76" xfId="5" applyNumberFormat="1" applyFont="1" applyBorder="1"/>
    <xf numFmtId="10" fontId="50" fillId="0" borderId="81" xfId="5" applyNumberFormat="1" applyFont="1" applyBorder="1"/>
    <xf numFmtId="167" fontId="50" fillId="0" borderId="0" xfId="0" applyNumberFormat="1" applyFont="1"/>
    <xf numFmtId="0" fontId="51" fillId="15" borderId="80" xfId="0" applyFont="1" applyFill="1" applyBorder="1" applyAlignment="1">
      <alignment horizontal="left"/>
    </xf>
    <xf numFmtId="164" fontId="51" fillId="15" borderId="76" xfId="0" applyNumberFormat="1" applyFont="1" applyFill="1" applyBorder="1" applyAlignment="1">
      <alignment horizontal="center"/>
    </xf>
    <xf numFmtId="166" fontId="51" fillId="15" borderId="76" xfId="1" applyNumberFormat="1" applyFont="1" applyFill="1" applyBorder="1" applyAlignment="1"/>
    <xf numFmtId="166" fontId="51" fillId="15" borderId="81" xfId="1" applyNumberFormat="1" applyFont="1" applyFill="1" applyBorder="1" applyAlignment="1"/>
    <xf numFmtId="10" fontId="51" fillId="15" borderId="80" xfId="5" applyNumberFormat="1" applyFont="1" applyFill="1" applyBorder="1"/>
    <xf numFmtId="10" fontId="51" fillId="15" borderId="76" xfId="5" applyNumberFormat="1" applyFont="1" applyFill="1" applyBorder="1"/>
    <xf numFmtId="10" fontId="51" fillId="15" borderId="81" xfId="5" applyNumberFormat="1" applyFont="1" applyFill="1" applyBorder="1"/>
    <xf numFmtId="0" fontId="48" fillId="0" borderId="0" xfId="0" applyFont="1" applyAlignment="1">
      <alignment horizontal="left"/>
    </xf>
    <xf numFmtId="164" fontId="48" fillId="0" borderId="0" xfId="0" applyNumberFormat="1" applyFont="1" applyAlignment="1">
      <alignment horizontal="center"/>
    </xf>
    <xf numFmtId="166" fontId="50" fillId="0" borderId="0" xfId="1" applyNumberFormat="1" applyFont="1" applyBorder="1" applyAlignment="1"/>
    <xf numFmtId="10" fontId="50" fillId="0" borderId="0" xfId="5" applyNumberFormat="1" applyFont="1" applyBorder="1"/>
    <xf numFmtId="166" fontId="50" fillId="0" borderId="0" xfId="1" applyNumberFormat="1" applyFont="1"/>
    <xf numFmtId="0" fontId="46" fillId="25" borderId="80" xfId="0" applyFont="1" applyFill="1" applyBorder="1" applyAlignment="1">
      <alignment horizontal="left" vertical="top" wrapText="1"/>
    </xf>
    <xf numFmtId="0" fontId="34" fillId="18" borderId="80" xfId="0" applyFont="1" applyFill="1" applyBorder="1" applyAlignment="1">
      <alignment horizontal="left" vertical="top" wrapText="1"/>
    </xf>
    <xf numFmtId="0" fontId="38" fillId="16" borderId="80" xfId="0" applyFont="1" applyFill="1" applyBorder="1" applyAlignment="1">
      <alignment horizontal="left" vertical="top" wrapText="1"/>
    </xf>
    <xf numFmtId="0" fontId="44" fillId="0" borderId="0" xfId="0" applyFont="1" applyAlignment="1">
      <alignment horizontal="left" vertical="top"/>
    </xf>
    <xf numFmtId="10" fontId="44" fillId="27" borderId="80" xfId="5" applyNumberFormat="1" applyFont="1" applyFill="1" applyBorder="1" applyAlignment="1">
      <alignment vertical="top"/>
    </xf>
    <xf numFmtId="10" fontId="44" fillId="27" borderId="76" xfId="5" applyNumberFormat="1" applyFont="1" applyFill="1" applyBorder="1" applyAlignment="1">
      <alignment vertical="top"/>
    </xf>
    <xf numFmtId="10" fontId="44" fillId="27" borderId="81" xfId="5" applyNumberFormat="1" applyFont="1" applyFill="1" applyBorder="1" applyAlignment="1">
      <alignment vertical="top"/>
    </xf>
    <xf numFmtId="166" fontId="44" fillId="0" borderId="0" xfId="1" applyNumberFormat="1" applyFont="1" applyAlignment="1">
      <alignment vertical="top"/>
    </xf>
    <xf numFmtId="0" fontId="50" fillId="4" borderId="80" xfId="0" applyFont="1" applyFill="1" applyBorder="1" applyAlignment="1">
      <alignment horizontal="left"/>
    </xf>
    <xf numFmtId="2" fontId="0" fillId="0" borderId="0" xfId="0" applyNumberFormat="1"/>
    <xf numFmtId="0" fontId="53" fillId="0" borderId="0" xfId="0" applyFont="1"/>
    <xf numFmtId="0" fontId="54" fillId="0" borderId="0" xfId="0" applyFont="1"/>
    <xf numFmtId="10" fontId="0" fillId="0" borderId="0" xfId="5" applyNumberFormat="1" applyFont="1"/>
    <xf numFmtId="10" fontId="0" fillId="0" borderId="0" xfId="0" applyNumberFormat="1"/>
    <xf numFmtId="0" fontId="43" fillId="12" borderId="74" xfId="0" applyFont="1" applyFill="1" applyBorder="1" applyAlignment="1">
      <alignment horizontal="center"/>
    </xf>
    <xf numFmtId="0" fontId="48" fillId="3" borderId="72" xfId="0" applyFont="1" applyFill="1" applyBorder="1" applyAlignment="1">
      <alignment horizontal="left"/>
    </xf>
    <xf numFmtId="0" fontId="50" fillId="3" borderId="73" xfId="0" applyFont="1" applyFill="1" applyBorder="1"/>
    <xf numFmtId="0" fontId="52" fillId="0" borderId="73" xfId="0" applyFont="1" applyBorder="1"/>
    <xf numFmtId="0" fontId="52" fillId="0" borderId="74" xfId="0" applyFont="1" applyBorder="1"/>
    <xf numFmtId="0" fontId="48" fillId="22" borderId="72" xfId="0" applyFont="1" applyFill="1" applyBorder="1" applyAlignment="1">
      <alignment horizontal="left"/>
    </xf>
    <xf numFmtId="0" fontId="49" fillId="22" borderId="73" xfId="0" applyFont="1" applyFill="1" applyBorder="1" applyAlignment="1">
      <alignment horizontal="left"/>
    </xf>
    <xf numFmtId="0" fontId="49" fillId="22" borderId="74" xfId="0" applyFont="1" applyFill="1" applyBorder="1" applyAlignment="1">
      <alignment horizontal="left"/>
    </xf>
    <xf numFmtId="0" fontId="44" fillId="4" borderId="92" xfId="0" applyFont="1" applyFill="1" applyBorder="1" applyAlignment="1">
      <alignment horizontal="left" vertical="top"/>
    </xf>
    <xf numFmtId="0" fontId="44" fillId="4" borderId="93" xfId="0" applyFont="1" applyFill="1" applyBorder="1" applyAlignment="1">
      <alignment horizontal="left" vertical="top"/>
    </xf>
    <xf numFmtId="0" fontId="44" fillId="4" borderId="94" xfId="0" applyFont="1" applyFill="1" applyBorder="1" applyAlignment="1">
      <alignment horizontal="left" vertical="top"/>
    </xf>
    <xf numFmtId="0" fontId="43" fillId="4" borderId="92" xfId="0" applyFont="1" applyFill="1" applyBorder="1" applyAlignment="1">
      <alignment horizontal="left" vertical="top"/>
    </xf>
    <xf numFmtId="0" fontId="43" fillId="4" borderId="93" xfId="0" applyFont="1" applyFill="1" applyBorder="1" applyAlignment="1">
      <alignment horizontal="left" vertical="top"/>
    </xf>
    <xf numFmtId="0" fontId="43" fillId="4" borderId="94" xfId="0" applyFont="1" applyFill="1" applyBorder="1" applyAlignment="1">
      <alignment horizontal="left" vertical="top"/>
    </xf>
    <xf numFmtId="0" fontId="35" fillId="32" borderId="92" xfId="0" applyFont="1" applyFill="1" applyBorder="1" applyAlignment="1">
      <alignment horizontal="left" vertical="top"/>
    </xf>
    <xf numFmtId="0" fontId="35" fillId="32" borderId="93" xfId="0" applyFont="1" applyFill="1" applyBorder="1" applyAlignment="1">
      <alignment horizontal="left" vertical="top"/>
    </xf>
    <xf numFmtId="0" fontId="35" fillId="32" borderId="94" xfId="0" applyFont="1" applyFill="1" applyBorder="1" applyAlignment="1">
      <alignment horizontal="left" vertical="top"/>
    </xf>
    <xf numFmtId="0" fontId="43" fillId="35" borderId="92" xfId="0" applyFont="1" applyFill="1" applyBorder="1" applyAlignment="1">
      <alignment horizontal="left" vertical="top"/>
    </xf>
    <xf numFmtId="0" fontId="0" fillId="35" borderId="93" xfId="0" applyFill="1" applyBorder="1" applyAlignment="1">
      <alignment vertical="top"/>
    </xf>
    <xf numFmtId="0" fontId="0" fillId="35" borderId="101" xfId="0" applyFill="1" applyBorder="1" applyAlignment="1">
      <alignment vertical="top"/>
    </xf>
    <xf numFmtId="0" fontId="35" fillId="15" borderId="92" xfId="0" applyFont="1" applyFill="1" applyBorder="1" applyAlignment="1">
      <alignment horizontal="left" vertical="top"/>
    </xf>
    <xf numFmtId="0" fontId="35" fillId="15" borderId="93" xfId="0" applyFont="1" applyFill="1" applyBorder="1" applyAlignment="1">
      <alignment horizontal="left" vertical="top"/>
    </xf>
    <xf numFmtId="0" fontId="35" fillId="15" borderId="94" xfId="0" applyFont="1" applyFill="1" applyBorder="1" applyAlignment="1">
      <alignment horizontal="left" vertical="top"/>
    </xf>
    <xf numFmtId="0" fontId="43" fillId="0" borderId="92" xfId="0" applyFont="1" applyBorder="1" applyAlignment="1">
      <alignment horizontal="left" vertical="top"/>
    </xf>
    <xf numFmtId="0" fontId="43" fillId="0" borderId="93" xfId="0" applyFont="1" applyBorder="1" applyAlignment="1">
      <alignment horizontal="left" vertical="top"/>
    </xf>
    <xf numFmtId="0" fontId="43" fillId="0" borderId="94" xfId="0" applyFont="1" applyBorder="1" applyAlignment="1">
      <alignment horizontal="left" vertical="top"/>
    </xf>
    <xf numFmtId="0" fontId="43" fillId="0" borderId="98" xfId="0" applyFont="1" applyBorder="1" applyAlignment="1">
      <alignment horizontal="left" vertical="top"/>
    </xf>
    <xf numFmtId="0" fontId="43" fillId="0" borderId="99" xfId="0" applyFont="1" applyBorder="1" applyAlignment="1">
      <alignment horizontal="left" vertical="top"/>
    </xf>
    <xf numFmtId="0" fontId="43" fillId="0" borderId="100" xfId="0" applyFont="1" applyBorder="1" applyAlignment="1">
      <alignment horizontal="left" vertical="top"/>
    </xf>
    <xf numFmtId="0" fontId="35" fillId="31" borderId="92" xfId="0" applyFont="1" applyFill="1" applyBorder="1" applyAlignment="1">
      <alignment horizontal="left" vertical="top"/>
    </xf>
    <xf numFmtId="0" fontId="35" fillId="31" borderId="93" xfId="0" applyFont="1" applyFill="1" applyBorder="1" applyAlignment="1">
      <alignment horizontal="left" vertical="top"/>
    </xf>
    <xf numFmtId="0" fontId="35" fillId="31" borderId="94" xfId="0" applyFont="1" applyFill="1" applyBorder="1" applyAlignment="1">
      <alignment horizontal="left" vertical="top"/>
    </xf>
    <xf numFmtId="0" fontId="44" fillId="18" borderId="92" xfId="0" applyFont="1" applyFill="1" applyBorder="1" applyAlignment="1">
      <alignment horizontal="left" vertical="top"/>
    </xf>
    <xf numFmtId="0" fontId="44" fillId="18" borderId="93" xfId="0" applyFont="1" applyFill="1" applyBorder="1" applyAlignment="1">
      <alignment horizontal="left" vertical="top"/>
    </xf>
    <xf numFmtId="0" fontId="44" fillId="18" borderId="94" xfId="0" applyFont="1" applyFill="1" applyBorder="1" applyAlignment="1">
      <alignment horizontal="left" vertical="top"/>
    </xf>
    <xf numFmtId="0" fontId="43" fillId="33" borderId="92" xfId="0" applyFont="1" applyFill="1" applyBorder="1" applyAlignment="1">
      <alignment horizontal="left" vertical="top"/>
    </xf>
    <xf numFmtId="0" fontId="43" fillId="33" borderId="93" xfId="0" applyFont="1" applyFill="1" applyBorder="1" applyAlignment="1">
      <alignment horizontal="left" vertical="top"/>
    </xf>
    <xf numFmtId="0" fontId="43" fillId="33" borderId="94" xfId="0" applyFont="1" applyFill="1" applyBorder="1" applyAlignment="1">
      <alignment horizontal="left" vertical="top"/>
    </xf>
    <xf numFmtId="0" fontId="43" fillId="13" borderId="92" xfId="0" applyFont="1" applyFill="1" applyBorder="1" applyAlignment="1">
      <alignment horizontal="left" vertical="top"/>
    </xf>
    <xf numFmtId="0" fontId="43" fillId="13" borderId="93" xfId="0" applyFont="1" applyFill="1" applyBorder="1" applyAlignment="1">
      <alignment horizontal="left" vertical="top"/>
    </xf>
    <xf numFmtId="0" fontId="43" fillId="13" borderId="94" xfId="0" applyFont="1" applyFill="1" applyBorder="1" applyAlignment="1">
      <alignment horizontal="left" vertical="top"/>
    </xf>
    <xf numFmtId="0" fontId="35" fillId="17" borderId="92" xfId="0" applyFont="1" applyFill="1" applyBorder="1" applyAlignment="1">
      <alignment horizontal="left" vertical="top"/>
    </xf>
    <xf numFmtId="0" fontId="35" fillId="17" borderId="93" xfId="0" applyFont="1" applyFill="1" applyBorder="1" applyAlignment="1">
      <alignment horizontal="left" vertical="top"/>
    </xf>
    <xf numFmtId="0" fontId="35" fillId="17" borderId="94" xfId="0" applyFont="1" applyFill="1" applyBorder="1" applyAlignment="1">
      <alignment horizontal="left" vertical="top"/>
    </xf>
    <xf numFmtId="0" fontId="44" fillId="0" borderId="92" xfId="0" applyFont="1" applyBorder="1" applyAlignment="1">
      <alignment horizontal="left" vertical="top"/>
    </xf>
    <xf numFmtId="0" fontId="44" fillId="0" borderId="93" xfId="0" applyFont="1" applyBorder="1" applyAlignment="1">
      <alignment horizontal="left" vertical="top"/>
    </xf>
    <xf numFmtId="0" fontId="44" fillId="0" borderId="94" xfId="0" applyFont="1" applyBorder="1" applyAlignment="1">
      <alignment horizontal="left" vertical="top"/>
    </xf>
    <xf numFmtId="0" fontId="43" fillId="34" borderId="92" xfId="0" applyFont="1" applyFill="1" applyBorder="1" applyAlignment="1">
      <alignment horizontal="left" vertical="top"/>
    </xf>
    <xf numFmtId="0" fontId="43" fillId="34" borderId="93" xfId="0" applyFont="1" applyFill="1" applyBorder="1" applyAlignment="1">
      <alignment horizontal="left" vertical="top"/>
    </xf>
    <xf numFmtId="0" fontId="43" fillId="34" borderId="94" xfId="0" applyFont="1" applyFill="1" applyBorder="1" applyAlignment="1">
      <alignment horizontal="left" vertical="top"/>
    </xf>
    <xf numFmtId="0" fontId="45" fillId="0" borderId="92" xfId="0" applyFont="1" applyBorder="1" applyAlignment="1">
      <alignment horizontal="left" vertical="top"/>
    </xf>
    <xf numFmtId="0" fontId="45" fillId="0" borderId="93" xfId="0" applyFont="1" applyBorder="1" applyAlignment="1">
      <alignment horizontal="left" vertical="top"/>
    </xf>
    <xf numFmtId="0" fontId="45" fillId="0" borderId="94" xfId="0" applyFont="1" applyBorder="1" applyAlignment="1">
      <alignment horizontal="left" vertical="top"/>
    </xf>
    <xf numFmtId="0" fontId="44" fillId="27" borderId="92" xfId="0" applyFont="1" applyFill="1" applyBorder="1" applyAlignment="1">
      <alignment horizontal="left" vertical="top"/>
    </xf>
    <xf numFmtId="0" fontId="44" fillId="27" borderId="93" xfId="0" applyFont="1" applyFill="1" applyBorder="1" applyAlignment="1">
      <alignment horizontal="left" vertical="top"/>
    </xf>
    <xf numFmtId="0" fontId="44" fillId="27" borderId="94" xfId="0" applyFont="1" applyFill="1" applyBorder="1" applyAlignment="1">
      <alignment horizontal="left" vertical="top"/>
    </xf>
    <xf numFmtId="0" fontId="45" fillId="26" borderId="92" xfId="0" applyFont="1" applyFill="1" applyBorder="1" applyAlignment="1">
      <alignment horizontal="left" vertical="top"/>
    </xf>
    <xf numFmtId="0" fontId="45" fillId="26" borderId="93" xfId="0" applyFont="1" applyFill="1" applyBorder="1" applyAlignment="1">
      <alignment horizontal="left" vertical="top"/>
    </xf>
    <xf numFmtId="0" fontId="45" fillId="26" borderId="94" xfId="0" applyFont="1" applyFill="1" applyBorder="1" applyAlignment="1">
      <alignment horizontal="left" vertical="top"/>
    </xf>
    <xf numFmtId="0" fontId="43" fillId="0" borderId="72" xfId="0" applyFont="1" applyBorder="1" applyAlignment="1">
      <alignment vertical="top"/>
    </xf>
    <xf numFmtId="0" fontId="43" fillId="0" borderId="73" xfId="0" applyFont="1" applyBorder="1" applyAlignment="1">
      <alignment vertical="top"/>
    </xf>
    <xf numFmtId="0" fontId="43" fillId="0" borderId="74" xfId="0" applyFont="1" applyBorder="1" applyAlignment="1">
      <alignment vertical="top"/>
    </xf>
    <xf numFmtId="0" fontId="43" fillId="34" borderId="95" xfId="0" applyFont="1" applyFill="1" applyBorder="1" applyAlignment="1">
      <alignment horizontal="left" vertical="top"/>
    </xf>
    <xf numFmtId="0" fontId="43" fillId="34" borderId="96" xfId="0" applyFont="1" applyFill="1" applyBorder="1" applyAlignment="1">
      <alignment horizontal="left" vertical="top"/>
    </xf>
    <xf numFmtId="0" fontId="43" fillId="34" borderId="97" xfId="0" applyFont="1" applyFill="1" applyBorder="1" applyAlignment="1">
      <alignment horizontal="left" vertical="top"/>
    </xf>
    <xf numFmtId="0" fontId="38" fillId="20" borderId="72" xfId="0" applyFont="1" applyFill="1" applyBorder="1" applyAlignment="1">
      <alignment horizontal="left" vertical="top" wrapText="1" shrinkToFit="1"/>
    </xf>
    <xf numFmtId="0" fontId="38" fillId="20" borderId="73" xfId="0" applyFont="1" applyFill="1" applyBorder="1" applyAlignment="1">
      <alignment horizontal="left" vertical="top" wrapText="1" shrinkToFit="1"/>
    </xf>
    <xf numFmtId="0" fontId="40" fillId="21" borderId="73" xfId="0" applyFont="1" applyFill="1" applyBorder="1" applyAlignment="1">
      <alignment vertical="top" wrapText="1"/>
    </xf>
    <xf numFmtId="0" fontId="40" fillId="21" borderId="74" xfId="0" applyFont="1" applyFill="1" applyBorder="1" applyAlignment="1">
      <alignment vertical="top" wrapText="1"/>
    </xf>
    <xf numFmtId="0" fontId="13" fillId="2" borderId="12" xfId="0" applyFont="1" applyFill="1" applyBorder="1" applyAlignment="1">
      <alignment horizontal="left" vertical="center" wrapText="1"/>
    </xf>
    <xf numFmtId="0" fontId="5" fillId="0" borderId="11" xfId="0" applyFont="1" applyBorder="1" applyAlignment="1">
      <alignment horizontal="left" vertical="center" wrapText="1"/>
    </xf>
    <xf numFmtId="0" fontId="15" fillId="2" borderId="12" xfId="0" applyFont="1" applyFill="1" applyBorder="1" applyAlignment="1">
      <alignment horizontal="left" vertical="center" wrapText="1"/>
    </xf>
    <xf numFmtId="0" fontId="13" fillId="7" borderId="13" xfId="0" applyFont="1" applyFill="1" applyBorder="1" applyAlignment="1">
      <alignment horizontal="left" vertical="center"/>
    </xf>
    <xf numFmtId="0" fontId="5" fillId="0" borderId="13" xfId="0" applyFont="1" applyBorder="1" applyAlignment="1">
      <alignment vertical="center"/>
    </xf>
    <xf numFmtId="0" fontId="13" fillId="2" borderId="11"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5" fillId="0" borderId="13" xfId="0" applyFont="1" applyBorder="1"/>
    <xf numFmtId="0" fontId="15" fillId="0" borderId="11" xfId="0" applyFont="1" applyBorder="1" applyAlignment="1">
      <alignment horizontal="left" vertical="center" wrapText="1"/>
    </xf>
    <xf numFmtId="3" fontId="10" fillId="6" borderId="3" xfId="0" applyNumberFormat="1" applyFont="1" applyFill="1" applyBorder="1" applyAlignment="1">
      <alignment horizontal="center" vertical="center" wrapText="1"/>
    </xf>
    <xf numFmtId="3" fontId="5" fillId="0" borderId="6" xfId="0" applyNumberFormat="1" applyFont="1" applyBorder="1"/>
    <xf numFmtId="49" fontId="10" fillId="6" borderId="7" xfId="0" applyNumberFormat="1" applyFont="1" applyFill="1" applyBorder="1" applyAlignment="1">
      <alignment horizontal="center" vertical="center" wrapText="1"/>
    </xf>
    <xf numFmtId="49" fontId="10" fillId="6" borderId="8" xfId="0" applyNumberFormat="1" applyFont="1" applyFill="1" applyBorder="1" applyAlignment="1">
      <alignment horizontal="center" vertical="center" wrapText="1"/>
    </xf>
    <xf numFmtId="0" fontId="13" fillId="7" borderId="10" xfId="0" applyFont="1" applyFill="1" applyBorder="1" applyAlignment="1">
      <alignment horizontal="left" vertical="center"/>
    </xf>
    <xf numFmtId="0" fontId="14" fillId="7" borderId="10" xfId="0" applyFont="1" applyFill="1" applyBorder="1" applyAlignment="1">
      <alignment vertical="center"/>
    </xf>
    <xf numFmtId="0" fontId="5" fillId="0" borderId="10" xfId="0" applyFont="1" applyBorder="1" applyAlignment="1">
      <alignment vertical="center"/>
    </xf>
    <xf numFmtId="3" fontId="10" fillId="6" borderId="2" xfId="0" applyNumberFormat="1" applyFont="1" applyFill="1" applyBorder="1" applyAlignment="1">
      <alignment horizontal="center" vertical="center" wrapText="1"/>
    </xf>
    <xf numFmtId="3" fontId="5" fillId="0" borderId="5" xfId="0" applyNumberFormat="1" applyFont="1" applyBorder="1"/>
    <xf numFmtId="0" fontId="8" fillId="0" borderId="0" xfId="4" applyFont="1" applyAlignment="1">
      <alignment horizontal="center" vertical="center" wrapText="1"/>
    </xf>
    <xf numFmtId="0" fontId="6" fillId="0" borderId="0" xfId="2" applyAlignment="1">
      <alignment horizontal="center" vertical="center" wrapText="1"/>
    </xf>
    <xf numFmtId="0" fontId="9" fillId="0" borderId="0" xfId="4" applyFont="1" applyAlignment="1">
      <alignment horizontal="center" vertical="center"/>
    </xf>
    <xf numFmtId="0" fontId="10" fillId="6"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0" fillId="6" borderId="2" xfId="0" applyFont="1" applyFill="1" applyBorder="1" applyAlignment="1">
      <alignment horizontal="center" vertical="center" wrapText="1"/>
    </xf>
    <xf numFmtId="0" fontId="5" fillId="0" borderId="5" xfId="0" applyFont="1" applyBorder="1"/>
    <xf numFmtId="0" fontId="18" fillId="11" borderId="0" xfId="0" applyFont="1" applyFill="1" applyAlignment="1">
      <alignment horizontal="center"/>
    </xf>
    <xf numFmtId="0" fontId="17" fillId="4" borderId="0" xfId="0" applyFont="1" applyFill="1" applyAlignment="1">
      <alignment horizontal="left" wrapText="1"/>
    </xf>
    <xf numFmtId="0" fontId="18" fillId="9" borderId="0" xfId="0" applyFont="1" applyFill="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0" fillId="4" borderId="0" xfId="0" applyFill="1" applyAlignment="1">
      <alignment horizontal="left"/>
    </xf>
    <xf numFmtId="0" fontId="0" fillId="4" borderId="0" xfId="0" applyFill="1" applyAlignment="1">
      <alignment horizontal="left" wrapText="1"/>
    </xf>
    <xf numFmtId="10" fontId="51" fillId="15" borderId="82" xfId="5" applyNumberFormat="1" applyFont="1" applyFill="1" applyBorder="1"/>
    <xf numFmtId="10" fontId="51" fillId="15" borderId="83" xfId="5" applyNumberFormat="1" applyFont="1" applyFill="1" applyBorder="1"/>
    <xf numFmtId="10" fontId="51" fillId="15" borderId="84" xfId="5" applyNumberFormat="1" applyFont="1" applyFill="1" applyBorder="1"/>
    <xf numFmtId="0" fontId="48" fillId="12" borderId="102" xfId="0" applyFont="1" applyFill="1" applyBorder="1" applyAlignment="1">
      <alignment horizontal="center"/>
    </xf>
    <xf numFmtId="0" fontId="48" fillId="12" borderId="103" xfId="0" applyFont="1" applyFill="1" applyBorder="1" applyAlignment="1">
      <alignment horizontal="center"/>
    </xf>
    <xf numFmtId="0" fontId="48" fillId="12" borderId="104" xfId="0" applyFont="1" applyFill="1" applyBorder="1" applyAlignment="1">
      <alignment horizontal="center"/>
    </xf>
    <xf numFmtId="0" fontId="50" fillId="18" borderId="105" xfId="0" applyFont="1" applyFill="1" applyBorder="1"/>
    <xf numFmtId="0" fontId="50" fillId="18" borderId="106" xfId="0" applyFont="1" applyFill="1" applyBorder="1"/>
    <xf numFmtId="0" fontId="50" fillId="18" borderId="107" xfId="0" applyFont="1" applyFill="1" applyBorder="1"/>
    <xf numFmtId="0" fontId="51" fillId="15" borderId="82" xfId="0" applyFont="1" applyFill="1" applyBorder="1" applyAlignment="1">
      <alignment horizontal="left"/>
    </xf>
    <xf numFmtId="164" fontId="51" fillId="15" borderId="83" xfId="0" applyNumberFormat="1" applyFont="1" applyFill="1" applyBorder="1" applyAlignment="1">
      <alignment horizontal="center"/>
    </xf>
    <xf numFmtId="166" fontId="51" fillId="15" borderId="83" xfId="1" applyNumberFormat="1" applyFont="1" applyFill="1" applyBorder="1" applyAlignment="1"/>
    <xf numFmtId="166" fontId="51" fillId="15" borderId="84" xfId="1" applyNumberFormat="1" applyFont="1" applyFill="1" applyBorder="1" applyAlignment="1"/>
    <xf numFmtId="10" fontId="43" fillId="28" borderId="80" xfId="5" applyNumberFormat="1" applyFont="1" applyFill="1" applyBorder="1" applyAlignment="1">
      <alignment vertical="top"/>
    </xf>
    <xf numFmtId="10" fontId="43" fillId="28" borderId="76" xfId="5" applyNumberFormat="1" applyFont="1" applyFill="1" applyBorder="1" applyAlignment="1">
      <alignment vertical="top"/>
    </xf>
    <xf numFmtId="10" fontId="43" fillId="28" borderId="81" xfId="5" applyNumberFormat="1" applyFont="1" applyFill="1" applyBorder="1" applyAlignment="1">
      <alignment vertical="top"/>
    </xf>
    <xf numFmtId="0" fontId="43" fillId="0" borderId="0" xfId="2" applyFont="1" applyAlignment="1">
      <alignment vertical="top"/>
    </xf>
    <xf numFmtId="166" fontId="43" fillId="0" borderId="76" xfId="1" applyNumberFormat="1" applyFont="1" applyBorder="1" applyAlignment="1">
      <alignment vertical="top"/>
    </xf>
    <xf numFmtId="166" fontId="43" fillId="0" borderId="81" xfId="1" applyNumberFormat="1" applyFont="1" applyBorder="1" applyAlignment="1">
      <alignment vertical="top"/>
    </xf>
    <xf numFmtId="10" fontId="43" fillId="0" borderId="80" xfId="5" applyNumberFormat="1" applyFont="1" applyBorder="1" applyAlignment="1">
      <alignment vertical="top"/>
    </xf>
    <xf numFmtId="10" fontId="43" fillId="0" borderId="76" xfId="5" applyNumberFormat="1" applyFont="1" applyBorder="1" applyAlignment="1">
      <alignment vertical="top"/>
    </xf>
    <xf numFmtId="10" fontId="43" fillId="0" borderId="81" xfId="5" applyNumberFormat="1" applyFont="1" applyBorder="1" applyAlignment="1">
      <alignment vertical="top"/>
    </xf>
    <xf numFmtId="0" fontId="43" fillId="35" borderId="80" xfId="0" applyFont="1" applyFill="1" applyBorder="1" applyAlignment="1">
      <alignment horizontal="left" vertical="top"/>
    </xf>
    <xf numFmtId="0" fontId="0" fillId="35" borderId="76" xfId="0" applyFill="1" applyBorder="1" applyAlignment="1">
      <alignment vertical="top"/>
    </xf>
    <xf numFmtId="0" fontId="0" fillId="35" borderId="81" xfId="0" applyFill="1" applyBorder="1" applyAlignment="1">
      <alignment vertical="top"/>
    </xf>
    <xf numFmtId="10" fontId="48" fillId="23" borderId="87" xfId="5" applyNumberFormat="1" applyFont="1" applyFill="1" applyBorder="1"/>
    <xf numFmtId="10" fontId="48" fillId="23" borderId="88" xfId="5" applyNumberFormat="1" applyFont="1" applyFill="1" applyBorder="1"/>
    <xf numFmtId="10" fontId="48" fillId="23" borderId="89" xfId="5" applyNumberFormat="1" applyFont="1" applyFill="1" applyBorder="1"/>
  </cellXfs>
  <cellStyles count="6">
    <cellStyle name="Normal 2" xfId="2" xr:uid="{02636DA3-4057-4F40-ACE6-2F842340B9DC}"/>
    <cellStyle name="Normal 2 2" xfId="3" xr:uid="{5CF76552-358B-48D2-BE7E-27275977AE70}"/>
    <cellStyle name="Normalno" xfId="0" builtinId="0"/>
    <cellStyle name="Postotak" xfId="5" builtinId="5"/>
    <cellStyle name="Style 1" xfId="4" xr:uid="{1B33317F-3D0E-434C-B94B-0A7365B43FCE}"/>
    <cellStyle name="Zarez" xfId="1" builtin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hr-HR">
                <a:latin typeface="Bahnschrift" panose="020B0502040204020203" pitchFamily="34" charset="0"/>
              </a:rPr>
              <a:t>Valamar - struktura pasive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sr-Latn-RS"/>
        </a:p>
      </c:txPr>
    </c:title>
    <c:autoTitleDeleted val="0"/>
    <c:plotArea>
      <c:layout/>
      <c:barChart>
        <c:barDir val="col"/>
        <c:grouping val="stacked"/>
        <c:varyColors val="0"/>
        <c:ser>
          <c:idx val="0"/>
          <c:order val="0"/>
          <c:tx>
            <c:strRef>
              <c:f>Bilanca!$K$143</c:f>
              <c:strCache>
                <c:ptCount val="1"/>
                <c:pt idx="0">
                  <c:v>A)  KAPITAL I REZERVE (AOP 068 do 070+076+077+083+086+089)</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Bilanca!$L$141:$O$141</c:f>
              <c:numCache>
                <c:formatCode>General</c:formatCode>
                <c:ptCount val="4"/>
              </c:numCache>
            </c:numRef>
          </c:cat>
          <c:val>
            <c:numRef>
              <c:f>Bilanca!$L$143:$O$143</c:f>
              <c:numCache>
                <c:formatCode>0.0%</c:formatCode>
                <c:ptCount val="4"/>
                <c:pt idx="0">
                  <c:v>0.41628355856704036</c:v>
                </c:pt>
                <c:pt idx="1">
                  <c:v>0.47892327074196461</c:v>
                </c:pt>
                <c:pt idx="2">
                  <c:v>0.5177210590476623</c:v>
                </c:pt>
                <c:pt idx="3">
                  <c:v>0.54080726360883857</c:v>
                </c:pt>
              </c:numCache>
            </c:numRef>
          </c:val>
          <c:extLst>
            <c:ext xmlns:c16="http://schemas.microsoft.com/office/drawing/2014/chart" uri="{C3380CC4-5D6E-409C-BE32-E72D297353CC}">
              <c16:uniqueId val="{00000000-9919-4293-9C48-55A2ED2431D4}"/>
            </c:ext>
          </c:extLst>
        </c:ser>
        <c:ser>
          <c:idx val="1"/>
          <c:order val="1"/>
          <c:tx>
            <c:strRef>
              <c:f>Bilanca!$K$144</c:f>
              <c:strCache>
                <c:ptCount val="1"/>
                <c:pt idx="0">
                  <c:v>B)  REZERVIRANJA (AOP 091 do 096)</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numRef>
              <c:f>Bilanca!$L$141:$O$141</c:f>
              <c:numCache>
                <c:formatCode>General</c:formatCode>
                <c:ptCount val="4"/>
              </c:numCache>
            </c:numRef>
          </c:cat>
          <c:val>
            <c:numRef>
              <c:f>Bilanca!$L$144:$O$144</c:f>
              <c:numCache>
                <c:formatCode>0.0%</c:formatCode>
                <c:ptCount val="4"/>
                <c:pt idx="0">
                  <c:v>2.0512642751601161E-2</c:v>
                </c:pt>
                <c:pt idx="1">
                  <c:v>2.4033200883270215E-2</c:v>
                </c:pt>
                <c:pt idx="2">
                  <c:v>2.7917766020256446E-2</c:v>
                </c:pt>
                <c:pt idx="3">
                  <c:v>1.0082661294639313E-2</c:v>
                </c:pt>
              </c:numCache>
            </c:numRef>
          </c:val>
          <c:extLst>
            <c:ext xmlns:c16="http://schemas.microsoft.com/office/drawing/2014/chart" uri="{C3380CC4-5D6E-409C-BE32-E72D297353CC}">
              <c16:uniqueId val="{00000001-9919-4293-9C48-55A2ED2431D4}"/>
            </c:ext>
          </c:extLst>
        </c:ser>
        <c:ser>
          <c:idx val="2"/>
          <c:order val="2"/>
          <c:tx>
            <c:strRef>
              <c:f>Bilanca!$K$145</c:f>
              <c:strCache>
                <c:ptCount val="1"/>
                <c:pt idx="0">
                  <c:v>C)  DUGOROČNE OBVEZE (AOP 098 do 108)</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Bilanca!$L$141:$O$141</c:f>
              <c:numCache>
                <c:formatCode>General</c:formatCode>
                <c:ptCount val="4"/>
              </c:numCache>
            </c:numRef>
          </c:cat>
          <c:val>
            <c:numRef>
              <c:f>Bilanca!$L$145:$O$145</c:f>
              <c:numCache>
                <c:formatCode>0.0%</c:formatCode>
                <c:ptCount val="4"/>
                <c:pt idx="0">
                  <c:v>0.41679115051838289</c:v>
                </c:pt>
                <c:pt idx="1">
                  <c:v>0.37817185000920917</c:v>
                </c:pt>
                <c:pt idx="2">
                  <c:v>0.33480337467711307</c:v>
                </c:pt>
                <c:pt idx="3">
                  <c:v>0.32038701855893797</c:v>
                </c:pt>
              </c:numCache>
            </c:numRef>
          </c:val>
          <c:extLst>
            <c:ext xmlns:c16="http://schemas.microsoft.com/office/drawing/2014/chart" uri="{C3380CC4-5D6E-409C-BE32-E72D297353CC}">
              <c16:uniqueId val="{00000002-9919-4293-9C48-55A2ED2431D4}"/>
            </c:ext>
          </c:extLst>
        </c:ser>
        <c:ser>
          <c:idx val="3"/>
          <c:order val="3"/>
          <c:tx>
            <c:strRef>
              <c:f>Bilanca!$K$146</c:f>
              <c:strCache>
                <c:ptCount val="1"/>
                <c:pt idx="0">
                  <c:v>D)  KRATKOROČNE OBVEZE (AOP 110 do 123)</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Bilanca!$L$141:$O$141</c:f>
              <c:numCache>
                <c:formatCode>General</c:formatCode>
                <c:ptCount val="4"/>
              </c:numCache>
            </c:numRef>
          </c:cat>
          <c:val>
            <c:numRef>
              <c:f>Bilanca!$L$146:$O$146</c:f>
              <c:numCache>
                <c:formatCode>0.0%</c:formatCode>
                <c:ptCount val="4"/>
                <c:pt idx="0">
                  <c:v>0.13582759000564321</c:v>
                </c:pt>
                <c:pt idx="1">
                  <c:v>0.10616355755661996</c:v>
                </c:pt>
                <c:pt idx="2">
                  <c:v>0.10793381837382809</c:v>
                </c:pt>
                <c:pt idx="3">
                  <c:v>0.10245454893846632</c:v>
                </c:pt>
              </c:numCache>
            </c:numRef>
          </c:val>
          <c:extLst>
            <c:ext xmlns:c16="http://schemas.microsoft.com/office/drawing/2014/chart" uri="{C3380CC4-5D6E-409C-BE32-E72D297353CC}">
              <c16:uniqueId val="{00000003-9919-4293-9C48-55A2ED2431D4}"/>
            </c:ext>
          </c:extLst>
        </c:ser>
        <c:ser>
          <c:idx val="4"/>
          <c:order val="4"/>
          <c:tx>
            <c:strRef>
              <c:f>Bilanca!$K$147</c:f>
              <c:strCache>
                <c:ptCount val="1"/>
                <c:pt idx="0">
                  <c:v>E) ODGOĐENO PLAĆANJE TROŠKOVA I PRIHOD BUDUĆEGA
     RAZDOBLJA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numRef>
              <c:f>Bilanca!$L$141:$O$141</c:f>
              <c:numCache>
                <c:formatCode>General</c:formatCode>
                <c:ptCount val="4"/>
              </c:numCache>
            </c:numRef>
          </c:cat>
          <c:val>
            <c:numRef>
              <c:f>Bilanca!$L$147:$O$147</c:f>
              <c:numCache>
                <c:formatCode>0.0%</c:formatCode>
                <c:ptCount val="4"/>
                <c:pt idx="0">
                  <c:v>1.0585058157332407E-2</c:v>
                </c:pt>
                <c:pt idx="1">
                  <c:v>1.270812080893604E-2</c:v>
                </c:pt>
                <c:pt idx="2">
                  <c:v>1.1623981881140104E-2</c:v>
                </c:pt>
                <c:pt idx="3">
                  <c:v>2.6268507599117835E-2</c:v>
                </c:pt>
              </c:numCache>
            </c:numRef>
          </c:val>
          <c:extLst>
            <c:ext xmlns:c16="http://schemas.microsoft.com/office/drawing/2014/chart" uri="{C3380CC4-5D6E-409C-BE32-E72D297353CC}">
              <c16:uniqueId val="{00000004-9919-4293-9C48-55A2ED2431D4}"/>
            </c:ext>
          </c:extLst>
        </c:ser>
        <c:dLbls>
          <c:showLegendKey val="0"/>
          <c:showVal val="0"/>
          <c:showCatName val="0"/>
          <c:showSerName val="0"/>
          <c:showPercent val="0"/>
          <c:showBubbleSize val="0"/>
        </c:dLbls>
        <c:gapWidth val="150"/>
        <c:overlap val="100"/>
        <c:axId val="179967184"/>
        <c:axId val="179958544"/>
      </c:barChart>
      <c:catAx>
        <c:axId val="1799671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r-Latn-RS"/>
          </a:p>
        </c:txPr>
        <c:crossAx val="179958544"/>
        <c:crosses val="autoZero"/>
        <c:auto val="1"/>
        <c:lblAlgn val="ctr"/>
        <c:lblOffset val="100"/>
        <c:noMultiLvlLbl val="0"/>
      </c:catAx>
      <c:valAx>
        <c:axId val="17995854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r-Latn-RS"/>
          </a:p>
        </c:txPr>
        <c:crossAx val="179967184"/>
        <c:crosses val="autoZero"/>
        <c:crossBetween val="between"/>
      </c:valAx>
      <c:spPr>
        <a:noFill/>
        <a:ln>
          <a:noFill/>
        </a:ln>
        <a:effectLst/>
      </c:spPr>
    </c:plotArea>
    <c:legend>
      <c:legendPos val="b"/>
      <c:layout>
        <c:manualLayout>
          <c:xMode val="edge"/>
          <c:yMode val="edge"/>
          <c:x val="0.13994233165148751"/>
          <c:y val="0.38714785651793526"/>
          <c:w val="0.78088508686583002"/>
          <c:h val="0.585074365704286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 Valamar - struktura aktive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stacked"/>
        <c:varyColors val="0"/>
        <c:ser>
          <c:idx val="0"/>
          <c:order val="0"/>
          <c:tx>
            <c:strRef>
              <c:f>Bilanca!$J$131</c:f>
              <c:strCache>
                <c:ptCount val="1"/>
                <c:pt idx="0">
                  <c:v>A)  POTRAŽIVANJA ZA UPISANI A NEUPLAĆENI KAPITAL</c:v>
                </c:pt>
              </c:strCache>
            </c:strRef>
          </c:tx>
          <c:spPr>
            <a:solidFill>
              <a:schemeClr val="accent1"/>
            </a:solidFill>
            <a:ln>
              <a:noFill/>
            </a:ln>
            <a:effectLst/>
          </c:spPr>
          <c:invertIfNegative val="0"/>
          <c:cat>
            <c:numRef>
              <c:f>Bilanca!$K$130:$N$130</c:f>
              <c:numCache>
                <c:formatCode>General</c:formatCode>
                <c:ptCount val="4"/>
                <c:pt idx="0">
                  <c:v>2020</c:v>
                </c:pt>
                <c:pt idx="1">
                  <c:v>2021</c:v>
                </c:pt>
                <c:pt idx="2">
                  <c:v>2022</c:v>
                </c:pt>
                <c:pt idx="3">
                  <c:v>2023</c:v>
                </c:pt>
              </c:numCache>
            </c:numRef>
          </c:cat>
          <c:val>
            <c:numRef>
              <c:f>Bilanca!$K$131:$N$131</c:f>
              <c:numCache>
                <c:formatCode>0.0%</c:formatCode>
                <c:ptCount val="4"/>
                <c:pt idx="0">
                  <c:v>0</c:v>
                </c:pt>
                <c:pt idx="1">
                  <c:v>0</c:v>
                </c:pt>
                <c:pt idx="2">
                  <c:v>0</c:v>
                </c:pt>
                <c:pt idx="3">
                  <c:v>0</c:v>
                </c:pt>
              </c:numCache>
            </c:numRef>
          </c:val>
          <c:extLst>
            <c:ext xmlns:c16="http://schemas.microsoft.com/office/drawing/2014/chart" uri="{C3380CC4-5D6E-409C-BE32-E72D297353CC}">
              <c16:uniqueId val="{00000000-1C52-4BF5-AEE9-06F024D41413}"/>
            </c:ext>
          </c:extLst>
        </c:ser>
        <c:ser>
          <c:idx val="1"/>
          <c:order val="1"/>
          <c:tx>
            <c:strRef>
              <c:f>Bilanca!$J$132</c:f>
              <c:strCache>
                <c:ptCount val="1"/>
                <c:pt idx="0">
                  <c:v>B)  DUGOTRAJNA IMOVINA (AOP 003+010+020+031+036)</c:v>
                </c:pt>
              </c:strCache>
            </c:strRef>
          </c:tx>
          <c:spPr>
            <a:solidFill>
              <a:schemeClr val="accent2"/>
            </a:solidFill>
            <a:ln>
              <a:noFill/>
            </a:ln>
            <a:effectLst/>
          </c:spPr>
          <c:invertIfNegative val="0"/>
          <c:cat>
            <c:numRef>
              <c:f>Bilanca!$K$130:$N$130</c:f>
              <c:numCache>
                <c:formatCode>General</c:formatCode>
                <c:ptCount val="4"/>
                <c:pt idx="0">
                  <c:v>2020</c:v>
                </c:pt>
                <c:pt idx="1">
                  <c:v>2021</c:v>
                </c:pt>
                <c:pt idx="2">
                  <c:v>2022</c:v>
                </c:pt>
                <c:pt idx="3">
                  <c:v>2023</c:v>
                </c:pt>
              </c:numCache>
            </c:numRef>
          </c:cat>
          <c:val>
            <c:numRef>
              <c:f>Bilanca!$K$132:$N$132</c:f>
              <c:numCache>
                <c:formatCode>0.0%</c:formatCode>
                <c:ptCount val="4"/>
                <c:pt idx="0">
                  <c:v>0.88481493547135137</c:v>
                </c:pt>
                <c:pt idx="1">
                  <c:v>0.82039231446344563</c:v>
                </c:pt>
                <c:pt idx="2">
                  <c:v>0.85945550215007727</c:v>
                </c:pt>
                <c:pt idx="3">
                  <c:v>0.88117043884628576</c:v>
                </c:pt>
              </c:numCache>
            </c:numRef>
          </c:val>
          <c:extLst>
            <c:ext xmlns:c16="http://schemas.microsoft.com/office/drawing/2014/chart" uri="{C3380CC4-5D6E-409C-BE32-E72D297353CC}">
              <c16:uniqueId val="{00000001-1C52-4BF5-AEE9-06F024D41413}"/>
            </c:ext>
          </c:extLst>
        </c:ser>
        <c:ser>
          <c:idx val="2"/>
          <c:order val="2"/>
          <c:tx>
            <c:strRef>
              <c:f>Bilanca!$K$133</c:f>
              <c:strCache>
                <c:ptCount val="1"/>
                <c:pt idx="0">
                  <c:v>C)  KRATKOTRAJNA IMOVINA (AOP 038+046+053+063)</c:v>
                </c:pt>
              </c:strCache>
            </c:strRef>
          </c:tx>
          <c:spPr>
            <a:solidFill>
              <a:schemeClr val="accent3"/>
            </a:solidFill>
            <a:ln>
              <a:noFill/>
            </a:ln>
            <a:effectLst/>
          </c:spPr>
          <c:invertIfNegative val="0"/>
          <c:cat>
            <c:numRef>
              <c:f>Bilanca!$K$130:$N$130</c:f>
              <c:numCache>
                <c:formatCode>General</c:formatCode>
                <c:ptCount val="4"/>
                <c:pt idx="0">
                  <c:v>2020</c:v>
                </c:pt>
                <c:pt idx="1">
                  <c:v>2021</c:v>
                </c:pt>
                <c:pt idx="2">
                  <c:v>2022</c:v>
                </c:pt>
                <c:pt idx="3">
                  <c:v>2023</c:v>
                </c:pt>
              </c:numCache>
            </c:numRef>
          </c:cat>
          <c:val>
            <c:numRef>
              <c:f>Bilanca!$L$133:$O$133</c:f>
              <c:numCache>
                <c:formatCode>0.0%</c:formatCode>
                <c:ptCount val="4"/>
                <c:pt idx="0">
                  <c:v>0.10713821759675589</c:v>
                </c:pt>
                <c:pt idx="1">
                  <c:v>0.17616977583929583</c:v>
                </c:pt>
                <c:pt idx="2">
                  <c:v>0.13784032691223622</c:v>
                </c:pt>
                <c:pt idx="3">
                  <c:v>0.11427408325801371</c:v>
                </c:pt>
              </c:numCache>
            </c:numRef>
          </c:val>
          <c:extLst>
            <c:ext xmlns:c16="http://schemas.microsoft.com/office/drawing/2014/chart" uri="{C3380CC4-5D6E-409C-BE32-E72D297353CC}">
              <c16:uniqueId val="{00000002-1C52-4BF5-AEE9-06F024D41413}"/>
            </c:ext>
          </c:extLst>
        </c:ser>
        <c:ser>
          <c:idx val="3"/>
          <c:order val="3"/>
          <c:tx>
            <c:strRef>
              <c:f>Bilanca!$K$134</c:f>
              <c:strCache>
                <c:ptCount val="1"/>
                <c:pt idx="0">
                  <c:v>D)  PLAĆENI TROŠKOVI BUDUĆEG RAZDOBLJA I OBRAČUNATI
      PRIHODI</c:v>
                </c:pt>
              </c:strCache>
            </c:strRef>
          </c:tx>
          <c:spPr>
            <a:solidFill>
              <a:schemeClr val="accent4"/>
            </a:solidFill>
            <a:ln>
              <a:noFill/>
            </a:ln>
            <a:effectLst/>
          </c:spPr>
          <c:invertIfNegative val="0"/>
          <c:cat>
            <c:numRef>
              <c:f>Bilanca!$K$130:$N$130</c:f>
              <c:numCache>
                <c:formatCode>General</c:formatCode>
                <c:ptCount val="4"/>
                <c:pt idx="0">
                  <c:v>2020</c:v>
                </c:pt>
                <c:pt idx="1">
                  <c:v>2021</c:v>
                </c:pt>
                <c:pt idx="2">
                  <c:v>2022</c:v>
                </c:pt>
                <c:pt idx="3">
                  <c:v>2023</c:v>
                </c:pt>
              </c:numCache>
            </c:numRef>
          </c:cat>
          <c:val>
            <c:numRef>
              <c:f>Bilanca!$L$134:$O$134</c:f>
              <c:numCache>
                <c:formatCode>0.0%</c:formatCode>
                <c:ptCount val="4"/>
                <c:pt idx="0">
                  <c:v>8.0468469318928544E-3</c:v>
                </c:pt>
                <c:pt idx="1">
                  <c:v>3.4379096972586539E-3</c:v>
                </c:pt>
                <c:pt idx="2">
                  <c:v>2.7041709376865279E-3</c:v>
                </c:pt>
                <c:pt idx="3">
                  <c:v>4.5554778957005004E-3</c:v>
                </c:pt>
              </c:numCache>
            </c:numRef>
          </c:val>
          <c:extLst>
            <c:ext xmlns:c16="http://schemas.microsoft.com/office/drawing/2014/chart" uri="{C3380CC4-5D6E-409C-BE32-E72D297353CC}">
              <c16:uniqueId val="{00000003-1C52-4BF5-AEE9-06F024D41413}"/>
            </c:ext>
          </c:extLst>
        </c:ser>
        <c:dLbls>
          <c:showLegendKey val="0"/>
          <c:showVal val="0"/>
          <c:showCatName val="0"/>
          <c:showSerName val="0"/>
          <c:showPercent val="0"/>
          <c:showBubbleSize val="0"/>
        </c:dLbls>
        <c:gapWidth val="150"/>
        <c:overlap val="100"/>
        <c:axId val="168382096"/>
        <c:axId val="168370096"/>
      </c:barChart>
      <c:catAx>
        <c:axId val="16838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68370096"/>
        <c:crosses val="autoZero"/>
        <c:auto val="1"/>
        <c:lblAlgn val="ctr"/>
        <c:lblOffset val="100"/>
        <c:noMultiLvlLbl val="0"/>
      </c:catAx>
      <c:valAx>
        <c:axId val="1683700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16838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Valamar - Struktura dugotrajne materijalne imovine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stacked"/>
        <c:varyColors val="0"/>
        <c:ser>
          <c:idx val="8"/>
          <c:order val="0"/>
          <c:tx>
            <c:strRef>
              <c:f>Bilanca!$Q$21</c:f>
              <c:strCache>
                <c:ptCount val="1"/>
                <c:pt idx="0">
                  <c:v>    9. Ulaganje u nekretnine</c:v>
                </c:pt>
              </c:strCache>
            </c:strRef>
          </c:tx>
          <c:spPr>
            <a:solidFill>
              <a:schemeClr val="accent3">
                <a:lumMod val="60000"/>
              </a:schemeClr>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Bilanca!$R$21:$U$21</c:f>
              <c:numCache>
                <c:formatCode>_-* #,##0_-;\-* #,##0_-;_-* "-"??_-;_-@_-</c:formatCode>
                <c:ptCount val="4"/>
                <c:pt idx="0">
                  <c:v>523250.11613245733</c:v>
                </c:pt>
                <c:pt idx="1">
                  <c:v>422056.00902515097</c:v>
                </c:pt>
                <c:pt idx="2">
                  <c:v>385179</c:v>
                </c:pt>
                <c:pt idx="3">
                  <c:v>348302</c:v>
                </c:pt>
              </c:numCache>
            </c:numRef>
          </c:val>
          <c:extLst>
            <c:ext xmlns:c16="http://schemas.microsoft.com/office/drawing/2014/chart" uri="{C3380CC4-5D6E-409C-BE32-E72D297353CC}">
              <c16:uniqueId val="{00000008-3616-4842-AD3E-7BAAFFBDAC9E}"/>
            </c:ext>
          </c:extLst>
        </c:ser>
        <c:ser>
          <c:idx val="7"/>
          <c:order val="1"/>
          <c:tx>
            <c:strRef>
              <c:f>Bilanca!$Q$20</c:f>
              <c:strCache>
                <c:ptCount val="1"/>
                <c:pt idx="0">
                  <c:v>    8. Ostala materijalna imovina</c:v>
                </c:pt>
              </c:strCache>
            </c:strRef>
          </c:tx>
          <c:spPr>
            <a:solidFill>
              <a:schemeClr val="accent2">
                <a:lumMod val="60000"/>
              </a:schemeClr>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Bilanca!$R$20:$U$20</c:f>
              <c:numCache>
                <c:formatCode>_-* #,##0_-;\-* #,##0_-;_-* "-"??_-;_-@_-</c:formatCode>
                <c:ptCount val="4"/>
                <c:pt idx="0">
                  <c:v>9661122.1713451445</c:v>
                </c:pt>
                <c:pt idx="1">
                  <c:v>7099858.1193178045</c:v>
                </c:pt>
                <c:pt idx="2">
                  <c:v>6348230</c:v>
                </c:pt>
                <c:pt idx="3">
                  <c:v>6032708</c:v>
                </c:pt>
              </c:numCache>
            </c:numRef>
          </c:val>
          <c:extLst>
            <c:ext xmlns:c16="http://schemas.microsoft.com/office/drawing/2014/chart" uri="{C3380CC4-5D6E-409C-BE32-E72D297353CC}">
              <c16:uniqueId val="{00000007-3616-4842-AD3E-7BAAFFBDAC9E}"/>
            </c:ext>
          </c:extLst>
        </c:ser>
        <c:ser>
          <c:idx val="6"/>
          <c:order val="2"/>
          <c:tx>
            <c:strRef>
              <c:f>Bilanca!$Q$19</c:f>
              <c:strCache>
                <c:ptCount val="1"/>
                <c:pt idx="0">
                  <c:v>    7. Materijalna imovina u pripremi</c:v>
                </c:pt>
              </c:strCache>
            </c:strRef>
          </c:tx>
          <c:spPr>
            <a:solidFill>
              <a:schemeClr val="accent1">
                <a:lumMod val="60000"/>
              </a:schemeClr>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Bilanca!$R$19:$U$19</c:f>
              <c:numCache>
                <c:formatCode>_-* #,##0_-;\-* #,##0_-;_-* "-"??_-;_-@_-</c:formatCode>
                <c:ptCount val="4"/>
                <c:pt idx="0">
                  <c:v>58798336.054150902</c:v>
                </c:pt>
                <c:pt idx="1">
                  <c:v>38295028.070873976</c:v>
                </c:pt>
                <c:pt idx="2">
                  <c:v>38988417</c:v>
                </c:pt>
                <c:pt idx="3">
                  <c:v>41738408</c:v>
                </c:pt>
              </c:numCache>
            </c:numRef>
          </c:val>
          <c:extLst>
            <c:ext xmlns:c16="http://schemas.microsoft.com/office/drawing/2014/chart" uri="{C3380CC4-5D6E-409C-BE32-E72D297353CC}">
              <c16:uniqueId val="{00000006-3616-4842-AD3E-7BAAFFBDAC9E}"/>
            </c:ext>
          </c:extLst>
        </c:ser>
        <c:ser>
          <c:idx val="5"/>
          <c:order val="3"/>
          <c:tx>
            <c:strRef>
              <c:f>Bilanca!$Q$18</c:f>
              <c:strCache>
                <c:ptCount val="1"/>
                <c:pt idx="0">
                  <c:v>    6. Predujmovi za materijalnu imovinu</c:v>
                </c:pt>
              </c:strCache>
            </c:strRef>
          </c:tx>
          <c:spPr>
            <a:solidFill>
              <a:schemeClr val="accent6"/>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Bilanca!$R$18:$U$18</c:f>
              <c:numCache>
                <c:formatCode>_-* #,##0_-;\-* #,##0_-;_-* "-"??_-;_-@_-</c:formatCode>
                <c:ptCount val="4"/>
                <c:pt idx="0">
                  <c:v>131138.23080496382</c:v>
                </c:pt>
                <c:pt idx="1">
                  <c:v>5644.4355962572163</c:v>
                </c:pt>
                <c:pt idx="2">
                  <c:v>343333</c:v>
                </c:pt>
                <c:pt idx="3">
                  <c:v>117031</c:v>
                </c:pt>
              </c:numCache>
            </c:numRef>
          </c:val>
          <c:extLst>
            <c:ext xmlns:c16="http://schemas.microsoft.com/office/drawing/2014/chart" uri="{C3380CC4-5D6E-409C-BE32-E72D297353CC}">
              <c16:uniqueId val="{00000005-3616-4842-AD3E-7BAAFFBDAC9E}"/>
            </c:ext>
          </c:extLst>
        </c:ser>
        <c:ser>
          <c:idx val="4"/>
          <c:order val="4"/>
          <c:tx>
            <c:strRef>
              <c:f>Bilanca!$Q$17</c:f>
              <c:strCache>
                <c:ptCount val="1"/>
                <c:pt idx="0">
                  <c:v>    5. Biološka imovina</c:v>
                </c:pt>
              </c:strCache>
            </c:strRef>
          </c:tx>
          <c:spPr>
            <a:solidFill>
              <a:schemeClr val="accent5"/>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Bilanca!$R$17:$U$17</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4-3616-4842-AD3E-7BAAFFBDAC9E}"/>
            </c:ext>
          </c:extLst>
        </c:ser>
        <c:ser>
          <c:idx val="3"/>
          <c:order val="5"/>
          <c:tx>
            <c:strRef>
              <c:f>Bilanca!$Q$16</c:f>
              <c:strCache>
                <c:ptCount val="1"/>
                <c:pt idx="0">
                  <c:v>    4. Alati, pogonski inventar i transportna imovina</c:v>
                </c:pt>
              </c:strCache>
            </c:strRef>
          </c:tx>
          <c:spPr>
            <a:solidFill>
              <a:schemeClr val="accent4"/>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Bilanca!$R$16:$U$16</c:f>
              <c:numCache>
                <c:formatCode>_-* #,##0_-;\-* #,##0_-;_-* "-"??_-;_-@_-</c:formatCode>
                <c:ptCount val="4"/>
                <c:pt idx="0">
                  <c:v>15467881.876700509</c:v>
                </c:pt>
                <c:pt idx="1">
                  <c:v>13275714.911407525</c:v>
                </c:pt>
                <c:pt idx="2">
                  <c:v>13024865</c:v>
                </c:pt>
                <c:pt idx="3">
                  <c:v>14412117</c:v>
                </c:pt>
              </c:numCache>
            </c:numRef>
          </c:val>
          <c:extLst>
            <c:ext xmlns:c16="http://schemas.microsoft.com/office/drawing/2014/chart" uri="{C3380CC4-5D6E-409C-BE32-E72D297353CC}">
              <c16:uniqueId val="{00000003-3616-4842-AD3E-7BAAFFBDAC9E}"/>
            </c:ext>
          </c:extLst>
        </c:ser>
        <c:ser>
          <c:idx val="2"/>
          <c:order val="6"/>
          <c:tx>
            <c:strRef>
              <c:f>Bilanca!$Q$15</c:f>
              <c:strCache>
                <c:ptCount val="1"/>
                <c:pt idx="0">
                  <c:v>    3. Postrojenja i oprema </c:v>
                </c:pt>
              </c:strCache>
            </c:strRef>
          </c:tx>
          <c:spPr>
            <a:solidFill>
              <a:schemeClr val="accent3"/>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Bilanca!$R$15:$U$15</c:f>
              <c:numCache>
                <c:formatCode>_-* #,##0_-;\-* #,##0_-;_-* "-"??_-;_-@_-</c:formatCode>
                <c:ptCount val="4"/>
                <c:pt idx="0">
                  <c:v>64867370.097551264</c:v>
                </c:pt>
                <c:pt idx="1">
                  <c:v>57368304.200676881</c:v>
                </c:pt>
                <c:pt idx="2">
                  <c:v>54661538</c:v>
                </c:pt>
                <c:pt idx="3">
                  <c:v>57687356</c:v>
                </c:pt>
              </c:numCache>
            </c:numRef>
          </c:val>
          <c:extLst>
            <c:ext xmlns:c16="http://schemas.microsoft.com/office/drawing/2014/chart" uri="{C3380CC4-5D6E-409C-BE32-E72D297353CC}">
              <c16:uniqueId val="{00000002-3616-4842-AD3E-7BAAFFBDAC9E}"/>
            </c:ext>
          </c:extLst>
        </c:ser>
        <c:ser>
          <c:idx val="1"/>
          <c:order val="7"/>
          <c:tx>
            <c:strRef>
              <c:f>Bilanca!$Q$14</c:f>
              <c:strCache>
                <c:ptCount val="1"/>
                <c:pt idx="0">
                  <c:v>    2. Građevinski objekti</c:v>
                </c:pt>
              </c:strCache>
            </c:strRef>
          </c:tx>
          <c:spPr>
            <a:solidFill>
              <a:schemeClr val="accent2"/>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Bilanca!$R$14:$U$14</c:f>
              <c:numCache>
                <c:formatCode>_-* #,##0_-;\-* #,##0_-;_-* "-"??_-;_-@_-</c:formatCode>
                <c:ptCount val="4"/>
                <c:pt idx="0">
                  <c:v>472554754.92733425</c:v>
                </c:pt>
                <c:pt idx="1">
                  <c:v>446363573.56161654</c:v>
                </c:pt>
                <c:pt idx="2">
                  <c:v>426366730</c:v>
                </c:pt>
                <c:pt idx="3">
                  <c:v>412109694</c:v>
                </c:pt>
              </c:numCache>
            </c:numRef>
          </c:val>
          <c:extLst>
            <c:ext xmlns:c16="http://schemas.microsoft.com/office/drawing/2014/chart" uri="{C3380CC4-5D6E-409C-BE32-E72D297353CC}">
              <c16:uniqueId val="{00000001-3616-4842-AD3E-7BAAFFBDAC9E}"/>
            </c:ext>
          </c:extLst>
        </c:ser>
        <c:ser>
          <c:idx val="0"/>
          <c:order val="8"/>
          <c:tx>
            <c:strRef>
              <c:f>Bilanca!$Q$13</c:f>
              <c:strCache>
                <c:ptCount val="1"/>
                <c:pt idx="0">
                  <c:v>    1. Zemljište</c:v>
                </c:pt>
              </c:strCache>
            </c:strRef>
          </c:tx>
          <c:spPr>
            <a:solidFill>
              <a:schemeClr val="accent1"/>
            </a:solidFill>
            <a:ln>
              <a:noFill/>
            </a:ln>
            <a:effectLst/>
          </c:spPr>
          <c:invertIfNegative val="0"/>
          <c:cat>
            <c:numRef>
              <c:f>Bilanca!$R$12:$U$12</c:f>
              <c:numCache>
                <c:formatCode>General</c:formatCode>
                <c:ptCount val="4"/>
                <c:pt idx="0">
                  <c:v>2020</c:v>
                </c:pt>
                <c:pt idx="1">
                  <c:v>2021</c:v>
                </c:pt>
                <c:pt idx="2">
                  <c:v>2022</c:v>
                </c:pt>
                <c:pt idx="3">
                  <c:v>2023</c:v>
                </c:pt>
              </c:numCache>
            </c:numRef>
          </c:cat>
          <c:val>
            <c:numRef>
              <c:f>Bilanca!$R$13:$U$13</c:f>
              <c:numCache>
                <c:formatCode>_-* #,##0_-;\-* #,##0_-;_-* "-"??_-;_-@_-</c:formatCode>
                <c:ptCount val="4"/>
                <c:pt idx="0">
                  <c:v>129594426.57110624</c:v>
                </c:pt>
                <c:pt idx="1">
                  <c:v>130191056.34083216</c:v>
                </c:pt>
                <c:pt idx="2">
                  <c:v>130045135</c:v>
                </c:pt>
                <c:pt idx="3">
                  <c:v>129883886</c:v>
                </c:pt>
              </c:numCache>
            </c:numRef>
          </c:val>
          <c:extLst>
            <c:ext xmlns:c16="http://schemas.microsoft.com/office/drawing/2014/chart" uri="{C3380CC4-5D6E-409C-BE32-E72D297353CC}">
              <c16:uniqueId val="{00000000-3616-4842-AD3E-7BAAFFBDAC9E}"/>
            </c:ext>
          </c:extLst>
        </c:ser>
        <c:dLbls>
          <c:showLegendKey val="0"/>
          <c:showVal val="0"/>
          <c:showCatName val="0"/>
          <c:showSerName val="0"/>
          <c:showPercent val="0"/>
          <c:showBubbleSize val="0"/>
        </c:dLbls>
        <c:gapWidth val="150"/>
        <c:overlap val="100"/>
        <c:axId val="665695391"/>
        <c:axId val="665709791"/>
      </c:barChart>
      <c:catAx>
        <c:axId val="66569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65709791"/>
        <c:crosses val="autoZero"/>
        <c:auto val="1"/>
        <c:lblAlgn val="ctr"/>
        <c:lblOffset val="100"/>
        <c:noMultiLvlLbl val="0"/>
      </c:catAx>
      <c:valAx>
        <c:axId val="665709791"/>
        <c:scaling>
          <c:orientation val="minMax"/>
          <c:max val="1000000000"/>
          <c:min val="0"/>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656953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r-Latn-R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lineChart>
        <c:grouping val="standard"/>
        <c:varyColors val="0"/>
        <c:ser>
          <c:idx val="0"/>
          <c:order val="0"/>
          <c:tx>
            <c:strRef>
              <c:f>Bilanca!$A$156</c:f>
              <c:strCache>
                <c:ptCount val="1"/>
                <c:pt idx="0">
                  <c:v>A)  KAPITAL I REZERVE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Bilanca!$B$155:$E$155</c:f>
              <c:numCache>
                <c:formatCode>General</c:formatCode>
                <c:ptCount val="4"/>
                <c:pt idx="0">
                  <c:v>2020</c:v>
                </c:pt>
                <c:pt idx="1">
                  <c:v>2021</c:v>
                </c:pt>
                <c:pt idx="2">
                  <c:v>2022</c:v>
                </c:pt>
                <c:pt idx="3">
                  <c:v>2023</c:v>
                </c:pt>
              </c:numCache>
            </c:numRef>
          </c:cat>
          <c:val>
            <c:numRef>
              <c:f>Bilanca!$B$156:$E$156</c:f>
              <c:numCache>
                <c:formatCode>_-* #,##0_-;\-* #,##0_-;_-* "-"??_-;_-@_-</c:formatCode>
                <c:ptCount val="4"/>
                <c:pt idx="0">
                  <c:v>380099187.20552123</c:v>
                </c:pt>
                <c:pt idx="1">
                  <c:v>439452890.96821284</c:v>
                </c:pt>
                <c:pt idx="2">
                  <c:v>441126555</c:v>
                </c:pt>
                <c:pt idx="3">
                  <c:v>446821035</c:v>
                </c:pt>
              </c:numCache>
            </c:numRef>
          </c:val>
          <c:smooth val="0"/>
          <c:extLst>
            <c:ext xmlns:c16="http://schemas.microsoft.com/office/drawing/2014/chart" uri="{C3380CC4-5D6E-409C-BE32-E72D297353CC}">
              <c16:uniqueId val="{00000000-1C08-41AA-BC22-0F24617ED4E7}"/>
            </c:ext>
          </c:extLst>
        </c:ser>
        <c:ser>
          <c:idx val="1"/>
          <c:order val="1"/>
          <c:tx>
            <c:strRef>
              <c:f>Bilanca!$A$157</c:f>
              <c:strCache>
                <c:ptCount val="1"/>
                <c:pt idx="0">
                  <c:v>B)  REZERVIRANJA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Bilanca!$B$155:$E$155</c:f>
              <c:numCache>
                <c:formatCode>General</c:formatCode>
                <c:ptCount val="4"/>
                <c:pt idx="0">
                  <c:v>2020</c:v>
                </c:pt>
                <c:pt idx="1">
                  <c:v>2021</c:v>
                </c:pt>
                <c:pt idx="2">
                  <c:v>2022</c:v>
                </c:pt>
                <c:pt idx="3">
                  <c:v>2023</c:v>
                </c:pt>
              </c:numCache>
            </c:numRef>
          </c:cat>
          <c:val>
            <c:numRef>
              <c:f>Bilanca!$B$157:$E$157</c:f>
              <c:numCache>
                <c:formatCode>_-* #,##0_-;\-* #,##0_-;_-* "-"??_-;_-@_-</c:formatCode>
                <c:ptCount val="4"/>
                <c:pt idx="0">
                  <c:v>18729634.348662816</c:v>
                </c:pt>
                <c:pt idx="1">
                  <c:v>22052508.726524651</c:v>
                </c:pt>
                <c:pt idx="2">
                  <c:v>23787458</c:v>
                </c:pt>
                <c:pt idx="3">
                  <c:v>8330408</c:v>
                </c:pt>
              </c:numCache>
            </c:numRef>
          </c:val>
          <c:smooth val="0"/>
          <c:extLst>
            <c:ext xmlns:c16="http://schemas.microsoft.com/office/drawing/2014/chart" uri="{C3380CC4-5D6E-409C-BE32-E72D297353CC}">
              <c16:uniqueId val="{00000001-1C08-41AA-BC22-0F24617ED4E7}"/>
            </c:ext>
          </c:extLst>
        </c:ser>
        <c:ser>
          <c:idx val="2"/>
          <c:order val="2"/>
          <c:tx>
            <c:strRef>
              <c:f>Bilanca!$A$158</c:f>
              <c:strCache>
                <c:ptCount val="1"/>
                <c:pt idx="0">
                  <c:v>C)  DUGOROČNE OBVEZE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Bilanca!$B$155:$E$155</c:f>
              <c:numCache>
                <c:formatCode>General</c:formatCode>
                <c:ptCount val="4"/>
                <c:pt idx="0">
                  <c:v>2020</c:v>
                </c:pt>
                <c:pt idx="1">
                  <c:v>2021</c:v>
                </c:pt>
                <c:pt idx="2">
                  <c:v>2022</c:v>
                </c:pt>
                <c:pt idx="3">
                  <c:v>2023</c:v>
                </c:pt>
              </c:numCache>
            </c:numRef>
          </c:cat>
          <c:val>
            <c:numRef>
              <c:f>Bilanca!$B$158:$E$158</c:f>
              <c:numCache>
                <c:formatCode>_-* #,##0_-;\-* #,##0_-;_-* "-"??_-;_-@_-</c:formatCode>
                <c:ptCount val="4"/>
                <c:pt idx="0">
                  <c:v>380562658.03968412</c:v>
                </c:pt>
                <c:pt idx="1">
                  <c:v>347004881.41217065</c:v>
                </c:pt>
                <c:pt idx="2">
                  <c:v>285270720</c:v>
                </c:pt>
                <c:pt idx="3">
                  <c:v>264707353</c:v>
                </c:pt>
              </c:numCache>
            </c:numRef>
          </c:val>
          <c:smooth val="0"/>
          <c:extLst>
            <c:ext xmlns:c16="http://schemas.microsoft.com/office/drawing/2014/chart" uri="{C3380CC4-5D6E-409C-BE32-E72D297353CC}">
              <c16:uniqueId val="{00000002-1C08-41AA-BC22-0F24617ED4E7}"/>
            </c:ext>
          </c:extLst>
        </c:ser>
        <c:ser>
          <c:idx val="3"/>
          <c:order val="3"/>
          <c:tx>
            <c:strRef>
              <c:f>Bilanca!$A$159</c:f>
              <c:strCache>
                <c:ptCount val="1"/>
                <c:pt idx="0">
                  <c:v>D)  KRATKOROČNE OBVEZE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Bilanca!$B$155:$E$155</c:f>
              <c:numCache>
                <c:formatCode>General</c:formatCode>
                <c:ptCount val="4"/>
                <c:pt idx="0">
                  <c:v>2020</c:v>
                </c:pt>
                <c:pt idx="1">
                  <c:v>2021</c:v>
                </c:pt>
                <c:pt idx="2">
                  <c:v>2022</c:v>
                </c:pt>
                <c:pt idx="3">
                  <c:v>2023</c:v>
                </c:pt>
              </c:numCache>
            </c:numRef>
          </c:cat>
          <c:val>
            <c:numRef>
              <c:f>Bilanca!$B$159:$E$159</c:f>
              <c:numCache>
                <c:formatCode>_-* #,##0_-;\-* #,##0_-;_-* "-"??_-;_-@_-</c:formatCode>
                <c:ptCount val="4"/>
                <c:pt idx="0">
                  <c:v>124021128.14387152</c:v>
                </c:pt>
                <c:pt idx="1">
                  <c:v>97414106.045523912</c:v>
                </c:pt>
                <c:pt idx="2">
                  <c:v>91965495</c:v>
                </c:pt>
                <c:pt idx="3">
                  <c:v>84649099</c:v>
                </c:pt>
              </c:numCache>
            </c:numRef>
          </c:val>
          <c:smooth val="0"/>
          <c:extLst>
            <c:ext xmlns:c16="http://schemas.microsoft.com/office/drawing/2014/chart" uri="{C3380CC4-5D6E-409C-BE32-E72D297353CC}">
              <c16:uniqueId val="{00000003-1C08-41AA-BC22-0F24617ED4E7}"/>
            </c:ext>
          </c:extLst>
        </c:ser>
        <c:ser>
          <c:idx val="4"/>
          <c:order val="4"/>
          <c:tx>
            <c:strRef>
              <c:f>Bilanca!$A$160</c:f>
              <c:strCache>
                <c:ptCount val="1"/>
                <c:pt idx="0">
                  <c:v>E) ODGOĐENO PLAĆANJE TR. I PRIHOD BUDUĆEGA RAZDOBLJA</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Bilanca!$B$155:$E$155</c:f>
              <c:numCache>
                <c:formatCode>General</c:formatCode>
                <c:ptCount val="4"/>
                <c:pt idx="0">
                  <c:v>2020</c:v>
                </c:pt>
                <c:pt idx="1">
                  <c:v>2021</c:v>
                </c:pt>
                <c:pt idx="2">
                  <c:v>2022</c:v>
                </c:pt>
                <c:pt idx="3">
                  <c:v>2023</c:v>
                </c:pt>
              </c:numCache>
            </c:numRef>
          </c:cat>
          <c:val>
            <c:numRef>
              <c:f>Bilanca!$B$160:$E$160</c:f>
              <c:numCache>
                <c:formatCode>_-* #,##0_-;\-* #,##0_-;_-* "-"??_-;_-@_-</c:formatCode>
                <c:ptCount val="4"/>
                <c:pt idx="0">
                  <c:v>9664979.3616032917</c:v>
                </c:pt>
                <c:pt idx="1">
                  <c:v>11660783.197292455</c:v>
                </c:pt>
                <c:pt idx="2">
                  <c:v>9904266</c:v>
                </c:pt>
                <c:pt idx="3">
                  <c:v>21703336</c:v>
                </c:pt>
              </c:numCache>
            </c:numRef>
          </c:val>
          <c:smooth val="0"/>
          <c:extLst>
            <c:ext xmlns:c16="http://schemas.microsoft.com/office/drawing/2014/chart" uri="{C3380CC4-5D6E-409C-BE32-E72D297353CC}">
              <c16:uniqueId val="{00000004-1C08-41AA-BC22-0F24617ED4E7}"/>
            </c:ext>
          </c:extLst>
        </c:ser>
        <c:dLbls>
          <c:showLegendKey val="0"/>
          <c:showVal val="0"/>
          <c:showCatName val="0"/>
          <c:showSerName val="0"/>
          <c:showPercent val="0"/>
          <c:showBubbleSize val="0"/>
        </c:dLbls>
        <c:marker val="1"/>
        <c:smooth val="0"/>
        <c:axId val="581869167"/>
        <c:axId val="581873967"/>
      </c:lineChart>
      <c:catAx>
        <c:axId val="581869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81873967"/>
        <c:crosses val="autoZero"/>
        <c:auto val="1"/>
        <c:lblAlgn val="ctr"/>
        <c:lblOffset val="100"/>
        <c:noMultiLvlLbl val="0"/>
      </c:catAx>
      <c:valAx>
        <c:axId val="58187396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58186916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sr-Latn-R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sz="1400" b="0" i="0" u="none" strike="noStrike" kern="1200" spc="0" baseline="0" dirty="0">
                <a:solidFill>
                  <a:srgbClr val="000000">
                    <a:lumMod val="65000"/>
                    <a:lumOff val="35000"/>
                  </a:srgbClr>
                </a:solidFill>
                <a:latin typeface="Bahnschrift" panose="020B0502040204020203" pitchFamily="34" charset="0"/>
              </a:rPr>
              <a:t>Valamar - horizontalna analiza (aktiva)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lineChart>
        <c:grouping val="standard"/>
        <c:varyColors val="0"/>
        <c:ser>
          <c:idx val="0"/>
          <c:order val="0"/>
          <c:tx>
            <c:strRef>
              <c:f>Bilanca!$A$131</c:f>
              <c:strCache>
                <c:ptCount val="1"/>
                <c:pt idx="0">
                  <c:v>B)  DUGOTRAJNA IMOVINA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Bilanca!$B$130:$E$130</c:f>
              <c:numCache>
                <c:formatCode>General</c:formatCode>
                <c:ptCount val="4"/>
                <c:pt idx="0">
                  <c:v>2020</c:v>
                </c:pt>
                <c:pt idx="1">
                  <c:v>2021</c:v>
                </c:pt>
                <c:pt idx="2">
                  <c:v>2022</c:v>
                </c:pt>
                <c:pt idx="3">
                  <c:v>2023</c:v>
                </c:pt>
              </c:numCache>
            </c:numRef>
          </c:cat>
          <c:val>
            <c:numRef>
              <c:f>Bilanca!$B$131:$E$131</c:f>
              <c:numCache>
                <c:formatCode>_-* #,##0_-;\-* #,##0_-;_-* "-"??_-;_-@_-</c:formatCode>
                <c:ptCount val="4"/>
                <c:pt idx="0">
                  <c:v>807904686.30964231</c:v>
                </c:pt>
                <c:pt idx="1">
                  <c:v>752779821.62054551</c:v>
                </c:pt>
                <c:pt idx="2">
                  <c:v>732302923</c:v>
                </c:pt>
                <c:pt idx="3">
                  <c:v>728032913</c:v>
                </c:pt>
              </c:numCache>
            </c:numRef>
          </c:val>
          <c:smooth val="0"/>
          <c:extLst>
            <c:ext xmlns:c16="http://schemas.microsoft.com/office/drawing/2014/chart" uri="{C3380CC4-5D6E-409C-BE32-E72D297353CC}">
              <c16:uniqueId val="{00000000-F374-422C-8399-E9DFAD22DFFD}"/>
            </c:ext>
          </c:extLst>
        </c:ser>
        <c:ser>
          <c:idx val="1"/>
          <c:order val="1"/>
          <c:tx>
            <c:strRef>
              <c:f>Bilanca!$A$132</c:f>
              <c:strCache>
                <c:ptCount val="1"/>
                <c:pt idx="0">
                  <c:v>C)  KRATKOTRAJNA IMOVINA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Bilanca!$B$130:$E$130</c:f>
              <c:numCache>
                <c:formatCode>General</c:formatCode>
                <c:ptCount val="4"/>
                <c:pt idx="0">
                  <c:v>2020</c:v>
                </c:pt>
                <c:pt idx="1">
                  <c:v>2021</c:v>
                </c:pt>
                <c:pt idx="2">
                  <c:v>2022</c:v>
                </c:pt>
                <c:pt idx="3">
                  <c:v>2023</c:v>
                </c:pt>
              </c:numCache>
            </c:numRef>
          </c:cat>
          <c:val>
            <c:numRef>
              <c:f>Bilanca!$B$132:$E$132</c:f>
              <c:numCache>
                <c:formatCode>_-* #,##0_-;\-* #,##0_-;_-* "-"??_-;_-@_-</c:formatCode>
                <c:ptCount val="4"/>
                <c:pt idx="0">
                  <c:v>97825505.209370226</c:v>
                </c:pt>
                <c:pt idx="1">
                  <c:v>161650773.77397305</c:v>
                </c:pt>
                <c:pt idx="2">
                  <c:v>117447470</c:v>
                </c:pt>
                <c:pt idx="3">
                  <c:v>94414531</c:v>
                </c:pt>
              </c:numCache>
            </c:numRef>
          </c:val>
          <c:smooth val="0"/>
          <c:extLst>
            <c:ext xmlns:c16="http://schemas.microsoft.com/office/drawing/2014/chart" uri="{C3380CC4-5D6E-409C-BE32-E72D297353CC}">
              <c16:uniqueId val="{00000001-F374-422C-8399-E9DFAD22DFFD}"/>
            </c:ext>
          </c:extLst>
        </c:ser>
        <c:dLbls>
          <c:showLegendKey val="0"/>
          <c:showVal val="0"/>
          <c:showCatName val="0"/>
          <c:showSerName val="0"/>
          <c:showPercent val="0"/>
          <c:showBubbleSize val="0"/>
        </c:dLbls>
        <c:marker val="1"/>
        <c:smooth val="0"/>
        <c:axId val="655833903"/>
        <c:axId val="655821423"/>
      </c:lineChart>
      <c:catAx>
        <c:axId val="655833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55821423"/>
        <c:crosses val="autoZero"/>
        <c:auto val="1"/>
        <c:lblAlgn val="ctr"/>
        <c:lblOffset val="100"/>
        <c:noMultiLvlLbl val="0"/>
      </c:catAx>
      <c:valAx>
        <c:axId val="655821423"/>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6558339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Analiza</a:t>
            </a:r>
            <a:r>
              <a:rPr lang="hr-HR" baseline="0"/>
              <a:t> (trend) prihoda</a:t>
            </a:r>
            <a:endParaRPr lang="hr-H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stacked"/>
        <c:varyColors val="0"/>
        <c:ser>
          <c:idx val="0"/>
          <c:order val="0"/>
          <c:tx>
            <c:strRef>
              <c:f>RDG!$S$2</c:f>
              <c:strCache>
                <c:ptCount val="1"/>
                <c:pt idx="0">
                  <c:v>I. POSLOVNI PRIHODI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RDG!$T$1:$W$1</c:f>
              <c:numCache>
                <c:formatCode>General</c:formatCode>
                <c:ptCount val="4"/>
                <c:pt idx="0">
                  <c:v>2020</c:v>
                </c:pt>
                <c:pt idx="1">
                  <c:v>2021</c:v>
                </c:pt>
                <c:pt idx="2">
                  <c:v>2022</c:v>
                </c:pt>
                <c:pt idx="3">
                  <c:v>2023</c:v>
                </c:pt>
              </c:numCache>
            </c:numRef>
          </c:cat>
          <c:val>
            <c:numRef>
              <c:f>RDG!$T$2:$W$2</c:f>
              <c:numCache>
                <c:formatCode>_-* #,##0_-;\-* #,##0_-;_-* "-"??_-;_-@_-</c:formatCode>
                <c:ptCount val="4"/>
                <c:pt idx="0">
                  <c:v>89668940.871988848</c:v>
                </c:pt>
                <c:pt idx="1">
                  <c:v>218197361.86873713</c:v>
                </c:pt>
                <c:pt idx="2">
                  <c:v>325334919</c:v>
                </c:pt>
                <c:pt idx="3">
                  <c:v>372208414</c:v>
                </c:pt>
              </c:numCache>
            </c:numRef>
          </c:val>
          <c:extLst>
            <c:ext xmlns:c16="http://schemas.microsoft.com/office/drawing/2014/chart" uri="{C3380CC4-5D6E-409C-BE32-E72D297353CC}">
              <c16:uniqueId val="{00000000-86C2-4F8D-9875-4E29C34C1D43}"/>
            </c:ext>
          </c:extLst>
        </c:ser>
        <c:ser>
          <c:idx val="1"/>
          <c:order val="1"/>
          <c:tx>
            <c:strRef>
              <c:f>RDG!$S$3</c:f>
              <c:strCache>
                <c:ptCount val="1"/>
              </c:strCache>
            </c:strRef>
          </c:tx>
          <c:spPr>
            <a:solidFill>
              <a:schemeClr val="accent2"/>
            </a:solidFill>
            <a:ln>
              <a:noFill/>
            </a:ln>
            <a:effectLst/>
          </c:spPr>
          <c:invertIfNegative val="0"/>
          <c:cat>
            <c:numRef>
              <c:f>RDG!$T$1:$W$1</c:f>
              <c:numCache>
                <c:formatCode>General</c:formatCode>
                <c:ptCount val="4"/>
                <c:pt idx="0">
                  <c:v>2020</c:v>
                </c:pt>
                <c:pt idx="1">
                  <c:v>2021</c:v>
                </c:pt>
                <c:pt idx="2">
                  <c:v>2022</c:v>
                </c:pt>
                <c:pt idx="3">
                  <c:v>2023</c:v>
                </c:pt>
              </c:numCache>
            </c:numRef>
          </c:cat>
          <c:val>
            <c:numRef>
              <c:f>RDG!$T$3:$W$3</c:f>
              <c:numCache>
                <c:formatCode>_-* #,##0_-;\-* #,##0_-;_-* "-"??_-;_-@_-</c:formatCode>
                <c:ptCount val="4"/>
              </c:numCache>
            </c:numRef>
          </c:val>
          <c:extLst>
            <c:ext xmlns:c16="http://schemas.microsoft.com/office/drawing/2014/chart" uri="{C3380CC4-5D6E-409C-BE32-E72D297353CC}">
              <c16:uniqueId val="{00000001-86C2-4F8D-9875-4E29C34C1D43}"/>
            </c:ext>
          </c:extLst>
        </c:ser>
        <c:ser>
          <c:idx val="2"/>
          <c:order val="2"/>
          <c:tx>
            <c:strRef>
              <c:f>RDG!$S$4</c:f>
              <c:strCache>
                <c:ptCount val="1"/>
              </c:strCache>
            </c:strRef>
          </c:tx>
          <c:spPr>
            <a:solidFill>
              <a:schemeClr val="accent3"/>
            </a:solidFill>
            <a:ln>
              <a:noFill/>
            </a:ln>
            <a:effectLst/>
          </c:spPr>
          <c:invertIfNegative val="0"/>
          <c:cat>
            <c:numRef>
              <c:f>RDG!$T$1:$W$1</c:f>
              <c:numCache>
                <c:formatCode>General</c:formatCode>
                <c:ptCount val="4"/>
                <c:pt idx="0">
                  <c:v>2020</c:v>
                </c:pt>
                <c:pt idx="1">
                  <c:v>2021</c:v>
                </c:pt>
                <c:pt idx="2">
                  <c:v>2022</c:v>
                </c:pt>
                <c:pt idx="3">
                  <c:v>2023</c:v>
                </c:pt>
              </c:numCache>
            </c:numRef>
          </c:cat>
          <c:val>
            <c:numRef>
              <c:f>RDG!$T$4:$W$4</c:f>
              <c:numCache>
                <c:formatCode>_-* #,##0_-;\-* #,##0_-;_-* "-"??_-;_-@_-</c:formatCode>
                <c:ptCount val="4"/>
              </c:numCache>
            </c:numRef>
          </c:val>
          <c:extLst>
            <c:ext xmlns:c16="http://schemas.microsoft.com/office/drawing/2014/chart" uri="{C3380CC4-5D6E-409C-BE32-E72D297353CC}">
              <c16:uniqueId val="{00000002-86C2-4F8D-9875-4E29C34C1D43}"/>
            </c:ext>
          </c:extLst>
        </c:ser>
        <c:ser>
          <c:idx val="3"/>
          <c:order val="3"/>
          <c:tx>
            <c:strRef>
              <c:f>RDG!$S$5</c:f>
              <c:strCache>
                <c:ptCount val="1"/>
              </c:strCache>
            </c:strRef>
          </c:tx>
          <c:spPr>
            <a:solidFill>
              <a:schemeClr val="accent4"/>
            </a:solidFill>
            <a:ln>
              <a:noFill/>
            </a:ln>
            <a:effectLst/>
          </c:spPr>
          <c:invertIfNegative val="0"/>
          <c:cat>
            <c:numRef>
              <c:f>RDG!$T$1:$W$1</c:f>
              <c:numCache>
                <c:formatCode>General</c:formatCode>
                <c:ptCount val="4"/>
                <c:pt idx="0">
                  <c:v>2020</c:v>
                </c:pt>
                <c:pt idx="1">
                  <c:v>2021</c:v>
                </c:pt>
                <c:pt idx="2">
                  <c:v>2022</c:v>
                </c:pt>
                <c:pt idx="3">
                  <c:v>2023</c:v>
                </c:pt>
              </c:numCache>
            </c:numRef>
          </c:cat>
          <c:val>
            <c:numRef>
              <c:f>RDG!$T$5:$W$5</c:f>
              <c:numCache>
                <c:formatCode>_-* #,##0_-;\-* #,##0_-;_-* "-"??_-;_-@_-</c:formatCode>
                <c:ptCount val="4"/>
              </c:numCache>
            </c:numRef>
          </c:val>
          <c:extLst>
            <c:ext xmlns:c16="http://schemas.microsoft.com/office/drawing/2014/chart" uri="{C3380CC4-5D6E-409C-BE32-E72D297353CC}">
              <c16:uniqueId val="{00000003-86C2-4F8D-9875-4E29C34C1D43}"/>
            </c:ext>
          </c:extLst>
        </c:ser>
        <c:ser>
          <c:idx val="4"/>
          <c:order val="4"/>
          <c:tx>
            <c:strRef>
              <c:f>RDG!$S$6</c:f>
              <c:strCache>
                <c:ptCount val="1"/>
              </c:strCache>
            </c:strRef>
          </c:tx>
          <c:spPr>
            <a:solidFill>
              <a:schemeClr val="accent5"/>
            </a:solidFill>
            <a:ln>
              <a:noFill/>
            </a:ln>
            <a:effectLst/>
          </c:spPr>
          <c:invertIfNegative val="0"/>
          <c:cat>
            <c:numRef>
              <c:f>RDG!$T$1:$W$1</c:f>
              <c:numCache>
                <c:formatCode>General</c:formatCode>
                <c:ptCount val="4"/>
                <c:pt idx="0">
                  <c:v>2020</c:v>
                </c:pt>
                <c:pt idx="1">
                  <c:v>2021</c:v>
                </c:pt>
                <c:pt idx="2">
                  <c:v>2022</c:v>
                </c:pt>
                <c:pt idx="3">
                  <c:v>2023</c:v>
                </c:pt>
              </c:numCache>
            </c:numRef>
          </c:cat>
          <c:val>
            <c:numRef>
              <c:f>RDG!$T$6:$W$6</c:f>
              <c:numCache>
                <c:formatCode>_-* #,##0_-;\-* #,##0_-;_-* "-"??_-;_-@_-</c:formatCode>
                <c:ptCount val="4"/>
              </c:numCache>
            </c:numRef>
          </c:val>
          <c:extLst>
            <c:ext xmlns:c16="http://schemas.microsoft.com/office/drawing/2014/chart" uri="{C3380CC4-5D6E-409C-BE32-E72D297353CC}">
              <c16:uniqueId val="{00000004-86C2-4F8D-9875-4E29C34C1D43}"/>
            </c:ext>
          </c:extLst>
        </c:ser>
        <c:ser>
          <c:idx val="5"/>
          <c:order val="5"/>
          <c:tx>
            <c:strRef>
              <c:f>RDG!$S$7</c:f>
              <c:strCache>
                <c:ptCount val="1"/>
              </c:strCache>
            </c:strRef>
          </c:tx>
          <c:spPr>
            <a:solidFill>
              <a:schemeClr val="accent6"/>
            </a:solidFill>
            <a:ln>
              <a:noFill/>
            </a:ln>
            <a:effectLst/>
          </c:spPr>
          <c:invertIfNegative val="0"/>
          <c:cat>
            <c:numRef>
              <c:f>RDG!$T$1:$W$1</c:f>
              <c:numCache>
                <c:formatCode>General</c:formatCode>
                <c:ptCount val="4"/>
                <c:pt idx="0">
                  <c:v>2020</c:v>
                </c:pt>
                <c:pt idx="1">
                  <c:v>2021</c:v>
                </c:pt>
                <c:pt idx="2">
                  <c:v>2022</c:v>
                </c:pt>
                <c:pt idx="3">
                  <c:v>2023</c:v>
                </c:pt>
              </c:numCache>
            </c:numRef>
          </c:cat>
          <c:val>
            <c:numRef>
              <c:f>RDG!$T$7:$W$7</c:f>
              <c:numCache>
                <c:formatCode>_-* #,##0_-;\-* #,##0_-;_-* "-"??_-;_-@_-</c:formatCode>
                <c:ptCount val="4"/>
              </c:numCache>
            </c:numRef>
          </c:val>
          <c:extLst>
            <c:ext xmlns:c16="http://schemas.microsoft.com/office/drawing/2014/chart" uri="{C3380CC4-5D6E-409C-BE32-E72D297353CC}">
              <c16:uniqueId val="{00000005-86C2-4F8D-9875-4E29C34C1D43}"/>
            </c:ext>
          </c:extLst>
        </c:ser>
        <c:ser>
          <c:idx val="6"/>
          <c:order val="6"/>
          <c:tx>
            <c:strRef>
              <c:f>RDG!$S$8</c:f>
              <c:strCache>
                <c:ptCount val="1"/>
                <c:pt idx="0">
                  <c:v>III. FINANCIJSKI PRIHODI</c:v>
                </c:pt>
              </c:strCache>
            </c:strRef>
          </c:tx>
          <c:spPr>
            <a:solidFill>
              <a:schemeClr val="accent2"/>
            </a:solidFill>
            <a:ln>
              <a:noFill/>
            </a:ln>
            <a:effectLst/>
          </c:spPr>
          <c:invertIfNegative val="0"/>
          <c:cat>
            <c:numRef>
              <c:f>RDG!$T$1:$W$1</c:f>
              <c:numCache>
                <c:formatCode>General</c:formatCode>
                <c:ptCount val="4"/>
                <c:pt idx="0">
                  <c:v>2020</c:v>
                </c:pt>
                <c:pt idx="1">
                  <c:v>2021</c:v>
                </c:pt>
                <c:pt idx="2">
                  <c:v>2022</c:v>
                </c:pt>
                <c:pt idx="3">
                  <c:v>2023</c:v>
                </c:pt>
              </c:numCache>
            </c:numRef>
          </c:cat>
          <c:val>
            <c:numRef>
              <c:f>RDG!$T$8:$W$8</c:f>
              <c:numCache>
                <c:formatCode>_-* #,##0_-;\-* #,##0_-;_-* "-"??_-;_-@_-</c:formatCode>
                <c:ptCount val="4"/>
                <c:pt idx="0">
                  <c:v>2825819.6297033643</c:v>
                </c:pt>
                <c:pt idx="1">
                  <c:v>4692239.9628376132</c:v>
                </c:pt>
                <c:pt idx="2">
                  <c:v>6627796</c:v>
                </c:pt>
                <c:pt idx="3">
                  <c:v>3124743</c:v>
                </c:pt>
              </c:numCache>
            </c:numRef>
          </c:val>
          <c:extLst>
            <c:ext xmlns:c16="http://schemas.microsoft.com/office/drawing/2014/chart" uri="{C3380CC4-5D6E-409C-BE32-E72D297353CC}">
              <c16:uniqueId val="{00000006-86C2-4F8D-9875-4E29C34C1D43}"/>
            </c:ext>
          </c:extLst>
        </c:ser>
        <c:ser>
          <c:idx val="7"/>
          <c:order val="7"/>
          <c:tx>
            <c:strRef>
              <c:f>RDG!$S$9</c:f>
              <c:strCache>
                <c:ptCount val="1"/>
              </c:strCache>
            </c:strRef>
          </c:tx>
          <c:spPr>
            <a:solidFill>
              <a:schemeClr val="accent2">
                <a:lumMod val="60000"/>
              </a:schemeClr>
            </a:solidFill>
            <a:ln>
              <a:noFill/>
            </a:ln>
            <a:effectLst/>
          </c:spPr>
          <c:invertIfNegative val="0"/>
          <c:cat>
            <c:numRef>
              <c:f>RDG!$T$1:$W$1</c:f>
              <c:numCache>
                <c:formatCode>General</c:formatCode>
                <c:ptCount val="4"/>
                <c:pt idx="0">
                  <c:v>2020</c:v>
                </c:pt>
                <c:pt idx="1">
                  <c:v>2021</c:v>
                </c:pt>
                <c:pt idx="2">
                  <c:v>2022</c:v>
                </c:pt>
                <c:pt idx="3">
                  <c:v>2023</c:v>
                </c:pt>
              </c:numCache>
            </c:numRef>
          </c:cat>
          <c:val>
            <c:numRef>
              <c:f>RDG!$T$9:$W$9</c:f>
            </c:numRef>
          </c:val>
          <c:extLst>
            <c:ext xmlns:c16="http://schemas.microsoft.com/office/drawing/2014/chart" uri="{C3380CC4-5D6E-409C-BE32-E72D297353CC}">
              <c16:uniqueId val="{00000007-86C2-4F8D-9875-4E29C34C1D43}"/>
            </c:ext>
          </c:extLst>
        </c:ser>
        <c:ser>
          <c:idx val="8"/>
          <c:order val="8"/>
          <c:tx>
            <c:strRef>
              <c:f>RDG!$S$10</c:f>
              <c:strCache>
                <c:ptCount val="1"/>
                <c:pt idx="0">
                  <c:v>V.    UDIO U DOBITI OD DRUŠTAVA POVEZANIH SUDJELUJUĆIM INTERESOM</c:v>
                </c:pt>
              </c:strCache>
            </c:strRef>
          </c:tx>
          <c:spPr>
            <a:solidFill>
              <a:srgbClr val="FFFF00"/>
            </a:solidFill>
            <a:ln>
              <a:noFill/>
            </a:ln>
            <a:effectLst/>
          </c:spPr>
          <c:invertIfNegative val="0"/>
          <c:cat>
            <c:numRef>
              <c:f>RDG!$T$1:$W$1</c:f>
              <c:numCache>
                <c:formatCode>General</c:formatCode>
                <c:ptCount val="4"/>
                <c:pt idx="0">
                  <c:v>2020</c:v>
                </c:pt>
                <c:pt idx="1">
                  <c:v>2021</c:v>
                </c:pt>
                <c:pt idx="2">
                  <c:v>2022</c:v>
                </c:pt>
                <c:pt idx="3">
                  <c:v>2023</c:v>
                </c:pt>
              </c:numCache>
            </c:numRef>
          </c:cat>
          <c:val>
            <c:numRef>
              <c:f>RDG!$T$10:$W$10</c:f>
              <c:numCache>
                <c:formatCode>_-* #,##0_-;\-* #,##0_-;_-* "-"??_-;_-@_-</c:formatCode>
                <c:ptCount val="4"/>
                <c:pt idx="0">
                  <c:v>0</c:v>
                </c:pt>
                <c:pt idx="1">
                  <c:v>72728.117326962631</c:v>
                </c:pt>
                <c:pt idx="2">
                  <c:v>0</c:v>
                </c:pt>
                <c:pt idx="3">
                  <c:v>0</c:v>
                </c:pt>
              </c:numCache>
            </c:numRef>
          </c:val>
          <c:extLst>
            <c:ext xmlns:c16="http://schemas.microsoft.com/office/drawing/2014/chart" uri="{C3380CC4-5D6E-409C-BE32-E72D297353CC}">
              <c16:uniqueId val="{00000008-86C2-4F8D-9875-4E29C34C1D43}"/>
            </c:ext>
          </c:extLst>
        </c:ser>
        <c:dLbls>
          <c:showLegendKey val="0"/>
          <c:showVal val="0"/>
          <c:showCatName val="0"/>
          <c:showSerName val="0"/>
          <c:showPercent val="0"/>
          <c:showBubbleSize val="0"/>
        </c:dLbls>
        <c:gapWidth val="150"/>
        <c:overlap val="100"/>
        <c:axId val="75483871"/>
        <c:axId val="75484351"/>
      </c:barChart>
      <c:catAx>
        <c:axId val="75483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75484351"/>
        <c:crosses val="autoZero"/>
        <c:auto val="1"/>
        <c:lblAlgn val="ctr"/>
        <c:lblOffset val="100"/>
        <c:noMultiLvlLbl val="0"/>
      </c:catAx>
      <c:valAx>
        <c:axId val="75484351"/>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75483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a:t>Analiza (trend) rashoda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barChart>
        <c:barDir val="col"/>
        <c:grouping val="stacked"/>
        <c:varyColors val="0"/>
        <c:ser>
          <c:idx val="0"/>
          <c:order val="0"/>
          <c:tx>
            <c:strRef>
              <c:f>RDG!$S$14</c:f>
              <c:strCache>
                <c:ptCount val="1"/>
                <c:pt idx="0">
                  <c:v>II. POSLOVNI RASHODI</c:v>
                </c:pt>
              </c:strCache>
            </c:strRef>
          </c:tx>
          <c:spPr>
            <a:solidFill>
              <a:schemeClr val="accent1"/>
            </a:solidFill>
            <a:ln>
              <a:noFill/>
            </a:ln>
            <a:effectLst/>
          </c:spPr>
          <c:invertIfNegative val="0"/>
          <c:cat>
            <c:numRef>
              <c:f>RDG!$T$13:$W$13</c:f>
              <c:numCache>
                <c:formatCode>General</c:formatCode>
                <c:ptCount val="4"/>
                <c:pt idx="0">
                  <c:v>2020</c:v>
                </c:pt>
                <c:pt idx="1">
                  <c:v>2021</c:v>
                </c:pt>
                <c:pt idx="2">
                  <c:v>2022</c:v>
                </c:pt>
                <c:pt idx="3">
                  <c:v>2023</c:v>
                </c:pt>
              </c:numCache>
            </c:numRef>
          </c:cat>
          <c:val>
            <c:numRef>
              <c:f>RDG!$T$14:$W$14</c:f>
              <c:numCache>
                <c:formatCode>_-* #,##0_-;\-* #,##0_-;_-* "-"??_-;_-@_-</c:formatCode>
                <c:ptCount val="4"/>
                <c:pt idx="0">
                  <c:v>142063176.05680501</c:v>
                </c:pt>
                <c:pt idx="1">
                  <c:v>200017704.82447401</c:v>
                </c:pt>
                <c:pt idx="2">
                  <c:v>294812890</c:v>
                </c:pt>
                <c:pt idx="3">
                  <c:v>329806825</c:v>
                </c:pt>
              </c:numCache>
            </c:numRef>
          </c:val>
          <c:extLst>
            <c:ext xmlns:c16="http://schemas.microsoft.com/office/drawing/2014/chart" uri="{C3380CC4-5D6E-409C-BE32-E72D297353CC}">
              <c16:uniqueId val="{00000000-1932-4599-B56E-724A7EA7C96D}"/>
            </c:ext>
          </c:extLst>
        </c:ser>
        <c:ser>
          <c:idx val="1"/>
          <c:order val="1"/>
          <c:tx>
            <c:strRef>
              <c:f>RDG!$S$15</c:f>
              <c:strCache>
                <c:ptCount val="1"/>
                <c:pt idx="0">
                  <c:v>IV. FINANCIJSKI RASHODI</c:v>
                </c:pt>
              </c:strCache>
            </c:strRef>
          </c:tx>
          <c:spPr>
            <a:solidFill>
              <a:schemeClr val="accent2"/>
            </a:solidFill>
            <a:ln>
              <a:noFill/>
            </a:ln>
            <a:effectLst/>
          </c:spPr>
          <c:invertIfNegative val="0"/>
          <c:cat>
            <c:numRef>
              <c:f>RDG!$T$13:$W$13</c:f>
              <c:numCache>
                <c:formatCode>General</c:formatCode>
                <c:ptCount val="4"/>
                <c:pt idx="0">
                  <c:v>2020</c:v>
                </c:pt>
                <c:pt idx="1">
                  <c:v>2021</c:v>
                </c:pt>
                <c:pt idx="2">
                  <c:v>2022</c:v>
                </c:pt>
                <c:pt idx="3">
                  <c:v>2023</c:v>
                </c:pt>
              </c:numCache>
            </c:numRef>
          </c:cat>
          <c:val>
            <c:numRef>
              <c:f>RDG!$T$15:$W$15</c:f>
              <c:numCache>
                <c:formatCode>_-* #,##0_-;\-* #,##0_-;_-* "-"??_-;_-@_-</c:formatCode>
                <c:ptCount val="4"/>
                <c:pt idx="0">
                  <c:v>16714018.581193199</c:v>
                </c:pt>
                <c:pt idx="1">
                  <c:v>9457380.3172075097</c:v>
                </c:pt>
                <c:pt idx="2">
                  <c:v>9869933</c:v>
                </c:pt>
                <c:pt idx="3">
                  <c:v>11158639</c:v>
                </c:pt>
              </c:numCache>
            </c:numRef>
          </c:val>
          <c:extLst>
            <c:ext xmlns:c16="http://schemas.microsoft.com/office/drawing/2014/chart" uri="{C3380CC4-5D6E-409C-BE32-E72D297353CC}">
              <c16:uniqueId val="{00000001-1932-4599-B56E-724A7EA7C96D}"/>
            </c:ext>
          </c:extLst>
        </c:ser>
        <c:ser>
          <c:idx val="2"/>
          <c:order val="2"/>
          <c:tx>
            <c:strRef>
              <c:f>RDG!$S$16</c:f>
              <c:strCache>
                <c:ptCount val="1"/>
                <c:pt idx="0">
                  <c:v>VII.  UDIO U GUBITKU OD DRUŠTAVA POVEZANIH SUDJELUJUĆIM INTERESOM</c:v>
                </c:pt>
              </c:strCache>
            </c:strRef>
          </c:tx>
          <c:spPr>
            <a:solidFill>
              <a:schemeClr val="accent3"/>
            </a:solidFill>
            <a:ln>
              <a:noFill/>
            </a:ln>
            <a:effectLst/>
          </c:spPr>
          <c:invertIfNegative val="0"/>
          <c:cat>
            <c:numRef>
              <c:f>RDG!$T$13:$W$13</c:f>
              <c:numCache>
                <c:formatCode>General</c:formatCode>
                <c:ptCount val="4"/>
                <c:pt idx="0">
                  <c:v>2020</c:v>
                </c:pt>
                <c:pt idx="1">
                  <c:v>2021</c:v>
                </c:pt>
                <c:pt idx="2">
                  <c:v>2022</c:v>
                </c:pt>
                <c:pt idx="3">
                  <c:v>2023</c:v>
                </c:pt>
              </c:numCache>
            </c:numRef>
          </c:cat>
          <c:val>
            <c:numRef>
              <c:f>RDG!$T$16:$W$16</c:f>
              <c:numCache>
                <c:formatCode>_-* #,##0_-;\-* #,##0_-;_-* "-"??_-;_-@_-</c:formatCode>
                <c:ptCount val="4"/>
                <c:pt idx="0">
                  <c:v>218140.55345411101</c:v>
                </c:pt>
                <c:pt idx="1">
                  <c:v>19166.8989315814</c:v>
                </c:pt>
                <c:pt idx="2">
                  <c:v>486949</c:v>
                </c:pt>
                <c:pt idx="3">
                  <c:v>927050</c:v>
                </c:pt>
              </c:numCache>
            </c:numRef>
          </c:val>
          <c:extLst>
            <c:ext xmlns:c16="http://schemas.microsoft.com/office/drawing/2014/chart" uri="{C3380CC4-5D6E-409C-BE32-E72D297353CC}">
              <c16:uniqueId val="{00000002-1932-4599-B56E-724A7EA7C96D}"/>
            </c:ext>
          </c:extLst>
        </c:ser>
        <c:dLbls>
          <c:showLegendKey val="0"/>
          <c:showVal val="0"/>
          <c:showCatName val="0"/>
          <c:showSerName val="0"/>
          <c:showPercent val="0"/>
          <c:showBubbleSize val="0"/>
        </c:dLbls>
        <c:gapWidth val="150"/>
        <c:overlap val="100"/>
        <c:axId val="230062207"/>
        <c:axId val="230063167"/>
      </c:barChart>
      <c:catAx>
        <c:axId val="230062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230063167"/>
        <c:crosses val="autoZero"/>
        <c:auto val="1"/>
        <c:lblAlgn val="ctr"/>
        <c:lblOffset val="100"/>
        <c:noMultiLvlLbl val="0"/>
      </c:catAx>
      <c:valAx>
        <c:axId val="23006316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230062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15</xdr:col>
      <xdr:colOff>582930</xdr:colOff>
      <xdr:row>140</xdr:row>
      <xdr:rowOff>171450</xdr:rowOff>
    </xdr:from>
    <xdr:to>
      <xdr:col>24</xdr:col>
      <xdr:colOff>129540</xdr:colOff>
      <xdr:row>168</xdr:row>
      <xdr:rowOff>57150</xdr:rowOff>
    </xdr:to>
    <xdr:graphicFrame macro="">
      <xdr:nvGraphicFramePr>
        <xdr:cNvPr id="4" name="Grafikon 3">
          <a:extLst>
            <a:ext uri="{FF2B5EF4-FFF2-40B4-BE49-F238E27FC236}">
              <a16:creationId xmlns:a16="http://schemas.microsoft.com/office/drawing/2014/main" id="{755220EF-DEBD-4879-B71A-0AA7C7C6E6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331470</xdr:colOff>
      <xdr:row>125</xdr:row>
      <xdr:rowOff>186690</xdr:rowOff>
    </xdr:from>
    <xdr:to>
      <xdr:col>22</xdr:col>
      <xdr:colOff>26670</xdr:colOff>
      <xdr:row>140</xdr:row>
      <xdr:rowOff>72390</xdr:rowOff>
    </xdr:to>
    <xdr:graphicFrame macro="">
      <xdr:nvGraphicFramePr>
        <xdr:cNvPr id="5" name="Grafikon 4">
          <a:extLst>
            <a:ext uri="{FF2B5EF4-FFF2-40B4-BE49-F238E27FC236}">
              <a16:creationId xmlns:a16="http://schemas.microsoft.com/office/drawing/2014/main" id="{CD37DA77-5491-158E-D6F0-64D3F6D119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327212</xdr:colOff>
      <xdr:row>4</xdr:row>
      <xdr:rowOff>188258</xdr:rowOff>
    </xdr:from>
    <xdr:to>
      <xdr:col>29</xdr:col>
      <xdr:colOff>591670</xdr:colOff>
      <xdr:row>32</xdr:row>
      <xdr:rowOff>35859</xdr:rowOff>
    </xdr:to>
    <xdr:graphicFrame macro="">
      <xdr:nvGraphicFramePr>
        <xdr:cNvPr id="2" name="Grafikon 1">
          <a:extLst>
            <a:ext uri="{FF2B5EF4-FFF2-40B4-BE49-F238E27FC236}">
              <a16:creationId xmlns:a16="http://schemas.microsoft.com/office/drawing/2014/main" id="{FD5EDFAC-4601-C5C3-C6FA-5C26CE914A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116542</xdr:colOff>
      <xdr:row>161</xdr:row>
      <xdr:rowOff>8965</xdr:rowOff>
    </xdr:from>
    <xdr:to>
      <xdr:col>4</xdr:col>
      <xdr:colOff>1120589</xdr:colOff>
      <xdr:row>175</xdr:row>
      <xdr:rowOff>116541</xdr:rowOff>
    </xdr:to>
    <xdr:graphicFrame macro="">
      <xdr:nvGraphicFramePr>
        <xdr:cNvPr id="3" name="Grafikon 2">
          <a:extLst>
            <a:ext uri="{FF2B5EF4-FFF2-40B4-BE49-F238E27FC236}">
              <a16:creationId xmlns:a16="http://schemas.microsoft.com/office/drawing/2014/main" id="{FF3D85CB-66A6-AAD0-5DCA-F15DE06270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3944471</xdr:colOff>
      <xdr:row>133</xdr:row>
      <xdr:rowOff>179295</xdr:rowOff>
    </xdr:from>
    <xdr:to>
      <xdr:col>4</xdr:col>
      <xdr:colOff>0</xdr:colOff>
      <xdr:row>148</xdr:row>
      <xdr:rowOff>98612</xdr:rowOff>
    </xdr:to>
    <xdr:graphicFrame macro="">
      <xdr:nvGraphicFramePr>
        <xdr:cNvPr id="6" name="Grafikon 5">
          <a:extLst>
            <a:ext uri="{FF2B5EF4-FFF2-40B4-BE49-F238E27FC236}">
              <a16:creationId xmlns:a16="http://schemas.microsoft.com/office/drawing/2014/main" id="{29BE2A3B-02DE-FD9B-B7C3-40D8082229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605703</xdr:colOff>
      <xdr:row>17</xdr:row>
      <xdr:rowOff>80682</xdr:rowOff>
    </xdr:from>
    <xdr:to>
      <xdr:col>18</xdr:col>
      <xdr:colOff>4568103</xdr:colOff>
      <xdr:row>57</xdr:row>
      <xdr:rowOff>0</xdr:rowOff>
    </xdr:to>
    <xdr:graphicFrame macro="">
      <xdr:nvGraphicFramePr>
        <xdr:cNvPr id="8" name="Grafikon 7">
          <a:extLst>
            <a:ext uri="{FF2B5EF4-FFF2-40B4-BE49-F238E27FC236}">
              <a16:creationId xmlns:a16="http://schemas.microsoft.com/office/drawing/2014/main" id="{E53E4E79-5217-8C50-C51B-CD512009AC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375139</xdr:colOff>
      <xdr:row>16</xdr:row>
      <xdr:rowOff>190499</xdr:rowOff>
    </xdr:from>
    <xdr:to>
      <xdr:col>27</xdr:col>
      <xdr:colOff>527539</xdr:colOff>
      <xdr:row>56</xdr:row>
      <xdr:rowOff>32238</xdr:rowOff>
    </xdr:to>
    <xdr:graphicFrame macro="">
      <xdr:nvGraphicFramePr>
        <xdr:cNvPr id="9" name="Grafikon 8">
          <a:extLst>
            <a:ext uri="{FF2B5EF4-FFF2-40B4-BE49-F238E27FC236}">
              <a16:creationId xmlns:a16="http://schemas.microsoft.com/office/drawing/2014/main" id="{D1E8BB04-C9DC-CAFD-57A6-7E54B7B9C1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0B12-4617-45B5-A811-81022E9E16BC}">
  <dimension ref="A1:U161"/>
  <sheetViews>
    <sheetView topLeftCell="A100" zoomScale="85" zoomScaleNormal="85" workbookViewId="0">
      <selection activeCell="H1" sqref="H1:O127"/>
    </sheetView>
  </sheetViews>
  <sheetFormatPr defaultRowHeight="15" customHeight="1" x14ac:dyDescent="0.25"/>
  <cols>
    <col min="1" max="1" width="72.109375" style="350" customWidth="1"/>
    <col min="2" max="4" width="15.44140625" style="350" bestFit="1" customWidth="1"/>
    <col min="5" max="5" width="15.5546875" style="350" bestFit="1" customWidth="1"/>
    <col min="6" max="6" width="15.88671875" style="350" customWidth="1"/>
    <col min="7" max="7" width="27.44140625" style="350" bestFit="1" customWidth="1"/>
    <col min="8" max="8" width="11" style="350" bestFit="1" customWidth="1"/>
    <col min="9" max="10" width="11.6640625" style="350" customWidth="1"/>
    <col min="11" max="11" width="23" style="350" customWidth="1"/>
    <col min="12" max="15" width="10.77734375" style="350" customWidth="1"/>
    <col min="16" max="16" width="8.88671875" style="350"/>
    <col min="17" max="17" width="23" style="350" customWidth="1"/>
    <col min="18" max="18" width="18.44140625" style="350" bestFit="1" customWidth="1"/>
    <col min="19" max="19" width="18.33203125" style="350" bestFit="1" customWidth="1"/>
    <col min="20" max="21" width="18.109375" style="350" bestFit="1" customWidth="1"/>
    <col min="22" max="16384" width="8.88671875" style="350"/>
  </cols>
  <sheetData>
    <row r="1" spans="1:21" s="349" customFormat="1" ht="15" customHeight="1" thickTop="1" thickBot="1" x14ac:dyDescent="0.3">
      <c r="A1" s="347"/>
      <c r="B1" s="348" t="s">
        <v>95</v>
      </c>
      <c r="C1" s="348">
        <v>2020</v>
      </c>
      <c r="D1" s="348">
        <v>2021</v>
      </c>
      <c r="E1" s="348">
        <v>2022</v>
      </c>
      <c r="F1" s="348">
        <v>2023</v>
      </c>
      <c r="G1" s="349" t="s">
        <v>697</v>
      </c>
      <c r="H1" s="348" t="s">
        <v>602</v>
      </c>
      <c r="I1" s="348" t="s">
        <v>603</v>
      </c>
      <c r="J1" s="348" t="s">
        <v>604</v>
      </c>
      <c r="K1" s="349" t="s">
        <v>627</v>
      </c>
      <c r="L1" s="514">
        <v>2020</v>
      </c>
      <c r="M1" s="515">
        <v>2021</v>
      </c>
      <c r="N1" s="515">
        <v>2022</v>
      </c>
      <c r="O1" s="516">
        <v>2023</v>
      </c>
    </row>
    <row r="2" spans="1:21" ht="15" customHeight="1" thickTop="1" thickBot="1" x14ac:dyDescent="0.3">
      <c r="A2" s="413" t="s">
        <v>599</v>
      </c>
      <c r="B2" s="414"/>
      <c r="C2" s="414"/>
      <c r="D2" s="414"/>
      <c r="E2" s="414"/>
      <c r="F2" s="415"/>
      <c r="H2" s="351"/>
      <c r="I2" s="352"/>
      <c r="J2" s="353"/>
      <c r="L2" s="517"/>
      <c r="M2" s="518"/>
      <c r="N2" s="518"/>
      <c r="O2" s="519"/>
    </row>
    <row r="3" spans="1:21" ht="15" customHeight="1" thickTop="1" x14ac:dyDescent="0.25">
      <c r="A3" s="354" t="s">
        <v>0</v>
      </c>
      <c r="B3" s="355">
        <v>1</v>
      </c>
      <c r="C3" s="356">
        <v>0</v>
      </c>
      <c r="D3" s="356">
        <v>0</v>
      </c>
      <c r="E3" s="356">
        <v>0</v>
      </c>
      <c r="F3" s="357">
        <v>0</v>
      </c>
      <c r="H3" s="358"/>
      <c r="I3" s="359"/>
      <c r="J3" s="360"/>
      <c r="L3" s="358">
        <f>C3/C$67</f>
        <v>0</v>
      </c>
      <c r="M3" s="359">
        <f t="shared" ref="M3:O3" si="0">D3/D$67</f>
        <v>0</v>
      </c>
      <c r="N3" s="359">
        <f t="shared" si="0"/>
        <v>0</v>
      </c>
      <c r="O3" s="360">
        <f t="shared" si="0"/>
        <v>0</v>
      </c>
      <c r="R3" s="361"/>
      <c r="S3" s="361"/>
      <c r="T3" s="361"/>
    </row>
    <row r="4" spans="1:21" ht="15" customHeight="1" x14ac:dyDescent="0.25">
      <c r="A4" s="354" t="s">
        <v>635</v>
      </c>
      <c r="B4" s="355">
        <v>2</v>
      </c>
      <c r="C4" s="362">
        <v>807904686.30964231</v>
      </c>
      <c r="D4" s="362">
        <v>752779821.62054551</v>
      </c>
      <c r="E4" s="362">
        <v>732302923</v>
      </c>
      <c r="F4" s="363">
        <v>728032913</v>
      </c>
      <c r="H4" s="364">
        <f>(D4-C4)/C4</f>
        <v>-6.8231891240657233E-2</v>
      </c>
      <c r="I4" s="365">
        <f t="shared" ref="I4:J4" si="1">(E4-D4)/D4</f>
        <v>-2.7201710290884123E-2</v>
      </c>
      <c r="J4" s="366">
        <f t="shared" si="1"/>
        <v>-5.8309339835859158E-3</v>
      </c>
      <c r="L4" s="364">
        <f t="shared" ref="L4:L67" si="2">C4/C$67</f>
        <v>0.88481493547135137</v>
      </c>
      <c r="M4" s="365">
        <f t="shared" ref="M4:M67" si="3">D4/D$67</f>
        <v>0.82039231446344563</v>
      </c>
      <c r="N4" s="365">
        <f t="shared" ref="N4:N67" si="4">E4/E$67</f>
        <v>0.85945550215007727</v>
      </c>
      <c r="O4" s="366">
        <f t="shared" ref="O4:O67" si="5">F4/F$67</f>
        <v>0.88117043884628576</v>
      </c>
      <c r="R4" s="361"/>
      <c r="S4" s="361"/>
      <c r="T4" s="361"/>
    </row>
    <row r="5" spans="1:21" ht="15" customHeight="1" thickBot="1" x14ac:dyDescent="0.3">
      <c r="A5" s="367" t="s">
        <v>1</v>
      </c>
      <c r="B5" s="368">
        <v>3</v>
      </c>
      <c r="C5" s="369">
        <v>6158362.9968810137</v>
      </c>
      <c r="D5" s="369">
        <v>5187669.3874842385</v>
      </c>
      <c r="E5" s="369">
        <v>5389946</v>
      </c>
      <c r="F5" s="370">
        <v>7113034</v>
      </c>
      <c r="H5" s="371">
        <f t="shared" ref="H5:H67" si="6">(D5-C5)/C5</f>
        <v>-0.15762201901518247</v>
      </c>
      <c r="I5" s="372">
        <f t="shared" ref="I5:I67" si="7">(E5-D5)/D5</f>
        <v>3.8991808730867411E-2</v>
      </c>
      <c r="J5" s="373">
        <f t="shared" ref="J5:J67" si="8">(F5-E5)/E5</f>
        <v>0.31968557755495136</v>
      </c>
      <c r="L5" s="371">
        <f t="shared" si="2"/>
        <v>6.7446217976337023E-3</v>
      </c>
      <c r="M5" s="372">
        <f t="shared" si="3"/>
        <v>5.6536107547455593E-3</v>
      </c>
      <c r="N5" s="372">
        <f t="shared" si="4"/>
        <v>6.3258230992911122E-3</v>
      </c>
      <c r="O5" s="373">
        <f t="shared" si="5"/>
        <v>8.6092196923912307E-3</v>
      </c>
      <c r="R5" s="361"/>
      <c r="S5" s="361"/>
      <c r="T5" s="361"/>
    </row>
    <row r="6" spans="1:21" ht="15" hidden="1" customHeight="1" x14ac:dyDescent="0.3">
      <c r="A6" s="374" t="s">
        <v>2</v>
      </c>
      <c r="B6" s="375">
        <v>4</v>
      </c>
      <c r="C6" s="376">
        <v>0</v>
      </c>
      <c r="D6" s="376">
        <v>0</v>
      </c>
      <c r="E6" s="376">
        <v>0</v>
      </c>
      <c r="F6" s="377">
        <v>0</v>
      </c>
      <c r="H6" s="378"/>
      <c r="I6" s="379"/>
      <c r="J6" s="380"/>
      <c r="L6" s="378">
        <f t="shared" si="2"/>
        <v>0</v>
      </c>
      <c r="M6" s="379">
        <f t="shared" si="3"/>
        <v>0</v>
      </c>
      <c r="N6" s="379">
        <f t="shared" si="4"/>
        <v>0</v>
      </c>
      <c r="O6" s="380">
        <f t="shared" si="5"/>
        <v>0</v>
      </c>
      <c r="R6" s="361"/>
      <c r="S6" s="361"/>
      <c r="T6" s="361"/>
    </row>
    <row r="7" spans="1:21" ht="15" hidden="1" customHeight="1" x14ac:dyDescent="0.3">
      <c r="A7" s="374" t="s">
        <v>3</v>
      </c>
      <c r="B7" s="375">
        <v>5</v>
      </c>
      <c r="C7" s="376">
        <v>4983997.3455438316</v>
      </c>
      <c r="D7" s="376">
        <v>4029043.3339969469</v>
      </c>
      <c r="E7" s="376">
        <v>4053162</v>
      </c>
      <c r="F7" s="377">
        <v>5327241</v>
      </c>
      <c r="H7" s="378">
        <f t="shared" si="6"/>
        <v>-0.19160403694851574</v>
      </c>
      <c r="I7" s="379">
        <f t="shared" si="7"/>
        <v>5.9862016870209601E-3</v>
      </c>
      <c r="J7" s="380">
        <f t="shared" si="8"/>
        <v>0.31434198781099792</v>
      </c>
      <c r="L7" s="378">
        <f t="shared" si="2"/>
        <v>5.458459846087069E-3</v>
      </c>
      <c r="M7" s="379">
        <f t="shared" si="3"/>
        <v>4.3909202809602234E-3</v>
      </c>
      <c r="N7" s="379">
        <f t="shared" si="4"/>
        <v>4.7569281407956517E-3</v>
      </c>
      <c r="O7" s="380">
        <f t="shared" si="5"/>
        <v>6.4477954306578532E-3</v>
      </c>
      <c r="R7" s="381"/>
      <c r="S7" s="381"/>
      <c r="T7" s="381"/>
    </row>
    <row r="8" spans="1:21" ht="15" hidden="1" customHeight="1" x14ac:dyDescent="0.3">
      <c r="A8" s="374" t="s">
        <v>4</v>
      </c>
      <c r="B8" s="375">
        <v>6</v>
      </c>
      <c r="C8" s="376">
        <v>871671.51104917377</v>
      </c>
      <c r="D8" s="376">
        <v>871671.51104917377</v>
      </c>
      <c r="E8" s="376">
        <v>871672</v>
      </c>
      <c r="F8" s="377">
        <v>871672</v>
      </c>
      <c r="H8" s="378">
        <f t="shared" si="6"/>
        <v>0</v>
      </c>
      <c r="I8" s="379">
        <f t="shared" si="7"/>
        <v>5.6093473290086877E-7</v>
      </c>
      <c r="J8" s="380">
        <f t="shared" si="8"/>
        <v>0</v>
      </c>
      <c r="L8" s="378">
        <f t="shared" si="2"/>
        <v>9.5465218220752994E-4</v>
      </c>
      <c r="M8" s="379">
        <f t="shared" si="3"/>
        <v>9.499625094387136E-4</v>
      </c>
      <c r="N8" s="379">
        <f t="shared" si="4"/>
        <v>1.0230237691815989E-3</v>
      </c>
      <c r="O8" s="380">
        <f t="shared" si="5"/>
        <v>1.0550231796594882E-3</v>
      </c>
    </row>
    <row r="9" spans="1:21" ht="15" hidden="1" customHeight="1" x14ac:dyDescent="0.3">
      <c r="A9" s="374" t="s">
        <v>5</v>
      </c>
      <c r="B9" s="375">
        <v>7</v>
      </c>
      <c r="C9" s="376">
        <v>0</v>
      </c>
      <c r="D9" s="376">
        <v>0</v>
      </c>
      <c r="E9" s="376">
        <v>24300</v>
      </c>
      <c r="F9" s="377">
        <v>0</v>
      </c>
      <c r="H9" s="378"/>
      <c r="I9" s="379"/>
      <c r="J9" s="380">
        <f t="shared" si="8"/>
        <v>-1</v>
      </c>
      <c r="L9" s="378">
        <f t="shared" si="2"/>
        <v>0</v>
      </c>
      <c r="M9" s="379">
        <f t="shared" si="3"/>
        <v>0</v>
      </c>
      <c r="N9" s="379">
        <f t="shared" si="4"/>
        <v>2.8519302663287166E-5</v>
      </c>
      <c r="O9" s="380">
        <f t="shared" si="5"/>
        <v>0</v>
      </c>
    </row>
    <row r="10" spans="1:21" ht="15" hidden="1" customHeight="1" x14ac:dyDescent="0.3">
      <c r="A10" s="374" t="s">
        <v>6</v>
      </c>
      <c r="B10" s="375">
        <v>8</v>
      </c>
      <c r="C10" s="376">
        <v>302694.14028800849</v>
      </c>
      <c r="D10" s="376">
        <v>286954.54243811796</v>
      </c>
      <c r="E10" s="376">
        <v>440812</v>
      </c>
      <c r="F10" s="377">
        <v>914121</v>
      </c>
      <c r="H10" s="378">
        <f t="shared" si="6"/>
        <v>-5.1998356608141019E-2</v>
      </c>
      <c r="I10" s="379">
        <f t="shared" si="7"/>
        <v>0.53617362615913822</v>
      </c>
      <c r="J10" s="380">
        <f t="shared" si="8"/>
        <v>1.0737207698520004</v>
      </c>
      <c r="L10" s="378">
        <f t="shared" si="2"/>
        <v>3.3150976933910367E-4</v>
      </c>
      <c r="M10" s="379">
        <f t="shared" si="3"/>
        <v>3.1272796434662225E-4</v>
      </c>
      <c r="N10" s="379">
        <f t="shared" si="4"/>
        <v>5.173518866505738E-4</v>
      </c>
      <c r="O10" s="380">
        <f t="shared" si="5"/>
        <v>1.1064010820738893E-3</v>
      </c>
    </row>
    <row r="11" spans="1:21" ht="15" hidden="1" customHeight="1" x14ac:dyDescent="0.3">
      <c r="A11" s="374" t="s">
        <v>7</v>
      </c>
      <c r="B11" s="375">
        <v>9</v>
      </c>
      <c r="C11" s="376">
        <v>0</v>
      </c>
      <c r="D11" s="376">
        <v>0</v>
      </c>
      <c r="E11" s="376">
        <v>0</v>
      </c>
      <c r="F11" s="377">
        <v>0</v>
      </c>
      <c r="H11" s="378"/>
      <c r="I11" s="379"/>
      <c r="J11" s="380"/>
      <c r="L11" s="378">
        <f t="shared" si="2"/>
        <v>0</v>
      </c>
      <c r="M11" s="379">
        <f t="shared" si="3"/>
        <v>0</v>
      </c>
      <c r="N11" s="379">
        <f t="shared" si="4"/>
        <v>0</v>
      </c>
      <c r="O11" s="380">
        <f t="shared" si="5"/>
        <v>0</v>
      </c>
    </row>
    <row r="12" spans="1:21" ht="15" customHeight="1" thickTop="1" thickBot="1" x14ac:dyDescent="0.3">
      <c r="A12" s="367" t="s">
        <v>8</v>
      </c>
      <c r="B12" s="368">
        <v>10</v>
      </c>
      <c r="C12" s="369">
        <v>751598280.04512572</v>
      </c>
      <c r="D12" s="369">
        <v>693021235.64934635</v>
      </c>
      <c r="E12" s="369">
        <v>670163427</v>
      </c>
      <c r="F12" s="370">
        <v>662329502</v>
      </c>
      <c r="H12" s="371">
        <f t="shared" si="6"/>
        <v>-7.7936639759556697E-2</v>
      </c>
      <c r="I12" s="372">
        <f t="shared" si="7"/>
        <v>-3.2982840169290144E-2</v>
      </c>
      <c r="J12" s="373">
        <f t="shared" si="8"/>
        <v>-1.1689574041765785E-2</v>
      </c>
      <c r="L12" s="371">
        <f t="shared" si="2"/>
        <v>0.82314831802278343</v>
      </c>
      <c r="M12" s="372">
        <f t="shared" si="3"/>
        <v>0.75526638620937081</v>
      </c>
      <c r="N12" s="372">
        <f t="shared" si="4"/>
        <v>0.7865264859456278</v>
      </c>
      <c r="O12" s="373">
        <f t="shared" si="5"/>
        <v>0.80164669414908984</v>
      </c>
      <c r="R12" s="348">
        <v>2020</v>
      </c>
      <c r="S12" s="348">
        <v>2021</v>
      </c>
      <c r="T12" s="348">
        <v>2022</v>
      </c>
      <c r="U12" s="348">
        <v>2023</v>
      </c>
    </row>
    <row r="13" spans="1:21" ht="15" customHeight="1" thickTop="1" x14ac:dyDescent="0.25">
      <c r="A13" s="374" t="s">
        <v>9</v>
      </c>
      <c r="B13" s="375">
        <v>11</v>
      </c>
      <c r="C13" s="376">
        <v>129594426.57110624</v>
      </c>
      <c r="D13" s="376">
        <v>130191056.34083216</v>
      </c>
      <c r="E13" s="376">
        <v>130045135</v>
      </c>
      <c r="F13" s="377">
        <v>129883886</v>
      </c>
      <c r="H13" s="378">
        <f t="shared" si="6"/>
        <v>4.6038227531224754E-3</v>
      </c>
      <c r="I13" s="379">
        <f t="shared" si="7"/>
        <v>-1.1208246167858555E-3</v>
      </c>
      <c r="J13" s="380">
        <f t="shared" si="8"/>
        <v>-1.2399464232168316E-3</v>
      </c>
      <c r="L13" s="378">
        <f t="shared" si="2"/>
        <v>0.14193145073552918</v>
      </c>
      <c r="M13" s="379">
        <f t="shared" si="3"/>
        <v>0.14188443814018015</v>
      </c>
      <c r="N13" s="379">
        <f t="shared" si="4"/>
        <v>0.15262537304333496</v>
      </c>
      <c r="O13" s="380">
        <f t="shared" si="5"/>
        <v>0.15720421258713196</v>
      </c>
      <c r="Q13" s="350" t="s">
        <v>9</v>
      </c>
      <c r="R13" s="393">
        <v>129594426.57110624</v>
      </c>
      <c r="S13" s="393">
        <v>130191056.34083216</v>
      </c>
      <c r="T13" s="393">
        <v>130045135</v>
      </c>
      <c r="U13" s="393">
        <v>129883886</v>
      </c>
    </row>
    <row r="14" spans="1:21" ht="15" customHeight="1" x14ac:dyDescent="0.25">
      <c r="A14" s="374" t="s">
        <v>10</v>
      </c>
      <c r="B14" s="375">
        <v>12</v>
      </c>
      <c r="C14" s="376">
        <v>472554754.92733425</v>
      </c>
      <c r="D14" s="376">
        <v>446363573.56161654</v>
      </c>
      <c r="E14" s="376">
        <v>426366730</v>
      </c>
      <c r="F14" s="377">
        <v>412109694</v>
      </c>
      <c r="H14" s="378">
        <f t="shared" si="6"/>
        <v>-5.54246488742774E-2</v>
      </c>
      <c r="I14" s="379">
        <f t="shared" si="7"/>
        <v>-4.4799452164203432E-2</v>
      </c>
      <c r="J14" s="380">
        <f t="shared" si="8"/>
        <v>-3.3438434560782923E-2</v>
      </c>
      <c r="L14" s="378">
        <f t="shared" si="2"/>
        <v>0.51754063576189857</v>
      </c>
      <c r="M14" s="379">
        <f t="shared" si="3"/>
        <v>0.48645465073448324</v>
      </c>
      <c r="N14" s="379">
        <f t="shared" si="4"/>
        <v>0.5003984287418124</v>
      </c>
      <c r="O14" s="380">
        <f t="shared" si="5"/>
        <v>0.49879459215436395</v>
      </c>
      <c r="Q14" s="350" t="s">
        <v>10</v>
      </c>
      <c r="R14" s="393">
        <v>472554754.92733425</v>
      </c>
      <c r="S14" s="393">
        <v>446363573.56161654</v>
      </c>
      <c r="T14" s="393">
        <v>426366730</v>
      </c>
      <c r="U14" s="393">
        <v>412109694</v>
      </c>
    </row>
    <row r="15" spans="1:21" ht="15" customHeight="1" x14ac:dyDescent="0.25">
      <c r="A15" s="374" t="s">
        <v>11</v>
      </c>
      <c r="B15" s="375">
        <v>13</v>
      </c>
      <c r="C15" s="376">
        <v>64867370.097551264</v>
      </c>
      <c r="D15" s="376">
        <v>57368304.200676881</v>
      </c>
      <c r="E15" s="376">
        <v>54661538</v>
      </c>
      <c r="F15" s="377">
        <v>57687356</v>
      </c>
      <c r="H15" s="378">
        <f t="shared" si="6"/>
        <v>-0.11560613426437451</v>
      </c>
      <c r="I15" s="379">
        <f t="shared" si="7"/>
        <v>-4.718225923514302E-2</v>
      </c>
      <c r="J15" s="380">
        <f t="shared" si="8"/>
        <v>5.5355522561403227E-2</v>
      </c>
      <c r="L15" s="378">
        <f t="shared" si="2"/>
        <v>7.1042560910537039E-2</v>
      </c>
      <c r="M15" s="379">
        <f t="shared" si="3"/>
        <v>6.2520958331107032E-2</v>
      </c>
      <c r="N15" s="379">
        <f t="shared" si="4"/>
        <v>6.4152631533447441E-2</v>
      </c>
      <c r="O15" s="380">
        <f t="shared" si="5"/>
        <v>6.9821558743734871E-2</v>
      </c>
      <c r="Q15" s="350" t="s">
        <v>11</v>
      </c>
      <c r="R15" s="393">
        <v>64867370.097551264</v>
      </c>
      <c r="S15" s="393">
        <v>57368304.200676881</v>
      </c>
      <c r="T15" s="393">
        <v>54661538</v>
      </c>
      <c r="U15" s="393">
        <v>57687356</v>
      </c>
    </row>
    <row r="16" spans="1:21" ht="15" customHeight="1" x14ac:dyDescent="0.25">
      <c r="A16" s="374" t="s">
        <v>12</v>
      </c>
      <c r="B16" s="375">
        <v>14</v>
      </c>
      <c r="C16" s="376">
        <v>15467881.876700509</v>
      </c>
      <c r="D16" s="376">
        <v>13275714.911407525</v>
      </c>
      <c r="E16" s="376">
        <v>13024865</v>
      </c>
      <c r="F16" s="377">
        <v>14412117</v>
      </c>
      <c r="H16" s="378">
        <f t="shared" si="6"/>
        <v>-0.14172379791670617</v>
      </c>
      <c r="I16" s="379">
        <f t="shared" si="7"/>
        <v>-1.8895397579830147E-2</v>
      </c>
      <c r="J16" s="380">
        <f t="shared" si="8"/>
        <v>0.10650797532258492</v>
      </c>
      <c r="L16" s="378">
        <f t="shared" si="2"/>
        <v>1.6940380637135936E-2</v>
      </c>
      <c r="M16" s="379">
        <f t="shared" si="3"/>
        <v>1.4468100989848904E-2</v>
      </c>
      <c r="N16" s="379">
        <f t="shared" si="4"/>
        <v>1.5286422513722461E-2</v>
      </c>
      <c r="O16" s="380">
        <f t="shared" si="5"/>
        <v>1.7443622719284967E-2</v>
      </c>
      <c r="Q16" s="350" t="s">
        <v>12</v>
      </c>
      <c r="R16" s="393">
        <v>15467881.876700509</v>
      </c>
      <c r="S16" s="393">
        <v>13275714.911407525</v>
      </c>
      <c r="T16" s="393">
        <v>13024865</v>
      </c>
      <c r="U16" s="393">
        <v>14412117</v>
      </c>
    </row>
    <row r="17" spans="1:21" ht="15" customHeight="1" x14ac:dyDescent="0.25">
      <c r="A17" s="374" t="s">
        <v>13</v>
      </c>
      <c r="B17" s="375">
        <v>15</v>
      </c>
      <c r="C17" s="376">
        <v>0</v>
      </c>
      <c r="D17" s="376">
        <v>0</v>
      </c>
      <c r="E17" s="376">
        <v>0</v>
      </c>
      <c r="F17" s="377">
        <v>0</v>
      </c>
      <c r="H17" s="378"/>
      <c r="I17" s="379"/>
      <c r="J17" s="380"/>
      <c r="L17" s="378">
        <f t="shared" si="2"/>
        <v>0</v>
      </c>
      <c r="M17" s="379">
        <f t="shared" si="3"/>
        <v>0</v>
      </c>
      <c r="N17" s="379">
        <f t="shared" si="4"/>
        <v>0</v>
      </c>
      <c r="O17" s="380">
        <f t="shared" si="5"/>
        <v>0</v>
      </c>
      <c r="Q17" s="350" t="s">
        <v>13</v>
      </c>
      <c r="R17" s="393">
        <v>0</v>
      </c>
      <c r="S17" s="393">
        <v>0</v>
      </c>
      <c r="T17" s="393">
        <v>0</v>
      </c>
      <c r="U17" s="393">
        <v>0</v>
      </c>
    </row>
    <row r="18" spans="1:21" ht="15" customHeight="1" x14ac:dyDescent="0.25">
      <c r="A18" s="374" t="s">
        <v>14</v>
      </c>
      <c r="B18" s="375">
        <v>16</v>
      </c>
      <c r="C18" s="376">
        <v>131138.23080496382</v>
      </c>
      <c r="D18" s="376">
        <v>5644.4355962572163</v>
      </c>
      <c r="E18" s="376">
        <v>343333</v>
      </c>
      <c r="F18" s="377">
        <v>117031</v>
      </c>
      <c r="H18" s="378">
        <f t="shared" si="6"/>
        <v>-0.95695812303086547</v>
      </c>
      <c r="I18" s="379">
        <f t="shared" si="7"/>
        <v>59.826807950056441</v>
      </c>
      <c r="J18" s="380">
        <f t="shared" si="8"/>
        <v>-0.65913267876959103</v>
      </c>
      <c r="L18" s="378">
        <f t="shared" si="2"/>
        <v>1.4362222078143723E-4</v>
      </c>
      <c r="M18" s="379">
        <f t="shared" si="3"/>
        <v>6.1514023751124054E-6</v>
      </c>
      <c r="N18" s="379">
        <f t="shared" si="4"/>
        <v>4.0294723215203183E-4</v>
      </c>
      <c r="O18" s="380">
        <f t="shared" si="5"/>
        <v>1.4164779611910167E-4</v>
      </c>
      <c r="Q18" s="350" t="s">
        <v>14</v>
      </c>
      <c r="R18" s="393">
        <v>131138.23080496382</v>
      </c>
      <c r="S18" s="393">
        <v>5644.4355962572163</v>
      </c>
      <c r="T18" s="393">
        <v>343333</v>
      </c>
      <c r="U18" s="393">
        <v>117031</v>
      </c>
    </row>
    <row r="19" spans="1:21" ht="15" customHeight="1" x14ac:dyDescent="0.25">
      <c r="A19" s="374" t="s">
        <v>15</v>
      </c>
      <c r="B19" s="375">
        <v>17</v>
      </c>
      <c r="C19" s="376">
        <v>58798336.054150902</v>
      </c>
      <c r="D19" s="376">
        <v>38295028.070873976</v>
      </c>
      <c r="E19" s="376">
        <v>38988417</v>
      </c>
      <c r="F19" s="377">
        <v>41738408</v>
      </c>
      <c r="H19" s="378">
        <f t="shared" si="6"/>
        <v>-0.34870558181092409</v>
      </c>
      <c r="I19" s="379">
        <f t="shared" si="7"/>
        <v>1.8106500087759294E-2</v>
      </c>
      <c r="J19" s="380">
        <f t="shared" si="8"/>
        <v>7.0533538204436461E-2</v>
      </c>
      <c r="L19" s="378">
        <f t="shared" si="2"/>
        <v>6.4395771930993231E-2</v>
      </c>
      <c r="M19" s="379">
        <f t="shared" si="3"/>
        <v>4.1734576046252331E-2</v>
      </c>
      <c r="N19" s="379">
        <f t="shared" si="4"/>
        <v>4.5758126122858053E-2</v>
      </c>
      <c r="O19" s="380">
        <f t="shared" si="5"/>
        <v>5.0517841484050224E-2</v>
      </c>
      <c r="Q19" s="350" t="s">
        <v>15</v>
      </c>
      <c r="R19" s="393">
        <v>58798336.054150902</v>
      </c>
      <c r="S19" s="393">
        <v>38295028.070873976</v>
      </c>
      <c r="T19" s="393">
        <v>38988417</v>
      </c>
      <c r="U19" s="393">
        <v>41738408</v>
      </c>
    </row>
    <row r="20" spans="1:21" ht="15" customHeight="1" x14ac:dyDescent="0.25">
      <c r="A20" s="374" t="s">
        <v>16</v>
      </c>
      <c r="B20" s="375">
        <v>18</v>
      </c>
      <c r="C20" s="376">
        <v>9661122.1713451445</v>
      </c>
      <c r="D20" s="376">
        <v>7099858.1193178045</v>
      </c>
      <c r="E20" s="376">
        <v>6348230</v>
      </c>
      <c r="F20" s="377">
        <v>6032708</v>
      </c>
      <c r="H20" s="378">
        <f t="shared" si="6"/>
        <v>-0.26511040918456041</v>
      </c>
      <c r="I20" s="379">
        <f t="shared" si="7"/>
        <v>-0.10586523092239275</v>
      </c>
      <c r="J20" s="380">
        <f t="shared" si="8"/>
        <v>-4.9702357980098387E-2</v>
      </c>
      <c r="L20" s="378">
        <f t="shared" si="2"/>
        <v>1.0580833773432677E-2</v>
      </c>
      <c r="M20" s="379">
        <f t="shared" si="3"/>
        <v>7.7375467136329094E-3</v>
      </c>
      <c r="N20" s="379">
        <f t="shared" si="4"/>
        <v>7.4504976438748765E-3</v>
      </c>
      <c r="O20" s="380">
        <f t="shared" si="5"/>
        <v>7.3016533468061749E-3</v>
      </c>
      <c r="Q20" s="350" t="s">
        <v>16</v>
      </c>
      <c r="R20" s="393">
        <v>9661122.1713451445</v>
      </c>
      <c r="S20" s="393">
        <v>7099858.1193178045</v>
      </c>
      <c r="T20" s="393">
        <v>6348230</v>
      </c>
      <c r="U20" s="393">
        <v>6032708</v>
      </c>
    </row>
    <row r="21" spans="1:21" ht="15" customHeight="1" x14ac:dyDescent="0.25">
      <c r="A21" s="374" t="s">
        <v>17</v>
      </c>
      <c r="B21" s="375">
        <v>19</v>
      </c>
      <c r="C21" s="376">
        <v>523250.11613245733</v>
      </c>
      <c r="D21" s="376">
        <v>422056.00902515097</v>
      </c>
      <c r="E21" s="376">
        <v>385179</v>
      </c>
      <c r="F21" s="377">
        <v>348302</v>
      </c>
      <c r="H21" s="378">
        <f t="shared" si="6"/>
        <v>-0.19339528838573586</v>
      </c>
      <c r="I21" s="379">
        <f t="shared" si="7"/>
        <v>-8.7374680697777748E-2</v>
      </c>
      <c r="J21" s="380">
        <f t="shared" si="8"/>
        <v>-9.5739902746515254E-2</v>
      </c>
      <c r="L21" s="378">
        <f t="shared" si="2"/>
        <v>5.7306205247542412E-4</v>
      </c>
      <c r="M21" s="379">
        <f t="shared" si="3"/>
        <v>4.5996385149107229E-4</v>
      </c>
      <c r="N21" s="379">
        <f t="shared" si="4"/>
        <v>4.5205911442560857E-4</v>
      </c>
      <c r="O21" s="380">
        <f t="shared" si="5"/>
        <v>4.2156531759854522E-4</v>
      </c>
      <c r="Q21" s="350" t="s">
        <v>17</v>
      </c>
      <c r="R21" s="393">
        <v>523250.11613245733</v>
      </c>
      <c r="S21" s="393">
        <v>422056.00902515097</v>
      </c>
      <c r="T21" s="393">
        <v>385179</v>
      </c>
      <c r="U21" s="393">
        <v>348302</v>
      </c>
    </row>
    <row r="22" spans="1:21" ht="15" customHeight="1" x14ac:dyDescent="0.25">
      <c r="A22" s="367" t="s">
        <v>18</v>
      </c>
      <c r="B22" s="368">
        <v>20</v>
      </c>
      <c r="C22" s="369">
        <v>6162359.0151967611</v>
      </c>
      <c r="D22" s="369">
        <v>10892791.95699781</v>
      </c>
      <c r="E22" s="369">
        <v>19155575</v>
      </c>
      <c r="F22" s="370">
        <v>18469932</v>
      </c>
      <c r="H22" s="371">
        <f t="shared" si="6"/>
        <v>0.76763345500246039</v>
      </c>
      <c r="I22" s="372">
        <f t="shared" si="7"/>
        <v>0.75855511384241259</v>
      </c>
      <c r="J22" s="373">
        <f t="shared" si="8"/>
        <v>-3.5793391741046669E-2</v>
      </c>
      <c r="L22" s="371">
        <f t="shared" si="2"/>
        <v>6.7489982256308473E-3</v>
      </c>
      <c r="M22" s="372">
        <f t="shared" si="3"/>
        <v>1.187115083044136E-2</v>
      </c>
      <c r="N22" s="372">
        <f t="shared" si="4"/>
        <v>2.2481631321576011E-2</v>
      </c>
      <c r="O22" s="373">
        <f t="shared" si="5"/>
        <v>2.2354975709595503E-2</v>
      </c>
    </row>
    <row r="23" spans="1:21" ht="15" customHeight="1" x14ac:dyDescent="0.25">
      <c r="A23" s="374" t="s">
        <v>19</v>
      </c>
      <c r="B23" s="375">
        <v>21</v>
      </c>
      <c r="C23" s="376">
        <v>0</v>
      </c>
      <c r="D23" s="376">
        <v>0</v>
      </c>
      <c r="E23" s="376">
        <v>0</v>
      </c>
      <c r="F23" s="377">
        <v>0</v>
      </c>
      <c r="H23" s="378"/>
      <c r="I23" s="379"/>
      <c r="J23" s="380"/>
      <c r="L23" s="378">
        <f t="shared" si="2"/>
        <v>0</v>
      </c>
      <c r="M23" s="379">
        <f t="shared" si="3"/>
        <v>0</v>
      </c>
      <c r="N23" s="379">
        <f t="shared" si="4"/>
        <v>0</v>
      </c>
      <c r="O23" s="380">
        <f t="shared" si="5"/>
        <v>0</v>
      </c>
    </row>
    <row r="24" spans="1:21" ht="15" customHeight="1" x14ac:dyDescent="0.25">
      <c r="A24" s="374" t="s">
        <v>20</v>
      </c>
      <c r="B24" s="375">
        <v>22</v>
      </c>
      <c r="C24" s="376">
        <v>0</v>
      </c>
      <c r="D24" s="376">
        <v>0</v>
      </c>
      <c r="E24" s="376">
        <v>0</v>
      </c>
      <c r="F24" s="377">
        <v>0</v>
      </c>
      <c r="H24" s="378"/>
      <c r="I24" s="379"/>
      <c r="J24" s="380"/>
      <c r="L24" s="378">
        <f t="shared" si="2"/>
        <v>0</v>
      </c>
      <c r="M24" s="379">
        <f t="shared" si="3"/>
        <v>0</v>
      </c>
      <c r="N24" s="379">
        <f t="shared" si="4"/>
        <v>0</v>
      </c>
      <c r="O24" s="380">
        <f t="shared" si="5"/>
        <v>0</v>
      </c>
    </row>
    <row r="25" spans="1:21" ht="15" customHeight="1" x14ac:dyDescent="0.25">
      <c r="A25" s="374" t="s">
        <v>21</v>
      </c>
      <c r="B25" s="375">
        <v>23</v>
      </c>
      <c r="C25" s="376">
        <v>0</v>
      </c>
      <c r="D25" s="376">
        <v>0</v>
      </c>
      <c r="E25" s="376">
        <v>0</v>
      </c>
      <c r="F25" s="377">
        <v>0</v>
      </c>
      <c r="H25" s="378"/>
      <c r="I25" s="379"/>
      <c r="J25" s="380"/>
      <c r="L25" s="378">
        <f t="shared" si="2"/>
        <v>0</v>
      </c>
      <c r="M25" s="379">
        <f t="shared" si="3"/>
        <v>0</v>
      </c>
      <c r="N25" s="379">
        <f t="shared" si="4"/>
        <v>0</v>
      </c>
      <c r="O25" s="380">
        <f t="shared" si="5"/>
        <v>0</v>
      </c>
    </row>
    <row r="26" spans="1:21" ht="15" customHeight="1" x14ac:dyDescent="0.25">
      <c r="A26" s="374" t="s">
        <v>643</v>
      </c>
      <c r="B26" s="375">
        <v>24</v>
      </c>
      <c r="C26" s="376">
        <v>6112443.6923485296</v>
      </c>
      <c r="D26" s="376">
        <v>10157683.58882474</v>
      </c>
      <c r="E26" s="376">
        <v>14591064</v>
      </c>
      <c r="F26" s="377">
        <v>16254440</v>
      </c>
      <c r="H26" s="378">
        <f t="shared" si="6"/>
        <v>0.66180403453695358</v>
      </c>
      <c r="I26" s="379">
        <f t="shared" si="7"/>
        <v>0.43645584865950815</v>
      </c>
      <c r="J26" s="380">
        <f t="shared" si="8"/>
        <v>0.11399963703812141</v>
      </c>
      <c r="L26" s="378">
        <f t="shared" si="2"/>
        <v>6.6943311047273522E-3</v>
      </c>
      <c r="M26" s="379">
        <f t="shared" si="3"/>
        <v>1.1070017167946691E-2</v>
      </c>
      <c r="N26" s="379">
        <f t="shared" si="4"/>
        <v>1.7124566682938006E-2</v>
      </c>
      <c r="O26" s="380">
        <f t="shared" si="5"/>
        <v>1.9673467740600102E-2</v>
      </c>
    </row>
    <row r="27" spans="1:21" ht="15" customHeight="1" x14ac:dyDescent="0.25">
      <c r="A27" s="374" t="s">
        <v>644</v>
      </c>
      <c r="B27" s="375">
        <v>25</v>
      </c>
      <c r="C27" s="376">
        <v>0</v>
      </c>
      <c r="D27" s="376">
        <v>0</v>
      </c>
      <c r="E27" s="376">
        <v>0</v>
      </c>
      <c r="F27" s="377">
        <v>0</v>
      </c>
      <c r="H27" s="378"/>
      <c r="I27" s="379"/>
      <c r="J27" s="380"/>
      <c r="L27" s="378">
        <f t="shared" si="2"/>
        <v>0</v>
      </c>
      <c r="M27" s="379">
        <f t="shared" si="3"/>
        <v>0</v>
      </c>
      <c r="N27" s="379">
        <f t="shared" si="4"/>
        <v>0</v>
      </c>
      <c r="O27" s="380">
        <f t="shared" si="5"/>
        <v>0</v>
      </c>
    </row>
    <row r="28" spans="1:21" ht="15" customHeight="1" x14ac:dyDescent="0.25">
      <c r="A28" s="374" t="s">
        <v>645</v>
      </c>
      <c r="B28" s="375">
        <v>26</v>
      </c>
      <c r="C28" s="376">
        <v>0</v>
      </c>
      <c r="D28" s="376">
        <v>0</v>
      </c>
      <c r="E28" s="376">
        <v>414139</v>
      </c>
      <c r="F28" s="377">
        <v>795420</v>
      </c>
      <c r="H28" s="378"/>
      <c r="I28" s="379"/>
      <c r="J28" s="380">
        <f t="shared" si="8"/>
        <v>0.92065948872238546</v>
      </c>
      <c r="L28" s="378">
        <f t="shared" si="2"/>
        <v>0</v>
      </c>
      <c r="M28" s="379">
        <f t="shared" si="3"/>
        <v>0</v>
      </c>
      <c r="N28" s="379">
        <f t="shared" si="4"/>
        <v>4.8604755085066188E-4</v>
      </c>
      <c r="O28" s="380">
        <f t="shared" si="5"/>
        <v>9.6273201108301081E-4</v>
      </c>
    </row>
    <row r="29" spans="1:21" ht="15" customHeight="1" x14ac:dyDescent="0.25">
      <c r="A29" s="374" t="s">
        <v>22</v>
      </c>
      <c r="B29" s="375">
        <v>27</v>
      </c>
      <c r="C29" s="376">
        <v>19517.419868604418</v>
      </c>
      <c r="D29" s="376">
        <v>29306.788771650408</v>
      </c>
      <c r="E29" s="376">
        <v>25746</v>
      </c>
      <c r="F29" s="377">
        <v>135827</v>
      </c>
      <c r="H29" s="378">
        <f t="shared" si="6"/>
        <v>0.50157085152393011</v>
      </c>
      <c r="I29" s="379">
        <f t="shared" si="7"/>
        <v>-0.12150047551763492</v>
      </c>
      <c r="J29" s="380">
        <f t="shared" si="8"/>
        <v>4.2756544705973747</v>
      </c>
      <c r="L29" s="378">
        <f t="shared" si="2"/>
        <v>2.1375423232769507E-5</v>
      </c>
      <c r="M29" s="379">
        <f t="shared" si="3"/>
        <v>3.1939039250689444E-5</v>
      </c>
      <c r="N29" s="379">
        <f t="shared" si="4"/>
        <v>3.0216377216830922E-5</v>
      </c>
      <c r="O29" s="380">
        <f t="shared" si="5"/>
        <v>1.6439742635258368E-4</v>
      </c>
    </row>
    <row r="30" spans="1:21" ht="15" customHeight="1" x14ac:dyDescent="0.25">
      <c r="A30" s="374" t="s">
        <v>23</v>
      </c>
      <c r="B30" s="375">
        <v>28</v>
      </c>
      <c r="C30" s="376">
        <v>11816.7098015794</v>
      </c>
      <c r="D30" s="376">
        <v>687220.38622337242</v>
      </c>
      <c r="E30" s="376">
        <v>556747</v>
      </c>
      <c r="F30" s="377">
        <v>590532</v>
      </c>
      <c r="H30" s="378">
        <f t="shared" si="6"/>
        <v>57.15666101333214</v>
      </c>
      <c r="I30" s="379">
        <f t="shared" si="7"/>
        <v>-0.18985668766374994</v>
      </c>
      <c r="J30" s="380">
        <f t="shared" si="8"/>
        <v>6.0682859539431734E-2</v>
      </c>
      <c r="L30" s="378">
        <f t="shared" si="2"/>
        <v>1.2941627270820022E-5</v>
      </c>
      <c r="M30" s="379">
        <f t="shared" si="3"/>
        <v>7.4894452136955102E-4</v>
      </c>
      <c r="N30" s="379">
        <f t="shared" si="4"/>
        <v>6.5341712756696057E-4</v>
      </c>
      <c r="O30" s="380">
        <f t="shared" si="5"/>
        <v>7.1474700154493546E-4</v>
      </c>
    </row>
    <row r="31" spans="1:21" ht="15" customHeight="1" x14ac:dyDescent="0.25">
      <c r="A31" s="374" t="s">
        <v>24</v>
      </c>
      <c r="B31" s="375">
        <v>29</v>
      </c>
      <c r="C31" s="376">
        <v>0</v>
      </c>
      <c r="D31" s="376">
        <v>0</v>
      </c>
      <c r="E31" s="376">
        <v>0</v>
      </c>
      <c r="F31" s="377">
        <v>0</v>
      </c>
      <c r="H31" s="378"/>
      <c r="I31" s="379"/>
      <c r="J31" s="380"/>
      <c r="L31" s="378">
        <f t="shared" si="2"/>
        <v>0</v>
      </c>
      <c r="M31" s="379">
        <f t="shared" si="3"/>
        <v>0</v>
      </c>
      <c r="N31" s="379">
        <f t="shared" si="4"/>
        <v>0</v>
      </c>
      <c r="O31" s="380">
        <f t="shared" si="5"/>
        <v>0</v>
      </c>
    </row>
    <row r="32" spans="1:21" ht="15" customHeight="1" x14ac:dyDescent="0.25">
      <c r="A32" s="374" t="s">
        <v>25</v>
      </c>
      <c r="B32" s="375">
        <v>30</v>
      </c>
      <c r="C32" s="376">
        <v>18581.193178047648</v>
      </c>
      <c r="D32" s="376">
        <v>18581.193178047648</v>
      </c>
      <c r="E32" s="376">
        <v>3567879</v>
      </c>
      <c r="F32" s="377">
        <v>693713</v>
      </c>
      <c r="H32" s="378">
        <f t="shared" si="6"/>
        <v>0</v>
      </c>
      <c r="I32" s="379">
        <f t="shared" si="7"/>
        <v>191.015602325</v>
      </c>
      <c r="J32" s="380">
        <f t="shared" si="8"/>
        <v>-0.80556711704628992</v>
      </c>
      <c r="L32" s="378">
        <f t="shared" si="2"/>
        <v>2.0350070399905689E-5</v>
      </c>
      <c r="M32" s="379">
        <f t="shared" si="3"/>
        <v>2.0250101874429476E-5</v>
      </c>
      <c r="N32" s="379">
        <f t="shared" si="4"/>
        <v>4.1873835830035537E-3</v>
      </c>
      <c r="O32" s="380">
        <f t="shared" si="5"/>
        <v>8.3963153001487094E-4</v>
      </c>
    </row>
    <row r="33" spans="1:15" ht="15" customHeight="1" x14ac:dyDescent="0.25">
      <c r="A33" s="367" t="s">
        <v>26</v>
      </c>
      <c r="B33" s="368">
        <v>31</v>
      </c>
      <c r="C33" s="369">
        <v>0</v>
      </c>
      <c r="D33" s="369">
        <v>0</v>
      </c>
      <c r="E33" s="369">
        <v>0</v>
      </c>
      <c r="F33" s="370">
        <v>0</v>
      </c>
      <c r="H33" s="371"/>
      <c r="I33" s="372"/>
      <c r="J33" s="373"/>
      <c r="L33" s="371">
        <f t="shared" si="2"/>
        <v>0</v>
      </c>
      <c r="M33" s="372">
        <f t="shared" si="3"/>
        <v>0</v>
      </c>
      <c r="N33" s="372">
        <f t="shared" si="4"/>
        <v>0</v>
      </c>
      <c r="O33" s="373">
        <f t="shared" si="5"/>
        <v>0</v>
      </c>
    </row>
    <row r="34" spans="1:15" ht="15" customHeight="1" x14ac:dyDescent="0.25">
      <c r="A34" s="374" t="s">
        <v>27</v>
      </c>
      <c r="B34" s="375">
        <v>32</v>
      </c>
      <c r="C34" s="376">
        <v>0</v>
      </c>
      <c r="D34" s="376">
        <v>0</v>
      </c>
      <c r="E34" s="376">
        <v>0</v>
      </c>
      <c r="F34" s="377">
        <v>0</v>
      </c>
      <c r="H34" s="378"/>
      <c r="I34" s="379"/>
      <c r="J34" s="380"/>
      <c r="L34" s="378">
        <f t="shared" si="2"/>
        <v>0</v>
      </c>
      <c r="M34" s="379">
        <f t="shared" si="3"/>
        <v>0</v>
      </c>
      <c r="N34" s="379">
        <f t="shared" si="4"/>
        <v>0</v>
      </c>
      <c r="O34" s="380">
        <f t="shared" si="5"/>
        <v>0</v>
      </c>
    </row>
    <row r="35" spans="1:15" ht="15" customHeight="1" x14ac:dyDescent="0.25">
      <c r="A35" s="374" t="s">
        <v>28</v>
      </c>
      <c r="B35" s="375">
        <v>33</v>
      </c>
      <c r="C35" s="376">
        <v>0</v>
      </c>
      <c r="D35" s="376">
        <v>0</v>
      </c>
      <c r="E35" s="376">
        <v>0</v>
      </c>
      <c r="F35" s="377">
        <v>0</v>
      </c>
      <c r="H35" s="378"/>
      <c r="I35" s="379"/>
      <c r="J35" s="380"/>
      <c r="L35" s="378">
        <f t="shared" si="2"/>
        <v>0</v>
      </c>
      <c r="M35" s="379">
        <f t="shared" si="3"/>
        <v>0</v>
      </c>
      <c r="N35" s="379">
        <f t="shared" si="4"/>
        <v>0</v>
      </c>
      <c r="O35" s="380">
        <f t="shared" si="5"/>
        <v>0</v>
      </c>
    </row>
    <row r="36" spans="1:15" ht="15" customHeight="1" x14ac:dyDescent="0.25">
      <c r="A36" s="374" t="s">
        <v>29</v>
      </c>
      <c r="B36" s="375">
        <v>34</v>
      </c>
      <c r="C36" s="376">
        <v>0</v>
      </c>
      <c r="D36" s="376">
        <v>0</v>
      </c>
      <c r="E36" s="376">
        <v>0</v>
      </c>
      <c r="F36" s="377">
        <v>0</v>
      </c>
      <c r="H36" s="378"/>
      <c r="I36" s="379"/>
      <c r="J36" s="380"/>
      <c r="L36" s="378">
        <f t="shared" si="2"/>
        <v>0</v>
      </c>
      <c r="M36" s="379">
        <f t="shared" si="3"/>
        <v>0</v>
      </c>
      <c r="N36" s="379">
        <f t="shared" si="4"/>
        <v>0</v>
      </c>
      <c r="O36" s="380">
        <f t="shared" si="5"/>
        <v>0</v>
      </c>
    </row>
    <row r="37" spans="1:15" ht="15" customHeight="1" x14ac:dyDescent="0.25">
      <c r="A37" s="374" t="s">
        <v>30</v>
      </c>
      <c r="B37" s="375">
        <v>35</v>
      </c>
      <c r="C37" s="376">
        <v>0</v>
      </c>
      <c r="D37" s="376">
        <v>0</v>
      </c>
      <c r="E37" s="376">
        <v>0</v>
      </c>
      <c r="F37" s="377">
        <v>0</v>
      </c>
      <c r="H37" s="378"/>
      <c r="I37" s="379"/>
      <c r="J37" s="380"/>
      <c r="L37" s="378">
        <f t="shared" si="2"/>
        <v>0</v>
      </c>
      <c r="M37" s="379">
        <f t="shared" si="3"/>
        <v>0</v>
      </c>
      <c r="N37" s="379">
        <f t="shared" si="4"/>
        <v>0</v>
      </c>
      <c r="O37" s="380">
        <f t="shared" si="5"/>
        <v>0</v>
      </c>
    </row>
    <row r="38" spans="1:15" ht="15" customHeight="1" x14ac:dyDescent="0.25">
      <c r="A38" s="367" t="s">
        <v>31</v>
      </c>
      <c r="B38" s="368">
        <v>36</v>
      </c>
      <c r="C38" s="369">
        <v>43985684.252438776</v>
      </c>
      <c r="D38" s="369">
        <v>43678124.626717098</v>
      </c>
      <c r="E38" s="369">
        <v>37593975</v>
      </c>
      <c r="F38" s="370">
        <v>40120445</v>
      </c>
      <c r="H38" s="371">
        <f t="shared" si="6"/>
        <v>-6.9922664828074273E-3</v>
      </c>
      <c r="I38" s="372">
        <f t="shared" si="7"/>
        <v>-0.13929512035403499</v>
      </c>
      <c r="J38" s="373">
        <f t="shared" si="8"/>
        <v>6.7204119809091745E-2</v>
      </c>
      <c r="L38" s="371">
        <f t="shared" si="2"/>
        <v>4.8172997425303274E-2</v>
      </c>
      <c r="M38" s="372">
        <f t="shared" si="3"/>
        <v>4.7601166668887862E-2</v>
      </c>
      <c r="N38" s="372">
        <f t="shared" si="4"/>
        <v>4.4121561783582355E-2</v>
      </c>
      <c r="O38" s="373">
        <f t="shared" si="5"/>
        <v>4.8559549295209233E-2</v>
      </c>
    </row>
    <row r="39" spans="1:15" ht="15" customHeight="1" x14ac:dyDescent="0.25">
      <c r="A39" s="354" t="s">
        <v>636</v>
      </c>
      <c r="B39" s="355">
        <v>37</v>
      </c>
      <c r="C39" s="362">
        <v>97825505.209370226</v>
      </c>
      <c r="D39" s="362">
        <v>161650773.77397305</v>
      </c>
      <c r="E39" s="362">
        <v>117447470</v>
      </c>
      <c r="F39" s="363">
        <v>94414531</v>
      </c>
      <c r="H39" s="364">
        <f t="shared" si="6"/>
        <v>0.65243995855683368</v>
      </c>
      <c r="I39" s="365">
        <f t="shared" si="7"/>
        <v>-0.27344937943680975</v>
      </c>
      <c r="J39" s="366">
        <f t="shared" si="8"/>
        <v>-0.19611268765517043</v>
      </c>
      <c r="L39" s="364">
        <f t="shared" si="2"/>
        <v>0.10713821759675589</v>
      </c>
      <c r="M39" s="365">
        <f t="shared" si="3"/>
        <v>0.17616977583929583</v>
      </c>
      <c r="N39" s="365">
        <f t="shared" si="4"/>
        <v>0.13784032691223622</v>
      </c>
      <c r="O39" s="366">
        <f t="shared" si="5"/>
        <v>0.11427408325801371</v>
      </c>
    </row>
    <row r="40" spans="1:15" ht="15" customHeight="1" x14ac:dyDescent="0.25">
      <c r="A40" s="367" t="s">
        <v>32</v>
      </c>
      <c r="B40" s="368">
        <v>38</v>
      </c>
      <c r="C40" s="369">
        <v>4026173.9996018312</v>
      </c>
      <c r="D40" s="369">
        <v>3491946.5127082085</v>
      </c>
      <c r="E40" s="369">
        <v>5498367</v>
      </c>
      <c r="F40" s="370">
        <v>7386812</v>
      </c>
      <c r="H40" s="371">
        <f t="shared" si="6"/>
        <v>-0.13268862372725448</v>
      </c>
      <c r="I40" s="372">
        <f t="shared" si="7"/>
        <v>0.5745851146315798</v>
      </c>
      <c r="J40" s="373">
        <f t="shared" si="8"/>
        <v>0.34345561145700171</v>
      </c>
      <c r="L40" s="371">
        <f t="shared" si="2"/>
        <v>4.4094544171127299E-3</v>
      </c>
      <c r="M40" s="372">
        <f t="shared" si="3"/>
        <v>3.8055829862390896E-3</v>
      </c>
      <c r="N40" s="372">
        <f t="shared" si="4"/>
        <v>6.453069655425114E-3</v>
      </c>
      <c r="O40" s="373">
        <f t="shared" si="5"/>
        <v>8.940585316250681E-3</v>
      </c>
    </row>
    <row r="41" spans="1:15" ht="15" customHeight="1" x14ac:dyDescent="0.25">
      <c r="A41" s="374" t="s">
        <v>33</v>
      </c>
      <c r="B41" s="375">
        <v>39</v>
      </c>
      <c r="C41" s="376">
        <v>3892674.2318667462</v>
      </c>
      <c r="D41" s="376">
        <v>3324826.9958192315</v>
      </c>
      <c r="E41" s="376">
        <v>5289483</v>
      </c>
      <c r="F41" s="377">
        <v>6971251</v>
      </c>
      <c r="H41" s="378">
        <f t="shared" si="6"/>
        <v>-0.14587586893321958</v>
      </c>
      <c r="I41" s="379">
        <f t="shared" si="7"/>
        <v>0.59090473178039171</v>
      </c>
      <c r="J41" s="380">
        <f t="shared" si="8"/>
        <v>0.31794562909078261</v>
      </c>
      <c r="L41" s="378">
        <f t="shared" si="2"/>
        <v>4.2632458477411105E-3</v>
      </c>
      <c r="M41" s="379">
        <f t="shared" si="3"/>
        <v>3.6234532806933019E-3</v>
      </c>
      <c r="N41" s="379">
        <f t="shared" si="4"/>
        <v>6.2079163213708726E-3</v>
      </c>
      <c r="O41" s="380">
        <f t="shared" si="5"/>
        <v>8.4376134557773881E-3</v>
      </c>
    </row>
    <row r="42" spans="1:15" ht="15" customHeight="1" x14ac:dyDescent="0.25">
      <c r="A42" s="374" t="s">
        <v>34</v>
      </c>
      <c r="B42" s="375">
        <v>40</v>
      </c>
      <c r="C42" s="376">
        <v>0</v>
      </c>
      <c r="D42" s="376">
        <v>0</v>
      </c>
      <c r="E42" s="376">
        <v>0</v>
      </c>
      <c r="F42" s="377">
        <v>0</v>
      </c>
      <c r="H42" s="378"/>
      <c r="I42" s="379"/>
      <c r="J42" s="380"/>
      <c r="L42" s="378">
        <f t="shared" si="2"/>
        <v>0</v>
      </c>
      <c r="M42" s="379">
        <f t="shared" si="3"/>
        <v>0</v>
      </c>
      <c r="N42" s="379">
        <f t="shared" si="4"/>
        <v>0</v>
      </c>
      <c r="O42" s="380">
        <f t="shared" si="5"/>
        <v>0</v>
      </c>
    </row>
    <row r="43" spans="1:15" ht="15" customHeight="1" x14ac:dyDescent="0.25">
      <c r="A43" s="374" t="s">
        <v>35</v>
      </c>
      <c r="B43" s="375">
        <v>41</v>
      </c>
      <c r="C43" s="376">
        <v>0</v>
      </c>
      <c r="D43" s="376">
        <v>0</v>
      </c>
      <c r="E43" s="376">
        <v>0</v>
      </c>
      <c r="F43" s="377">
        <v>0</v>
      </c>
      <c r="H43" s="378"/>
      <c r="I43" s="379"/>
      <c r="J43" s="380"/>
      <c r="L43" s="378">
        <f t="shared" si="2"/>
        <v>0</v>
      </c>
      <c r="M43" s="379">
        <f t="shared" si="3"/>
        <v>0</v>
      </c>
      <c r="N43" s="379">
        <f t="shared" si="4"/>
        <v>0</v>
      </c>
      <c r="O43" s="380">
        <f t="shared" si="5"/>
        <v>0</v>
      </c>
    </row>
    <row r="44" spans="1:15" ht="15" customHeight="1" x14ac:dyDescent="0.25">
      <c r="A44" s="374" t="s">
        <v>36</v>
      </c>
      <c r="B44" s="375">
        <v>42</v>
      </c>
      <c r="C44" s="376">
        <v>129254.36326232662</v>
      </c>
      <c r="D44" s="376">
        <v>163331.07704559027</v>
      </c>
      <c r="E44" s="376">
        <v>204127</v>
      </c>
      <c r="F44" s="377">
        <v>412423</v>
      </c>
      <c r="H44" s="378">
        <f t="shared" si="6"/>
        <v>0.26364072301453895</v>
      </c>
      <c r="I44" s="379">
        <f t="shared" si="7"/>
        <v>0.24977440724904085</v>
      </c>
      <c r="J44" s="380">
        <f t="shared" si="8"/>
        <v>1.020423559842647</v>
      </c>
      <c r="L44" s="378">
        <f t="shared" si="2"/>
        <v>1.4155901435817823E-4</v>
      </c>
      <c r="M44" s="379">
        <f t="shared" si="3"/>
        <v>1.7800099906076179E-4</v>
      </c>
      <c r="N44" s="379">
        <f t="shared" si="4"/>
        <v>2.3957035780859339E-4</v>
      </c>
      <c r="O44" s="380">
        <f t="shared" si="5"/>
        <v>4.9917380026512858E-4</v>
      </c>
    </row>
    <row r="45" spans="1:15" ht="15" customHeight="1" x14ac:dyDescent="0.25">
      <c r="A45" s="374" t="s">
        <v>37</v>
      </c>
      <c r="B45" s="375">
        <v>43</v>
      </c>
      <c r="C45" s="376">
        <v>4245.4044727586434</v>
      </c>
      <c r="D45" s="376">
        <v>3788.4398433870861</v>
      </c>
      <c r="E45" s="376">
        <v>4757</v>
      </c>
      <c r="F45" s="377">
        <v>3138</v>
      </c>
      <c r="H45" s="378">
        <f t="shared" si="6"/>
        <v>-0.10763747772532586</v>
      </c>
      <c r="I45" s="379">
        <f t="shared" si="7"/>
        <v>0.25566201303251124</v>
      </c>
      <c r="J45" s="380">
        <f t="shared" si="8"/>
        <v>-0.34034055076729031</v>
      </c>
      <c r="L45" s="378">
        <f t="shared" si="2"/>
        <v>4.6495550134413089E-6</v>
      </c>
      <c r="M45" s="379">
        <f t="shared" si="3"/>
        <v>4.1287064850265355E-6</v>
      </c>
      <c r="N45" s="379">
        <f t="shared" si="4"/>
        <v>5.5829762456484383E-6</v>
      </c>
      <c r="O45" s="380">
        <f t="shared" si="5"/>
        <v>3.7980602081648535E-6</v>
      </c>
    </row>
    <row r="46" spans="1:15" ht="15" customHeight="1" x14ac:dyDescent="0.25">
      <c r="A46" s="374" t="s">
        <v>38</v>
      </c>
      <c r="B46" s="375">
        <v>44</v>
      </c>
      <c r="C46" s="376">
        <v>0</v>
      </c>
      <c r="D46" s="376">
        <v>0</v>
      </c>
      <c r="E46" s="376">
        <v>0</v>
      </c>
      <c r="F46" s="377">
        <v>0</v>
      </c>
      <c r="H46" s="378"/>
      <c r="I46" s="379"/>
      <c r="J46" s="380"/>
      <c r="L46" s="378">
        <f t="shared" si="2"/>
        <v>0</v>
      </c>
      <c r="M46" s="379">
        <f t="shared" si="3"/>
        <v>0</v>
      </c>
      <c r="N46" s="379">
        <f t="shared" si="4"/>
        <v>0</v>
      </c>
      <c r="O46" s="380">
        <f t="shared" si="5"/>
        <v>0</v>
      </c>
    </row>
    <row r="47" spans="1:15" ht="15" customHeight="1" x14ac:dyDescent="0.25">
      <c r="A47" s="374" t="s">
        <v>39</v>
      </c>
      <c r="B47" s="375">
        <v>45</v>
      </c>
      <c r="C47" s="376">
        <v>0</v>
      </c>
      <c r="D47" s="376">
        <v>0</v>
      </c>
      <c r="E47" s="376">
        <v>0</v>
      </c>
      <c r="F47" s="377">
        <v>0</v>
      </c>
      <c r="H47" s="378"/>
      <c r="I47" s="379"/>
      <c r="J47" s="380"/>
      <c r="L47" s="378">
        <f t="shared" si="2"/>
        <v>0</v>
      </c>
      <c r="M47" s="379">
        <f t="shared" si="3"/>
        <v>0</v>
      </c>
      <c r="N47" s="379">
        <f t="shared" si="4"/>
        <v>0</v>
      </c>
      <c r="O47" s="380">
        <f t="shared" si="5"/>
        <v>0</v>
      </c>
    </row>
    <row r="48" spans="1:15" ht="15" customHeight="1" x14ac:dyDescent="0.25">
      <c r="A48" s="367" t="s">
        <v>40</v>
      </c>
      <c r="B48" s="368">
        <v>46</v>
      </c>
      <c r="C48" s="369">
        <v>5333455.4383170744</v>
      </c>
      <c r="D48" s="369">
        <v>5094994.3592806421</v>
      </c>
      <c r="E48" s="369">
        <v>4768259</v>
      </c>
      <c r="F48" s="370">
        <v>6200436</v>
      </c>
      <c r="H48" s="371">
        <f t="shared" si="6"/>
        <v>-4.4710428688174556E-2</v>
      </c>
      <c r="I48" s="372">
        <f t="shared" si="7"/>
        <v>-6.4128698922990293E-2</v>
      </c>
      <c r="J48" s="373">
        <f t="shared" si="8"/>
        <v>0.30035637745348986</v>
      </c>
      <c r="L48" s="371">
        <f t="shared" si="2"/>
        <v>5.8411853643898434E-3</v>
      </c>
      <c r="M48" s="372">
        <f t="shared" si="3"/>
        <v>5.5526119252109945E-3</v>
      </c>
      <c r="N48" s="372">
        <f t="shared" si="4"/>
        <v>5.596190189215762E-3</v>
      </c>
      <c r="O48" s="373">
        <f t="shared" si="5"/>
        <v>7.5046619645866321E-3</v>
      </c>
    </row>
    <row r="49" spans="1:15" ht="15" customHeight="1" x14ac:dyDescent="0.25">
      <c r="A49" s="374" t="s">
        <v>41</v>
      </c>
      <c r="B49" s="375">
        <v>47</v>
      </c>
      <c r="C49" s="376">
        <v>0</v>
      </c>
      <c r="D49" s="376">
        <v>0</v>
      </c>
      <c r="E49" s="376">
        <v>0</v>
      </c>
      <c r="F49" s="377">
        <v>0</v>
      </c>
      <c r="H49" s="378"/>
      <c r="I49" s="379"/>
      <c r="J49" s="380"/>
      <c r="L49" s="378">
        <f t="shared" si="2"/>
        <v>0</v>
      </c>
      <c r="M49" s="379">
        <f t="shared" si="3"/>
        <v>0</v>
      </c>
      <c r="N49" s="379">
        <f t="shared" si="4"/>
        <v>0</v>
      </c>
      <c r="O49" s="380">
        <f t="shared" si="5"/>
        <v>0</v>
      </c>
    </row>
    <row r="50" spans="1:15" ht="15" customHeight="1" x14ac:dyDescent="0.25">
      <c r="A50" s="374" t="s">
        <v>42</v>
      </c>
      <c r="B50" s="375">
        <v>48</v>
      </c>
      <c r="C50" s="376">
        <v>212171.07970004645</v>
      </c>
      <c r="D50" s="376">
        <v>968041.94040745893</v>
      </c>
      <c r="E50" s="376">
        <v>1064950</v>
      </c>
      <c r="F50" s="377">
        <v>1373496</v>
      </c>
      <c r="H50" s="378">
        <f t="shared" si="6"/>
        <v>3.5625536796815713</v>
      </c>
      <c r="I50" s="379">
        <f t="shared" si="7"/>
        <v>0.10010729447502188</v>
      </c>
      <c r="J50" s="380">
        <f t="shared" si="8"/>
        <v>0.28972815625146719</v>
      </c>
      <c r="L50" s="378">
        <f t="shared" si="2"/>
        <v>2.3236916851071738E-4</v>
      </c>
      <c r="M50" s="379">
        <f t="shared" si="3"/>
        <v>1.0549886503053482E-3</v>
      </c>
      <c r="N50" s="379">
        <f t="shared" si="4"/>
        <v>1.2498613733031962E-3</v>
      </c>
      <c r="O50" s="380">
        <f t="shared" si="5"/>
        <v>1.6624029648418081E-3</v>
      </c>
    </row>
    <row r="51" spans="1:15" ht="15" customHeight="1" x14ac:dyDescent="0.25">
      <c r="A51" s="374" t="s">
        <v>43</v>
      </c>
      <c r="B51" s="375">
        <v>49</v>
      </c>
      <c r="C51" s="376">
        <v>3155637.4012874109</v>
      </c>
      <c r="D51" s="376">
        <v>2388434.7999203661</v>
      </c>
      <c r="E51" s="376">
        <v>2308619</v>
      </c>
      <c r="F51" s="377">
        <v>2436265</v>
      </c>
      <c r="H51" s="378">
        <f t="shared" si="6"/>
        <v>-0.24312127909691011</v>
      </c>
      <c r="I51" s="379">
        <f t="shared" si="7"/>
        <v>-3.3417617229085476E-2</v>
      </c>
      <c r="J51" s="380">
        <f t="shared" si="8"/>
        <v>5.5291063618552912E-2</v>
      </c>
      <c r="L51" s="378">
        <f t="shared" si="2"/>
        <v>3.456045188133697E-3</v>
      </c>
      <c r="M51" s="379">
        <f t="shared" si="3"/>
        <v>2.6029570628414234E-3</v>
      </c>
      <c r="N51" s="379">
        <f t="shared" si="4"/>
        <v>2.7094734154409611E-3</v>
      </c>
      <c r="O51" s="380">
        <f t="shared" si="5"/>
        <v>2.9487192967000467E-3</v>
      </c>
    </row>
    <row r="52" spans="1:15" ht="15" customHeight="1" x14ac:dyDescent="0.25">
      <c r="A52" s="374" t="s">
        <v>44</v>
      </c>
      <c r="B52" s="375">
        <v>50</v>
      </c>
      <c r="C52" s="376">
        <v>39491.538920963569</v>
      </c>
      <c r="D52" s="376">
        <v>98060.256155020237</v>
      </c>
      <c r="E52" s="376">
        <v>47066</v>
      </c>
      <c r="F52" s="377">
        <v>109278</v>
      </c>
      <c r="H52" s="378">
        <f t="shared" si="6"/>
        <v>1.4830700153588148</v>
      </c>
      <c r="I52" s="379">
        <f t="shared" si="7"/>
        <v>-0.52002980773785756</v>
      </c>
      <c r="J52" s="380">
        <f t="shared" si="8"/>
        <v>1.3218034249776909</v>
      </c>
      <c r="L52" s="378">
        <f t="shared" si="2"/>
        <v>4.3251022124439558E-5</v>
      </c>
      <c r="M52" s="379">
        <f t="shared" si="3"/>
        <v>1.0686774298852929E-4</v>
      </c>
      <c r="N52" s="379">
        <f t="shared" si="4"/>
        <v>5.5238250993838427E-5</v>
      </c>
      <c r="O52" s="380">
        <f t="shared" si="5"/>
        <v>1.3226399726827242E-4</v>
      </c>
    </row>
    <row r="53" spans="1:15" ht="15" customHeight="1" x14ac:dyDescent="0.25">
      <c r="A53" s="374" t="s">
        <v>45</v>
      </c>
      <c r="B53" s="375">
        <v>51</v>
      </c>
      <c r="C53" s="376">
        <v>1348787.9753135575</v>
      </c>
      <c r="D53" s="376">
        <v>1209982.8787577145</v>
      </c>
      <c r="E53" s="376">
        <v>1003633</v>
      </c>
      <c r="F53" s="377">
        <v>1942981</v>
      </c>
      <c r="H53" s="378">
        <f t="shared" si="6"/>
        <v>-0.10291098311695321</v>
      </c>
      <c r="I53" s="379">
        <f t="shared" si="7"/>
        <v>-0.17053950298005313</v>
      </c>
      <c r="J53" s="380">
        <f t="shared" si="8"/>
        <v>0.93594770199863897</v>
      </c>
      <c r="L53" s="378">
        <f t="shared" si="2"/>
        <v>1.4771887891787767E-3</v>
      </c>
      <c r="M53" s="379">
        <f t="shared" si="3"/>
        <v>1.3186600196432412E-3</v>
      </c>
      <c r="N53" s="379">
        <f t="shared" si="4"/>
        <v>1.1778976662495015E-3</v>
      </c>
      <c r="O53" s="380">
        <f t="shared" si="5"/>
        <v>2.3516758512811841E-3</v>
      </c>
    </row>
    <row r="54" spans="1:15" ht="15" customHeight="1" x14ac:dyDescent="0.25">
      <c r="A54" s="374" t="s">
        <v>46</v>
      </c>
      <c r="B54" s="375">
        <v>52</v>
      </c>
      <c r="C54" s="376">
        <v>577367.4430950958</v>
      </c>
      <c r="D54" s="376">
        <v>430474.48404008226</v>
      </c>
      <c r="E54" s="376">
        <v>343991</v>
      </c>
      <c r="F54" s="377">
        <v>338416</v>
      </c>
      <c r="H54" s="378">
        <f t="shared" si="6"/>
        <v>-0.25441850040515607</v>
      </c>
      <c r="I54" s="379">
        <f t="shared" si="7"/>
        <v>-0.20090269515725728</v>
      </c>
      <c r="J54" s="380">
        <f t="shared" si="8"/>
        <v>-1.6206819364460116E-2</v>
      </c>
      <c r="L54" s="378">
        <f t="shared" si="2"/>
        <v>6.323311964422123E-4</v>
      </c>
      <c r="M54" s="379">
        <f t="shared" si="3"/>
        <v>4.6913844943245216E-4</v>
      </c>
      <c r="N54" s="379">
        <f t="shared" si="4"/>
        <v>4.0371948322826402E-4</v>
      </c>
      <c r="O54" s="380">
        <f t="shared" si="5"/>
        <v>4.0959985449532093E-4</v>
      </c>
    </row>
    <row r="55" spans="1:15" ht="15" customHeight="1" x14ac:dyDescent="0.25">
      <c r="A55" s="367" t="s">
        <v>47</v>
      </c>
      <c r="B55" s="368">
        <v>53</v>
      </c>
      <c r="C55" s="369">
        <v>81391.067754993695</v>
      </c>
      <c r="D55" s="369">
        <v>5043682.3943194635</v>
      </c>
      <c r="E55" s="369">
        <v>17881262</v>
      </c>
      <c r="F55" s="370">
        <v>25641924</v>
      </c>
      <c r="H55" s="371">
        <f t="shared" si="6"/>
        <v>60.968500149207237</v>
      </c>
      <c r="I55" s="372">
        <f t="shared" si="7"/>
        <v>2.5452791436945135</v>
      </c>
      <c r="J55" s="373">
        <f t="shared" si="8"/>
        <v>0.43401086567603564</v>
      </c>
      <c r="L55" s="371">
        <f t="shared" si="2"/>
        <v>8.9139268015061182E-5</v>
      </c>
      <c r="M55" s="372">
        <f t="shared" si="3"/>
        <v>5.4966912688847571E-3</v>
      </c>
      <c r="N55" s="372">
        <f t="shared" si="4"/>
        <v>2.0986054443602291E-2</v>
      </c>
      <c r="O55" s="373">
        <f t="shared" si="5"/>
        <v>3.1035554877370093E-2</v>
      </c>
    </row>
    <row r="56" spans="1:15" ht="15" customHeight="1" x14ac:dyDescent="0.25">
      <c r="A56" s="374" t="s">
        <v>19</v>
      </c>
      <c r="B56" s="375">
        <v>54</v>
      </c>
      <c r="C56" s="376">
        <v>0</v>
      </c>
      <c r="D56" s="376">
        <v>0</v>
      </c>
      <c r="E56" s="376">
        <v>0</v>
      </c>
      <c r="F56" s="377">
        <v>0</v>
      </c>
      <c r="H56" s="378"/>
      <c r="I56" s="379"/>
      <c r="J56" s="380"/>
      <c r="L56" s="378">
        <f t="shared" si="2"/>
        <v>0</v>
      </c>
      <c r="M56" s="379">
        <f t="shared" si="3"/>
        <v>0</v>
      </c>
      <c r="N56" s="379">
        <f t="shared" si="4"/>
        <v>0</v>
      </c>
      <c r="O56" s="380">
        <f t="shared" si="5"/>
        <v>0</v>
      </c>
    </row>
    <row r="57" spans="1:15" ht="15" customHeight="1" x14ac:dyDescent="0.25">
      <c r="A57" s="374" t="s">
        <v>20</v>
      </c>
      <c r="B57" s="375">
        <v>55</v>
      </c>
      <c r="C57" s="376">
        <v>0</v>
      </c>
      <c r="D57" s="376">
        <v>0</v>
      </c>
      <c r="E57" s="376">
        <v>0</v>
      </c>
      <c r="F57" s="377">
        <v>0</v>
      </c>
      <c r="H57" s="378"/>
      <c r="I57" s="379"/>
      <c r="J57" s="380"/>
      <c r="L57" s="378">
        <f t="shared" si="2"/>
        <v>0</v>
      </c>
      <c r="M57" s="379">
        <f t="shared" si="3"/>
        <v>0</v>
      </c>
      <c r="N57" s="379">
        <f t="shared" si="4"/>
        <v>0</v>
      </c>
      <c r="O57" s="380">
        <f t="shared" si="5"/>
        <v>0</v>
      </c>
    </row>
    <row r="58" spans="1:15" ht="15" customHeight="1" x14ac:dyDescent="0.25">
      <c r="A58" s="374" t="s">
        <v>21</v>
      </c>
      <c r="B58" s="375">
        <v>56</v>
      </c>
      <c r="C58" s="376">
        <v>0</v>
      </c>
      <c r="D58" s="376">
        <v>0</v>
      </c>
      <c r="E58" s="376">
        <v>0</v>
      </c>
      <c r="F58" s="377">
        <v>0</v>
      </c>
      <c r="H58" s="378"/>
      <c r="I58" s="379"/>
      <c r="J58" s="380"/>
      <c r="L58" s="378">
        <f t="shared" si="2"/>
        <v>0</v>
      </c>
      <c r="M58" s="379">
        <f t="shared" si="3"/>
        <v>0</v>
      </c>
      <c r="N58" s="379">
        <f t="shared" si="4"/>
        <v>0</v>
      </c>
      <c r="O58" s="380">
        <f t="shared" si="5"/>
        <v>0</v>
      </c>
    </row>
    <row r="59" spans="1:15" ht="15" customHeight="1" x14ac:dyDescent="0.25">
      <c r="A59" s="374" t="s">
        <v>654</v>
      </c>
      <c r="B59" s="375">
        <v>57</v>
      </c>
      <c r="C59" s="376">
        <v>0</v>
      </c>
      <c r="D59" s="376">
        <v>0</v>
      </c>
      <c r="E59" s="376">
        <v>0</v>
      </c>
      <c r="F59" s="377">
        <v>0</v>
      </c>
      <c r="H59" s="378"/>
      <c r="I59" s="379"/>
      <c r="J59" s="380"/>
      <c r="L59" s="378">
        <f t="shared" si="2"/>
        <v>0</v>
      </c>
      <c r="M59" s="379">
        <f t="shared" si="3"/>
        <v>0</v>
      </c>
      <c r="N59" s="379">
        <f t="shared" si="4"/>
        <v>0</v>
      </c>
      <c r="O59" s="380">
        <f t="shared" si="5"/>
        <v>0</v>
      </c>
    </row>
    <row r="60" spans="1:15" ht="15" customHeight="1" x14ac:dyDescent="0.25">
      <c r="A60" s="374" t="s">
        <v>644</v>
      </c>
      <c r="B60" s="375">
        <v>58</v>
      </c>
      <c r="C60" s="376">
        <v>0</v>
      </c>
      <c r="D60" s="376">
        <v>0</v>
      </c>
      <c r="E60" s="376">
        <v>0</v>
      </c>
      <c r="F60" s="377">
        <v>0</v>
      </c>
      <c r="H60" s="378"/>
      <c r="I60" s="379"/>
      <c r="J60" s="380"/>
      <c r="L60" s="378">
        <f t="shared" si="2"/>
        <v>0</v>
      </c>
      <c r="M60" s="379">
        <f t="shared" si="3"/>
        <v>0</v>
      </c>
      <c r="N60" s="379">
        <f t="shared" si="4"/>
        <v>0</v>
      </c>
      <c r="O60" s="380">
        <f t="shared" si="5"/>
        <v>0</v>
      </c>
    </row>
    <row r="61" spans="1:15" ht="15" customHeight="1" x14ac:dyDescent="0.25">
      <c r="A61" s="374" t="s">
        <v>645</v>
      </c>
      <c r="B61" s="375">
        <v>59</v>
      </c>
      <c r="C61" s="376">
        <v>0</v>
      </c>
      <c r="D61" s="376">
        <v>0</v>
      </c>
      <c r="E61" s="376">
        <v>0</v>
      </c>
      <c r="F61" s="377">
        <v>0</v>
      </c>
      <c r="H61" s="378"/>
      <c r="I61" s="379"/>
      <c r="J61" s="380"/>
      <c r="L61" s="378">
        <f t="shared" si="2"/>
        <v>0</v>
      </c>
      <c r="M61" s="379">
        <f t="shared" si="3"/>
        <v>0</v>
      </c>
      <c r="N61" s="379">
        <f t="shared" si="4"/>
        <v>0</v>
      </c>
      <c r="O61" s="380">
        <f t="shared" si="5"/>
        <v>0</v>
      </c>
    </row>
    <row r="62" spans="1:15" ht="15" customHeight="1" x14ac:dyDescent="0.25">
      <c r="A62" s="374" t="s">
        <v>22</v>
      </c>
      <c r="B62" s="375">
        <v>60</v>
      </c>
      <c r="C62" s="376">
        <v>0</v>
      </c>
      <c r="D62" s="376">
        <v>0</v>
      </c>
      <c r="E62" s="376">
        <v>0</v>
      </c>
      <c r="F62" s="377">
        <v>0</v>
      </c>
      <c r="H62" s="378"/>
      <c r="I62" s="379"/>
      <c r="J62" s="380"/>
      <c r="L62" s="378">
        <f t="shared" si="2"/>
        <v>0</v>
      </c>
      <c r="M62" s="379">
        <f t="shared" si="3"/>
        <v>0</v>
      </c>
      <c r="N62" s="379">
        <f t="shared" si="4"/>
        <v>0</v>
      </c>
      <c r="O62" s="380">
        <f t="shared" si="5"/>
        <v>0</v>
      </c>
    </row>
    <row r="63" spans="1:15" ht="15" customHeight="1" x14ac:dyDescent="0.25">
      <c r="A63" s="374" t="s">
        <v>23</v>
      </c>
      <c r="B63" s="375">
        <v>61</v>
      </c>
      <c r="C63" s="376">
        <v>81391.067754993695</v>
      </c>
      <c r="D63" s="376">
        <v>5043682.3943194635</v>
      </c>
      <c r="E63" s="376">
        <v>16833993</v>
      </c>
      <c r="F63" s="377">
        <v>24035528</v>
      </c>
      <c r="H63" s="378">
        <f t="shared" si="6"/>
        <v>60.968500149207237</v>
      </c>
      <c r="I63" s="379">
        <f t="shared" si="7"/>
        <v>2.3376393840658132</v>
      </c>
      <c r="J63" s="380">
        <f t="shared" si="8"/>
        <v>0.42779719582870207</v>
      </c>
      <c r="L63" s="378">
        <f t="shared" si="2"/>
        <v>8.9139268015061182E-5</v>
      </c>
      <c r="M63" s="379">
        <f t="shared" si="3"/>
        <v>5.4966912688847571E-3</v>
      </c>
      <c r="N63" s="379">
        <f t="shared" si="4"/>
        <v>1.9756944090479733E-2</v>
      </c>
      <c r="O63" s="380">
        <f t="shared" si="5"/>
        <v>2.9091262740290686E-2</v>
      </c>
    </row>
    <row r="64" spans="1:15" ht="15" customHeight="1" x14ac:dyDescent="0.25">
      <c r="A64" s="374" t="s">
        <v>48</v>
      </c>
      <c r="B64" s="375">
        <v>62</v>
      </c>
      <c r="C64" s="376">
        <v>0</v>
      </c>
      <c r="D64" s="376">
        <v>0</v>
      </c>
      <c r="E64" s="376">
        <v>1047269</v>
      </c>
      <c r="F64" s="377">
        <v>1606396</v>
      </c>
      <c r="H64" s="378"/>
      <c r="I64" s="379"/>
      <c r="J64" s="380">
        <f t="shared" si="8"/>
        <v>0.53389052860344377</v>
      </c>
      <c r="L64" s="378">
        <f t="shared" si="2"/>
        <v>0</v>
      </c>
      <c r="M64" s="379">
        <f t="shared" si="3"/>
        <v>0</v>
      </c>
      <c r="N64" s="379">
        <f t="shared" si="4"/>
        <v>1.2291103531225551E-3</v>
      </c>
      <c r="O64" s="380">
        <f t="shared" si="5"/>
        <v>1.9442921370794099E-3</v>
      </c>
    </row>
    <row r="65" spans="1:20" ht="15" customHeight="1" x14ac:dyDescent="0.25">
      <c r="A65" s="367" t="s">
        <v>49</v>
      </c>
      <c r="B65" s="368">
        <v>63</v>
      </c>
      <c r="C65" s="369">
        <v>88384484.703696325</v>
      </c>
      <c r="D65" s="369">
        <v>148020150.50766474</v>
      </c>
      <c r="E65" s="369">
        <v>89299582</v>
      </c>
      <c r="F65" s="370">
        <v>55185359</v>
      </c>
      <c r="H65" s="371">
        <f t="shared" si="6"/>
        <v>0.67473002760488343</v>
      </c>
      <c r="I65" s="372">
        <f t="shared" si="7"/>
        <v>-0.39670658559845262</v>
      </c>
      <c r="J65" s="373">
        <f t="shared" si="8"/>
        <v>-0.38201996287059886</v>
      </c>
      <c r="L65" s="371">
        <f t="shared" si="2"/>
        <v>9.6798438547238241E-2</v>
      </c>
      <c r="M65" s="372">
        <f t="shared" si="3"/>
        <v>0.16131488965896099</v>
      </c>
      <c r="N65" s="372">
        <f t="shared" si="4"/>
        <v>0.10480501262399304</v>
      </c>
      <c r="O65" s="373">
        <f t="shared" si="5"/>
        <v>6.6793281099806298E-2</v>
      </c>
    </row>
    <row r="66" spans="1:20" ht="15" customHeight="1" x14ac:dyDescent="0.25">
      <c r="A66" s="354" t="s">
        <v>629</v>
      </c>
      <c r="B66" s="355">
        <v>64</v>
      </c>
      <c r="C66" s="362">
        <v>7347395.580330479</v>
      </c>
      <c r="D66" s="362">
        <v>3154574.9552060519</v>
      </c>
      <c r="E66" s="362">
        <v>2304101</v>
      </c>
      <c r="F66" s="363">
        <v>3763787</v>
      </c>
      <c r="G66" s="349"/>
      <c r="H66" s="364">
        <f t="shared" si="6"/>
        <v>-0.57065399287183038</v>
      </c>
      <c r="I66" s="365">
        <f t="shared" si="7"/>
        <v>-0.26960017348850734</v>
      </c>
      <c r="J66" s="366">
        <f t="shared" si="8"/>
        <v>0.63351649949372879</v>
      </c>
      <c r="L66" s="364">
        <f t="shared" si="2"/>
        <v>8.0468469318928544E-3</v>
      </c>
      <c r="M66" s="365">
        <f t="shared" si="3"/>
        <v>3.4379096972586539E-3</v>
      </c>
      <c r="N66" s="365">
        <f t="shared" si="4"/>
        <v>2.7041709376865279E-3</v>
      </c>
      <c r="O66" s="366">
        <f t="shared" si="5"/>
        <v>4.5554778957005004E-3</v>
      </c>
    </row>
    <row r="67" spans="1:20" ht="15" customHeight="1" thickBot="1" x14ac:dyDescent="0.3">
      <c r="A67" s="382" t="s">
        <v>638</v>
      </c>
      <c r="B67" s="383">
        <v>65</v>
      </c>
      <c r="C67" s="384">
        <v>913077587.09934294</v>
      </c>
      <c r="D67" s="384">
        <v>917585170.34972453</v>
      </c>
      <c r="E67" s="384">
        <v>852054494</v>
      </c>
      <c r="F67" s="385">
        <v>826211231</v>
      </c>
      <c r="G67" s="349"/>
      <c r="H67" s="386">
        <f t="shared" si="6"/>
        <v>4.9366924717769503E-3</v>
      </c>
      <c r="I67" s="387">
        <f t="shared" si="7"/>
        <v>-7.1416450992498548E-2</v>
      </c>
      <c r="J67" s="388">
        <f t="shared" si="8"/>
        <v>-3.0330528366416903E-2</v>
      </c>
      <c r="L67" s="386">
        <f t="shared" si="2"/>
        <v>1</v>
      </c>
      <c r="M67" s="387">
        <f t="shared" si="3"/>
        <v>1</v>
      </c>
      <c r="N67" s="387">
        <f t="shared" si="4"/>
        <v>1</v>
      </c>
      <c r="O67" s="388">
        <f t="shared" si="5"/>
        <v>1</v>
      </c>
    </row>
    <row r="68" spans="1:20" ht="15" customHeight="1" thickTop="1" thickBot="1" x14ac:dyDescent="0.3">
      <c r="A68" s="409" t="s">
        <v>51</v>
      </c>
      <c r="B68" s="410"/>
      <c r="C68" s="411"/>
      <c r="D68" s="411"/>
      <c r="E68" s="411"/>
      <c r="F68" s="412"/>
      <c r="H68" s="348" t="s">
        <v>602</v>
      </c>
      <c r="I68" s="348" t="s">
        <v>603</v>
      </c>
      <c r="J68" s="348" t="s">
        <v>604</v>
      </c>
      <c r="L68" s="348">
        <v>2020</v>
      </c>
      <c r="M68" s="348">
        <v>2021</v>
      </c>
      <c r="N68" s="348">
        <v>2022</v>
      </c>
      <c r="O68" s="348">
        <v>2023</v>
      </c>
    </row>
    <row r="69" spans="1:20" ht="15" customHeight="1" thickTop="1" x14ac:dyDescent="0.25">
      <c r="A69" s="354" t="s">
        <v>637</v>
      </c>
      <c r="B69" s="355">
        <v>67</v>
      </c>
      <c r="C69" s="362">
        <v>380099187.20552123</v>
      </c>
      <c r="D69" s="362">
        <v>439452890.96821284</v>
      </c>
      <c r="E69" s="362">
        <v>441126555</v>
      </c>
      <c r="F69" s="363">
        <v>446821035</v>
      </c>
      <c r="H69" s="364">
        <f t="shared" ref="H69:H127" si="9">(D69-C69)/C69</f>
        <v>0.15615319832451738</v>
      </c>
      <c r="I69" s="365">
        <f t="shared" ref="I69:I127" si="10">(E69-D69)/D69</f>
        <v>3.8085175139016643E-3</v>
      </c>
      <c r="J69" s="366">
        <f t="shared" ref="J69:J127" si="11">(F69-E69)/E69</f>
        <v>1.2908948544256194E-2</v>
      </c>
      <c r="K69" s="349"/>
      <c r="L69" s="536">
        <f>C69/C$127</f>
        <v>0.41628355856704036</v>
      </c>
      <c r="M69" s="537">
        <f t="shared" ref="M69:M127" si="12">D69/D$67</f>
        <v>0.47892327074196461</v>
      </c>
      <c r="N69" s="537">
        <f t="shared" ref="N69:N127" si="13">E69/E$67</f>
        <v>0.5177210590476623</v>
      </c>
      <c r="O69" s="538">
        <f t="shared" ref="O69:O127" si="14">F69/F$67</f>
        <v>0.54080726360883857</v>
      </c>
      <c r="R69" s="361"/>
      <c r="S69" s="361"/>
      <c r="T69" s="361"/>
    </row>
    <row r="70" spans="1:20" ht="15" customHeight="1" x14ac:dyDescent="0.25">
      <c r="A70" s="367" t="s">
        <v>52</v>
      </c>
      <c r="B70" s="368">
        <v>68</v>
      </c>
      <c r="C70" s="369">
        <v>221915350.72002122</v>
      </c>
      <c r="D70" s="369">
        <v>221915350.72002122</v>
      </c>
      <c r="E70" s="369">
        <v>221915351</v>
      </c>
      <c r="F70" s="370">
        <v>221915350</v>
      </c>
      <c r="H70" s="371">
        <f t="shared" si="9"/>
        <v>0</v>
      </c>
      <c r="I70" s="372">
        <f t="shared" si="10"/>
        <v>1.2616467541796474E-9</v>
      </c>
      <c r="J70" s="373">
        <f t="shared" si="11"/>
        <v>-4.5062227353528149E-9</v>
      </c>
      <c r="L70" s="371">
        <f t="shared" ref="L70:L127" si="15">C70/C$127</f>
        <v>0.24304106666882494</v>
      </c>
      <c r="M70" s="372">
        <f t="shared" ref="M70:M127" si="16">D70/D$67</f>
        <v>0.24184714170504884</v>
      </c>
      <c r="N70" s="372">
        <f t="shared" ref="N70:N127" si="17">E70/E$67</f>
        <v>0.2604473687571443</v>
      </c>
      <c r="O70" s="373">
        <f t="shared" ref="O70:O127" si="18">F70/F$67</f>
        <v>0.26859396444103772</v>
      </c>
      <c r="R70" s="361"/>
      <c r="S70" s="361"/>
      <c r="T70" s="361"/>
    </row>
    <row r="71" spans="1:20" ht="15" customHeight="1" x14ac:dyDescent="0.25">
      <c r="A71" s="367" t="s">
        <v>53</v>
      </c>
      <c r="B71" s="368">
        <v>69</v>
      </c>
      <c r="C71" s="369">
        <v>693268.56460282695</v>
      </c>
      <c r="D71" s="369">
        <v>693268.56460282695</v>
      </c>
      <c r="E71" s="369">
        <v>693268</v>
      </c>
      <c r="F71" s="370">
        <v>1218381</v>
      </c>
      <c r="H71" s="371">
        <f t="shared" si="9"/>
        <v>0</v>
      </c>
      <c r="I71" s="372">
        <f t="shared" si="10"/>
        <v>-8.1440707942420187E-7</v>
      </c>
      <c r="J71" s="373">
        <f t="shared" si="11"/>
        <v>0.75744589394000583</v>
      </c>
      <c r="L71" s="371">
        <f t="shared" si="15"/>
        <v>7.5926577806514407E-4</v>
      </c>
      <c r="M71" s="372">
        <f t="shared" si="16"/>
        <v>7.5553592952967794E-4</v>
      </c>
      <c r="N71" s="372">
        <f t="shared" si="17"/>
        <v>8.1364279501118389E-4</v>
      </c>
      <c r="O71" s="373">
        <f t="shared" si="18"/>
        <v>1.4746604188923208E-3</v>
      </c>
      <c r="R71" s="361"/>
      <c r="S71" s="361"/>
      <c r="T71" s="361"/>
    </row>
    <row r="72" spans="1:20" ht="15" customHeight="1" x14ac:dyDescent="0.25">
      <c r="A72" s="367" t="s">
        <v>54</v>
      </c>
      <c r="B72" s="368">
        <v>70</v>
      </c>
      <c r="C72" s="369">
        <v>13074724.533811135</v>
      </c>
      <c r="D72" s="369">
        <v>13039690.755856393</v>
      </c>
      <c r="E72" s="369">
        <v>17855423</v>
      </c>
      <c r="F72" s="370">
        <v>15901347</v>
      </c>
      <c r="H72" s="371">
        <f t="shared" si="9"/>
        <v>-2.6795040969425578E-3</v>
      </c>
      <c r="I72" s="372">
        <f t="shared" si="10"/>
        <v>0.3693133782318237</v>
      </c>
      <c r="J72" s="373">
        <f t="shared" si="11"/>
        <v>-0.1094387962693463</v>
      </c>
      <c r="L72" s="371">
        <f t="shared" si="15"/>
        <v>1.4319401460008244E-2</v>
      </c>
      <c r="M72" s="372">
        <f t="shared" si="16"/>
        <v>1.4210877831522169E-2</v>
      </c>
      <c r="N72" s="372">
        <f t="shared" si="17"/>
        <v>2.0955728918436993E-2</v>
      </c>
      <c r="O72" s="373">
        <f t="shared" si="18"/>
        <v>1.9246103663773606E-2</v>
      </c>
      <c r="R72" s="361"/>
      <c r="S72" s="361"/>
      <c r="T72" s="361"/>
    </row>
    <row r="73" spans="1:20" ht="15" customHeight="1" x14ac:dyDescent="0.25">
      <c r="A73" s="374" t="s">
        <v>55</v>
      </c>
      <c r="B73" s="375">
        <v>71</v>
      </c>
      <c r="C73" s="376">
        <v>11095767.602362465</v>
      </c>
      <c r="D73" s="376">
        <v>11095767.602362465</v>
      </c>
      <c r="E73" s="376">
        <v>11095768</v>
      </c>
      <c r="F73" s="377">
        <v>11095768</v>
      </c>
      <c r="H73" s="378">
        <f t="shared" si="9"/>
        <v>0</v>
      </c>
      <c r="I73" s="379">
        <f t="shared" si="10"/>
        <v>3.5836865833593637E-8</v>
      </c>
      <c r="J73" s="380">
        <f t="shared" si="11"/>
        <v>0</v>
      </c>
      <c r="L73" s="378">
        <f t="shared" si="15"/>
        <v>1.2152053406120069E-2</v>
      </c>
      <c r="M73" s="379">
        <f t="shared" si="16"/>
        <v>1.2092357157574235E-2</v>
      </c>
      <c r="N73" s="379">
        <f t="shared" si="17"/>
        <v>1.302236896599245E-2</v>
      </c>
      <c r="O73" s="380">
        <f t="shared" si="18"/>
        <v>1.3429698827224003E-2</v>
      </c>
      <c r="R73" s="361"/>
      <c r="S73" s="361"/>
      <c r="T73" s="361"/>
    </row>
    <row r="74" spans="1:20" ht="15" customHeight="1" x14ac:dyDescent="0.25">
      <c r="A74" s="374" t="s">
        <v>56</v>
      </c>
      <c r="B74" s="375">
        <v>72</v>
      </c>
      <c r="C74" s="376">
        <v>18158508.726524651</v>
      </c>
      <c r="D74" s="376">
        <v>18158508.726524651</v>
      </c>
      <c r="E74" s="376">
        <v>18158509</v>
      </c>
      <c r="F74" s="377">
        <v>18158509</v>
      </c>
      <c r="H74" s="378">
        <f t="shared" si="9"/>
        <v>0</v>
      </c>
      <c r="I74" s="379">
        <f t="shared" si="10"/>
        <v>1.5060451993503141E-8</v>
      </c>
      <c r="J74" s="380">
        <f t="shared" si="11"/>
        <v>0</v>
      </c>
      <c r="L74" s="378">
        <f t="shared" si="15"/>
        <v>1.9887147579879215E-2</v>
      </c>
      <c r="M74" s="379">
        <f t="shared" si="16"/>
        <v>1.9789453135564291E-2</v>
      </c>
      <c r="N74" s="379">
        <f t="shared" si="17"/>
        <v>2.1311440908848723E-2</v>
      </c>
      <c r="O74" s="380">
        <f t="shared" si="18"/>
        <v>2.1978046677024656E-2</v>
      </c>
      <c r="R74" s="361"/>
      <c r="S74" s="361"/>
      <c r="T74" s="361"/>
    </row>
    <row r="75" spans="1:20" ht="15" customHeight="1" x14ac:dyDescent="0.25">
      <c r="A75" s="374" t="s">
        <v>57</v>
      </c>
      <c r="B75" s="375">
        <v>73</v>
      </c>
      <c r="C75" s="376">
        <v>-16513141.81432079</v>
      </c>
      <c r="D75" s="376">
        <v>-16513141.81432079</v>
      </c>
      <c r="E75" s="376">
        <v>-16513142</v>
      </c>
      <c r="F75" s="377">
        <v>-13743570</v>
      </c>
      <c r="H75" s="378">
        <f t="shared" si="9"/>
        <v>0</v>
      </c>
      <c r="I75" s="379">
        <f t="shared" si="10"/>
        <v>1.1244329664079414E-8</v>
      </c>
      <c r="J75" s="380">
        <f t="shared" si="11"/>
        <v>-0.16771926263336195</v>
      </c>
      <c r="L75" s="378">
        <f t="shared" si="15"/>
        <v>-1.808514637488759E-2</v>
      </c>
      <c r="M75" s="379">
        <f t="shared" si="16"/>
        <v>-1.7996304155642621E-2</v>
      </c>
      <c r="N75" s="379">
        <f t="shared" si="17"/>
        <v>-1.9380382494643588E-2</v>
      </c>
      <c r="O75" s="380">
        <f t="shared" si="18"/>
        <v>-1.6634450712277961E-2</v>
      </c>
      <c r="R75" s="361"/>
      <c r="S75" s="361"/>
      <c r="T75" s="361"/>
    </row>
    <row r="76" spans="1:20" ht="15" customHeight="1" x14ac:dyDescent="0.25">
      <c r="A76" s="374" t="s">
        <v>58</v>
      </c>
      <c r="B76" s="375">
        <v>74</v>
      </c>
      <c r="C76" s="376">
        <v>0</v>
      </c>
      <c r="D76" s="376">
        <v>0</v>
      </c>
      <c r="E76" s="376">
        <v>0</v>
      </c>
      <c r="F76" s="377">
        <v>0</v>
      </c>
      <c r="H76" s="378"/>
      <c r="I76" s="379"/>
      <c r="J76" s="380"/>
      <c r="L76" s="378">
        <f t="shared" si="15"/>
        <v>0</v>
      </c>
      <c r="M76" s="379">
        <f t="shared" si="16"/>
        <v>0</v>
      </c>
      <c r="N76" s="379">
        <f t="shared" si="17"/>
        <v>0</v>
      </c>
      <c r="O76" s="380">
        <f t="shared" si="18"/>
        <v>0</v>
      </c>
      <c r="R76" s="361"/>
      <c r="S76" s="361"/>
      <c r="T76" s="361"/>
    </row>
    <row r="77" spans="1:20" ht="15" customHeight="1" x14ac:dyDescent="0.25">
      <c r="A77" s="374" t="s">
        <v>59</v>
      </c>
      <c r="B77" s="375">
        <v>75</v>
      </c>
      <c r="C77" s="376">
        <v>333590.01924480719</v>
      </c>
      <c r="D77" s="376">
        <v>298556.24129006569</v>
      </c>
      <c r="E77" s="376">
        <v>5114288</v>
      </c>
      <c r="F77" s="377">
        <v>390640</v>
      </c>
      <c r="H77" s="378">
        <f t="shared" si="9"/>
        <v>-0.1050204620451541</v>
      </c>
      <c r="I77" s="379">
        <f t="shared" si="10"/>
        <v>16.130065604728578</v>
      </c>
      <c r="J77" s="380">
        <f t="shared" si="11"/>
        <v>-0.92361791123221848</v>
      </c>
      <c r="L77" s="378">
        <f t="shared" si="15"/>
        <v>3.6534684889654682E-4</v>
      </c>
      <c r="M77" s="379">
        <f t="shared" si="16"/>
        <v>3.2537169402626162E-4</v>
      </c>
      <c r="N77" s="379">
        <f t="shared" si="17"/>
        <v>6.0023015382394077E-3</v>
      </c>
      <c r="O77" s="380">
        <f t="shared" si="18"/>
        <v>4.7280887180290582E-4</v>
      </c>
      <c r="R77" s="361"/>
      <c r="S77" s="361"/>
      <c r="T77" s="361"/>
    </row>
    <row r="78" spans="1:20" ht="15" customHeight="1" x14ac:dyDescent="0.25">
      <c r="A78" s="367" t="s">
        <v>60</v>
      </c>
      <c r="B78" s="368">
        <v>76</v>
      </c>
      <c r="C78" s="369">
        <v>0</v>
      </c>
      <c r="D78" s="369">
        <v>0</v>
      </c>
      <c r="E78" s="369">
        <v>0</v>
      </c>
      <c r="F78" s="370">
        <v>0</v>
      </c>
      <c r="H78" s="371"/>
      <c r="I78" s="372"/>
      <c r="J78" s="373"/>
      <c r="L78" s="371">
        <f t="shared" si="15"/>
        <v>0</v>
      </c>
      <c r="M78" s="372">
        <f t="shared" si="16"/>
        <v>0</v>
      </c>
      <c r="N78" s="372">
        <f t="shared" si="17"/>
        <v>0</v>
      </c>
      <c r="O78" s="373">
        <f t="shared" si="18"/>
        <v>0</v>
      </c>
      <c r="R78" s="361"/>
      <c r="S78" s="361"/>
      <c r="T78" s="361"/>
    </row>
    <row r="79" spans="1:20" ht="15" customHeight="1" x14ac:dyDescent="0.25">
      <c r="A79" s="367" t="s">
        <v>61</v>
      </c>
      <c r="B79" s="368">
        <v>77</v>
      </c>
      <c r="C79" s="369">
        <v>115.73428893755391</v>
      </c>
      <c r="D79" s="369">
        <v>10765.014267701905</v>
      </c>
      <c r="E79" s="369">
        <v>7845</v>
      </c>
      <c r="F79" s="370">
        <v>39878</v>
      </c>
      <c r="H79" s="371">
        <f t="shared" si="9"/>
        <v>92.014908256880744</v>
      </c>
      <c r="I79" s="372">
        <f t="shared" si="10"/>
        <v>-0.27125038528400058</v>
      </c>
      <c r="J79" s="373">
        <f t="shared" si="11"/>
        <v>4.0832377310388779</v>
      </c>
      <c r="L79" s="371">
        <f t="shared" si="15"/>
        <v>1.2675186706226972E-7</v>
      </c>
      <c r="M79" s="372">
        <f t="shared" si="16"/>
        <v>1.1731896520950717E-5</v>
      </c>
      <c r="N79" s="372">
        <f t="shared" si="17"/>
        <v>9.2071575882093751E-6</v>
      </c>
      <c r="O79" s="373">
        <f t="shared" si="18"/>
        <v>4.8266107387252399E-5</v>
      </c>
    </row>
    <row r="80" spans="1:20" ht="15" customHeight="1" x14ac:dyDescent="0.25">
      <c r="A80" s="374" t="s">
        <v>62</v>
      </c>
      <c r="B80" s="375">
        <v>78</v>
      </c>
      <c r="C80" s="376">
        <v>115.73428893755391</v>
      </c>
      <c r="D80" s="376">
        <v>10765.014267701905</v>
      </c>
      <c r="E80" s="376">
        <v>7845</v>
      </c>
      <c r="F80" s="377">
        <v>39878</v>
      </c>
      <c r="H80" s="378">
        <f t="shared" si="9"/>
        <v>92.014908256880744</v>
      </c>
      <c r="I80" s="379">
        <f t="shared" si="10"/>
        <v>-0.27125038528400058</v>
      </c>
      <c r="J80" s="380">
        <f t="shared" si="11"/>
        <v>4.0832377310388779</v>
      </c>
      <c r="L80" s="378">
        <f t="shared" si="15"/>
        <v>1.2675186706226972E-7</v>
      </c>
      <c r="M80" s="379">
        <f t="shared" si="16"/>
        <v>1.1731896520950717E-5</v>
      </c>
      <c r="N80" s="379">
        <f t="shared" si="17"/>
        <v>9.2071575882093751E-6</v>
      </c>
      <c r="O80" s="380">
        <f t="shared" si="18"/>
        <v>4.8266107387252399E-5</v>
      </c>
    </row>
    <row r="81" spans="1:15" ht="15" customHeight="1" x14ac:dyDescent="0.25">
      <c r="A81" s="374" t="s">
        <v>63</v>
      </c>
      <c r="B81" s="375">
        <v>79</v>
      </c>
      <c r="C81" s="376">
        <v>0</v>
      </c>
      <c r="D81" s="376">
        <v>0</v>
      </c>
      <c r="E81" s="376">
        <v>0</v>
      </c>
      <c r="F81" s="377">
        <v>0</v>
      </c>
      <c r="H81" s="378"/>
      <c r="I81" s="379"/>
      <c r="J81" s="380"/>
      <c r="L81" s="378">
        <f t="shared" si="15"/>
        <v>0</v>
      </c>
      <c r="M81" s="379">
        <f t="shared" si="16"/>
        <v>0</v>
      </c>
      <c r="N81" s="379">
        <f t="shared" si="17"/>
        <v>0</v>
      </c>
      <c r="O81" s="380">
        <f t="shared" si="18"/>
        <v>0</v>
      </c>
    </row>
    <row r="82" spans="1:15" ht="15" customHeight="1" x14ac:dyDescent="0.25">
      <c r="A82" s="374" t="s">
        <v>64</v>
      </c>
      <c r="B82" s="375">
        <v>80</v>
      </c>
      <c r="C82" s="376">
        <v>0</v>
      </c>
      <c r="D82" s="376">
        <v>0</v>
      </c>
      <c r="E82" s="376">
        <v>0</v>
      </c>
      <c r="F82" s="377">
        <v>0</v>
      </c>
      <c r="H82" s="378"/>
      <c r="I82" s="379"/>
      <c r="J82" s="380"/>
      <c r="L82" s="378">
        <f t="shared" si="15"/>
        <v>0</v>
      </c>
      <c r="M82" s="379">
        <f t="shared" si="16"/>
        <v>0</v>
      </c>
      <c r="N82" s="379">
        <f t="shared" si="17"/>
        <v>0</v>
      </c>
      <c r="O82" s="380">
        <f t="shared" si="18"/>
        <v>0</v>
      </c>
    </row>
    <row r="83" spans="1:15" ht="15" customHeight="1" x14ac:dyDescent="0.25">
      <c r="A83" s="374" t="s">
        <v>65</v>
      </c>
      <c r="B83" s="375">
        <v>81</v>
      </c>
      <c r="C83" s="376">
        <v>0</v>
      </c>
      <c r="D83" s="376">
        <v>0</v>
      </c>
      <c r="E83" s="376">
        <v>0</v>
      </c>
      <c r="F83" s="377">
        <v>0</v>
      </c>
      <c r="H83" s="378"/>
      <c r="I83" s="379"/>
      <c r="J83" s="380"/>
      <c r="L83" s="378">
        <f t="shared" si="15"/>
        <v>0</v>
      </c>
      <c r="M83" s="379">
        <f t="shared" si="16"/>
        <v>0</v>
      </c>
      <c r="N83" s="379">
        <f t="shared" si="17"/>
        <v>0</v>
      </c>
      <c r="O83" s="380">
        <f t="shared" si="18"/>
        <v>0</v>
      </c>
    </row>
    <row r="84" spans="1:15" ht="15" customHeight="1" x14ac:dyDescent="0.25">
      <c r="A84" s="374" t="s">
        <v>66</v>
      </c>
      <c r="B84" s="375">
        <v>82</v>
      </c>
      <c r="C84" s="376">
        <v>0</v>
      </c>
      <c r="D84" s="376">
        <v>0</v>
      </c>
      <c r="E84" s="376">
        <v>0</v>
      </c>
      <c r="F84" s="377">
        <v>0</v>
      </c>
      <c r="H84" s="378"/>
      <c r="I84" s="379"/>
      <c r="J84" s="380"/>
      <c r="L84" s="378">
        <f t="shared" si="15"/>
        <v>0</v>
      </c>
      <c r="M84" s="379">
        <f t="shared" si="16"/>
        <v>0</v>
      </c>
      <c r="N84" s="379">
        <f t="shared" si="17"/>
        <v>0</v>
      </c>
      <c r="O84" s="380">
        <f t="shared" si="18"/>
        <v>0</v>
      </c>
    </row>
    <row r="85" spans="1:15" ht="15" customHeight="1" x14ac:dyDescent="0.25">
      <c r="A85" s="367" t="s">
        <v>67</v>
      </c>
      <c r="B85" s="368">
        <v>83</v>
      </c>
      <c r="C85" s="369">
        <v>95013986.064105108</v>
      </c>
      <c r="D85" s="369">
        <v>51502476.076713778</v>
      </c>
      <c r="E85" s="369">
        <v>46604740</v>
      </c>
      <c r="F85" s="370">
        <v>42165052</v>
      </c>
      <c r="H85" s="371">
        <f t="shared" si="9"/>
        <v>-0.4579484746386126</v>
      </c>
      <c r="I85" s="372">
        <f t="shared" si="10"/>
        <v>-9.5097099203900803E-2</v>
      </c>
      <c r="J85" s="373">
        <f t="shared" si="11"/>
        <v>-9.5262584878705467E-2</v>
      </c>
      <c r="L85" s="371">
        <f t="shared" si="15"/>
        <v>0.10405904975276496</v>
      </c>
      <c r="M85" s="372">
        <f t="shared" si="16"/>
        <v>5.6128278595745332E-2</v>
      </c>
      <c r="N85" s="372">
        <f t="shared" si="17"/>
        <v>5.4696900642131931E-2</v>
      </c>
      <c r="O85" s="373">
        <f t="shared" si="18"/>
        <v>5.1034227589675553E-2</v>
      </c>
    </row>
    <row r="86" spans="1:15" ht="15" customHeight="1" x14ac:dyDescent="0.25">
      <c r="A86" s="374" t="s">
        <v>68</v>
      </c>
      <c r="B86" s="375">
        <v>84</v>
      </c>
      <c r="C86" s="376">
        <v>95013986.064105108</v>
      </c>
      <c r="D86" s="376">
        <v>51502476.076713778</v>
      </c>
      <c r="E86" s="376">
        <v>46604740</v>
      </c>
      <c r="F86" s="377">
        <v>42165052</v>
      </c>
      <c r="H86" s="378">
        <f t="shared" si="9"/>
        <v>-0.4579484746386126</v>
      </c>
      <c r="I86" s="379">
        <f t="shared" si="10"/>
        <v>-9.5097099203900803E-2</v>
      </c>
      <c r="J86" s="380">
        <f t="shared" si="11"/>
        <v>-9.5262584878705467E-2</v>
      </c>
      <c r="L86" s="378">
        <f t="shared" si="15"/>
        <v>0.10405904975276496</v>
      </c>
      <c r="M86" s="379">
        <f t="shared" si="16"/>
        <v>5.6128278595745332E-2</v>
      </c>
      <c r="N86" s="379">
        <f t="shared" si="17"/>
        <v>5.4696900642131931E-2</v>
      </c>
      <c r="O86" s="380">
        <f t="shared" si="18"/>
        <v>5.1034227589675553E-2</v>
      </c>
    </row>
    <row r="87" spans="1:15" ht="15" customHeight="1" x14ac:dyDescent="0.25">
      <c r="A87" s="374" t="s">
        <v>69</v>
      </c>
      <c r="B87" s="375">
        <v>85</v>
      </c>
      <c r="C87" s="376">
        <v>0</v>
      </c>
      <c r="D87" s="376">
        <v>0</v>
      </c>
      <c r="E87" s="376">
        <v>0</v>
      </c>
      <c r="F87" s="377">
        <v>0</v>
      </c>
      <c r="H87" s="378"/>
      <c r="I87" s="379"/>
      <c r="J87" s="380"/>
      <c r="L87" s="378">
        <f t="shared" si="15"/>
        <v>0</v>
      </c>
      <c r="M87" s="379">
        <f t="shared" si="16"/>
        <v>0</v>
      </c>
      <c r="N87" s="379">
        <f t="shared" si="17"/>
        <v>0</v>
      </c>
      <c r="O87" s="380">
        <f t="shared" si="18"/>
        <v>0</v>
      </c>
    </row>
    <row r="88" spans="1:15" ht="15" customHeight="1" x14ac:dyDescent="0.25">
      <c r="A88" s="367" t="s">
        <v>70</v>
      </c>
      <c r="B88" s="368">
        <v>86</v>
      </c>
      <c r="C88" s="369">
        <v>-43744575.751542903</v>
      </c>
      <c r="D88" s="369">
        <v>13852890.968212886</v>
      </c>
      <c r="E88" s="369">
        <v>19601100</v>
      </c>
      <c r="F88" s="370">
        <v>27027615</v>
      </c>
      <c r="H88" s="371">
        <f t="shared" si="9"/>
        <v>-1.3166767703244735</v>
      </c>
      <c r="I88" s="372">
        <f t="shared" si="10"/>
        <v>0.41494652957112466</v>
      </c>
      <c r="J88" s="373">
        <f t="shared" si="11"/>
        <v>0.37888256271331711</v>
      </c>
      <c r="L88" s="371">
        <f t="shared" si="15"/>
        <v>-4.7908936074655274E-2</v>
      </c>
      <c r="M88" s="372">
        <f t="shared" si="16"/>
        <v>1.5097117320382427E-2</v>
      </c>
      <c r="N88" s="372">
        <f t="shared" si="17"/>
        <v>2.300451454458264E-2</v>
      </c>
      <c r="O88" s="373">
        <f t="shared" si="18"/>
        <v>3.2712717990152809E-2</v>
      </c>
    </row>
    <row r="89" spans="1:15" ht="15" customHeight="1" x14ac:dyDescent="0.25">
      <c r="A89" s="374" t="s">
        <v>71</v>
      </c>
      <c r="B89" s="375">
        <v>87</v>
      </c>
      <c r="C89" s="376">
        <v>0</v>
      </c>
      <c r="D89" s="376">
        <v>13852890.968212886</v>
      </c>
      <c r="E89" s="376">
        <v>19601100</v>
      </c>
      <c r="F89" s="377">
        <v>27027615</v>
      </c>
      <c r="H89" s="379"/>
      <c r="I89" s="379">
        <f t="shared" si="10"/>
        <v>0.41494652957112466</v>
      </c>
      <c r="J89" s="380">
        <f t="shared" si="11"/>
        <v>0.37888256271331711</v>
      </c>
      <c r="L89" s="378">
        <f t="shared" si="15"/>
        <v>0</v>
      </c>
      <c r="M89" s="379">
        <f t="shared" si="16"/>
        <v>1.5097117320382427E-2</v>
      </c>
      <c r="N89" s="379">
        <f t="shared" si="17"/>
        <v>2.300451454458264E-2</v>
      </c>
      <c r="O89" s="380">
        <f t="shared" si="18"/>
        <v>3.2712717990152809E-2</v>
      </c>
    </row>
    <row r="90" spans="1:15" ht="15" customHeight="1" x14ac:dyDescent="0.25">
      <c r="A90" s="374" t="s">
        <v>72</v>
      </c>
      <c r="B90" s="375">
        <v>88</v>
      </c>
      <c r="C90" s="376">
        <v>43744575.751542903</v>
      </c>
      <c r="D90" s="376">
        <v>0</v>
      </c>
      <c r="E90" s="376">
        <v>0</v>
      </c>
      <c r="F90" s="377">
        <v>0</v>
      </c>
      <c r="H90" s="378">
        <f t="shared" si="9"/>
        <v>-1</v>
      </c>
      <c r="I90" s="379"/>
      <c r="J90" s="380"/>
      <c r="L90" s="378">
        <f t="shared" si="15"/>
        <v>4.7908936074655274E-2</v>
      </c>
      <c r="M90" s="379">
        <f t="shared" si="16"/>
        <v>0</v>
      </c>
      <c r="N90" s="379">
        <f t="shared" si="17"/>
        <v>0</v>
      </c>
      <c r="O90" s="380">
        <f t="shared" si="18"/>
        <v>0</v>
      </c>
    </row>
    <row r="91" spans="1:15" ht="15" customHeight="1" x14ac:dyDescent="0.25">
      <c r="A91" s="367" t="s">
        <v>73</v>
      </c>
      <c r="B91" s="368">
        <v>89</v>
      </c>
      <c r="C91" s="369">
        <v>93146317.34023492</v>
      </c>
      <c r="D91" s="369">
        <v>138438448.86853805</v>
      </c>
      <c r="E91" s="369">
        <v>134448828</v>
      </c>
      <c r="F91" s="370">
        <v>138553412</v>
      </c>
      <c r="H91" s="371">
        <f t="shared" si="9"/>
        <v>0.4862471520249681</v>
      </c>
      <c r="I91" s="372">
        <f t="shared" si="10"/>
        <v>-2.8818734254431141E-2</v>
      </c>
      <c r="J91" s="373">
        <f t="shared" si="11"/>
        <v>3.052896824061568E-2</v>
      </c>
      <c r="L91" s="371">
        <f t="shared" si="15"/>
        <v>0.10201358423016531</v>
      </c>
      <c r="M91" s="372">
        <f t="shared" si="16"/>
        <v>0.15087258746321522</v>
      </c>
      <c r="N91" s="372">
        <f t="shared" si="17"/>
        <v>0.15779369623276701</v>
      </c>
      <c r="O91" s="373">
        <f t="shared" si="18"/>
        <v>0.16769732339791929</v>
      </c>
    </row>
    <row r="92" spans="1:15" ht="15" customHeight="1" x14ac:dyDescent="0.25">
      <c r="A92" s="354" t="s">
        <v>631</v>
      </c>
      <c r="B92" s="355">
        <v>90</v>
      </c>
      <c r="C92" s="362">
        <v>18729634.348662816</v>
      </c>
      <c r="D92" s="362">
        <v>22052508.726524651</v>
      </c>
      <c r="E92" s="362">
        <v>23787458</v>
      </c>
      <c r="F92" s="363">
        <v>8330408</v>
      </c>
      <c r="G92" s="349"/>
      <c r="H92" s="364">
        <f t="shared" si="9"/>
        <v>0.177412666793416</v>
      </c>
      <c r="I92" s="365">
        <f t="shared" si="10"/>
        <v>7.8673555693396471E-2</v>
      </c>
      <c r="J92" s="366">
        <f t="shared" si="11"/>
        <v>-0.64979830968067287</v>
      </c>
      <c r="K92" s="349"/>
      <c r="L92" s="364">
        <f t="shared" si="15"/>
        <v>2.0512642751601161E-2</v>
      </c>
      <c r="M92" s="365">
        <f t="shared" si="16"/>
        <v>2.4033200883270215E-2</v>
      </c>
      <c r="N92" s="365">
        <f t="shared" si="17"/>
        <v>2.7917766020256446E-2</v>
      </c>
      <c r="O92" s="366">
        <f t="shared" si="18"/>
        <v>1.0082661294639313E-2</v>
      </c>
    </row>
    <row r="93" spans="1:15" ht="15" customHeight="1" x14ac:dyDescent="0.25">
      <c r="A93" s="374" t="s">
        <v>74</v>
      </c>
      <c r="B93" s="375">
        <v>91</v>
      </c>
      <c r="C93" s="376">
        <v>3462718.6940075648</v>
      </c>
      <c r="D93" s="376">
        <v>3958790.2316013006</v>
      </c>
      <c r="E93" s="376">
        <v>3484945</v>
      </c>
      <c r="F93" s="377">
        <v>4156621</v>
      </c>
      <c r="H93" s="378">
        <f t="shared" si="9"/>
        <v>0.14326070969964044</v>
      </c>
      <c r="I93" s="379">
        <f t="shared" si="10"/>
        <v>-0.11969445307275951</v>
      </c>
      <c r="J93" s="380">
        <f t="shared" si="11"/>
        <v>0.1927364707333975</v>
      </c>
      <c r="L93" s="378">
        <f t="shared" si="15"/>
        <v>3.7923597544518642E-3</v>
      </c>
      <c r="M93" s="379">
        <f t="shared" si="16"/>
        <v>4.3143572493575325E-3</v>
      </c>
      <c r="N93" s="379">
        <f t="shared" si="17"/>
        <v>4.0900494329180782E-3</v>
      </c>
      <c r="O93" s="380">
        <f t="shared" si="18"/>
        <v>5.0309422627541119E-3</v>
      </c>
    </row>
    <row r="94" spans="1:15" ht="15" customHeight="1" x14ac:dyDescent="0.25">
      <c r="A94" s="374" t="s">
        <v>75</v>
      </c>
      <c r="B94" s="375">
        <v>92</v>
      </c>
      <c r="C94" s="376">
        <v>0</v>
      </c>
      <c r="D94" s="376">
        <v>0</v>
      </c>
      <c r="E94" s="376">
        <v>0</v>
      </c>
      <c r="F94" s="377">
        <v>0</v>
      </c>
      <c r="H94" s="378"/>
      <c r="I94" s="379"/>
      <c r="J94" s="380"/>
      <c r="L94" s="378">
        <f t="shared" si="15"/>
        <v>0</v>
      </c>
      <c r="M94" s="379">
        <f t="shared" si="16"/>
        <v>0</v>
      </c>
      <c r="N94" s="379">
        <f t="shared" si="17"/>
        <v>0</v>
      </c>
      <c r="O94" s="380">
        <f t="shared" si="18"/>
        <v>0</v>
      </c>
    </row>
    <row r="95" spans="1:15" ht="15" customHeight="1" x14ac:dyDescent="0.25">
      <c r="A95" s="374" t="s">
        <v>76</v>
      </c>
      <c r="B95" s="375">
        <v>93</v>
      </c>
      <c r="C95" s="376">
        <v>7620965.6911540246</v>
      </c>
      <c r="D95" s="376">
        <v>6651700.4446214074</v>
      </c>
      <c r="E95" s="376">
        <v>6667273</v>
      </c>
      <c r="F95" s="377">
        <v>4102327</v>
      </c>
      <c r="H95" s="378">
        <f t="shared" si="9"/>
        <v>-0.12718404541010914</v>
      </c>
      <c r="I95" s="379">
        <f t="shared" si="10"/>
        <v>2.3411390077231462E-3</v>
      </c>
      <c r="J95" s="380">
        <f t="shared" si="11"/>
        <v>-0.38470691090645304</v>
      </c>
      <c r="L95" s="378">
        <f t="shared" si="15"/>
        <v>8.3464601462447923E-3</v>
      </c>
      <c r="M95" s="379">
        <f t="shared" si="16"/>
        <v>7.2491368208209015E-3</v>
      </c>
      <c r="N95" s="379">
        <f t="shared" si="17"/>
        <v>7.8249373097021655E-3</v>
      </c>
      <c r="O95" s="380">
        <f t="shared" si="18"/>
        <v>4.9652278328809109E-3</v>
      </c>
    </row>
    <row r="96" spans="1:15" ht="15" customHeight="1" x14ac:dyDescent="0.25">
      <c r="A96" s="374" t="s">
        <v>77</v>
      </c>
      <c r="B96" s="375">
        <v>94</v>
      </c>
      <c r="C96" s="376">
        <v>0</v>
      </c>
      <c r="D96" s="376">
        <v>0</v>
      </c>
      <c r="E96" s="376">
        <v>0</v>
      </c>
      <c r="F96" s="377">
        <v>0</v>
      </c>
      <c r="H96" s="378"/>
      <c r="I96" s="379"/>
      <c r="J96" s="380"/>
      <c r="L96" s="378">
        <f t="shared" si="15"/>
        <v>0</v>
      </c>
      <c r="M96" s="379">
        <f t="shared" si="16"/>
        <v>0</v>
      </c>
      <c r="N96" s="379">
        <f t="shared" si="17"/>
        <v>0</v>
      </c>
      <c r="O96" s="380">
        <f t="shared" si="18"/>
        <v>0</v>
      </c>
    </row>
    <row r="97" spans="1:15" ht="15" customHeight="1" x14ac:dyDescent="0.25">
      <c r="A97" s="374" t="s">
        <v>78</v>
      </c>
      <c r="B97" s="375">
        <v>95</v>
      </c>
      <c r="C97" s="376">
        <v>0</v>
      </c>
      <c r="D97" s="376">
        <v>0</v>
      </c>
      <c r="E97" s="376">
        <v>0</v>
      </c>
      <c r="F97" s="377">
        <v>0</v>
      </c>
      <c r="H97" s="378"/>
      <c r="I97" s="379"/>
      <c r="J97" s="380"/>
      <c r="L97" s="378">
        <f t="shared" si="15"/>
        <v>0</v>
      </c>
      <c r="M97" s="379">
        <f t="shared" si="16"/>
        <v>0</v>
      </c>
      <c r="N97" s="379">
        <f t="shared" si="17"/>
        <v>0</v>
      </c>
      <c r="O97" s="380">
        <f t="shared" si="18"/>
        <v>0</v>
      </c>
    </row>
    <row r="98" spans="1:15" ht="15" customHeight="1" x14ac:dyDescent="0.25">
      <c r="A98" s="374" t="s">
        <v>79</v>
      </c>
      <c r="B98" s="375">
        <v>96</v>
      </c>
      <c r="C98" s="376">
        <v>7645949.9635012271</v>
      </c>
      <c r="D98" s="376">
        <v>11442018.050301943</v>
      </c>
      <c r="E98" s="376">
        <v>13635240</v>
      </c>
      <c r="F98" s="377">
        <v>71460</v>
      </c>
      <c r="H98" s="378">
        <f t="shared" si="9"/>
        <v>0.49648089575810189</v>
      </c>
      <c r="I98" s="379">
        <f t="shared" si="10"/>
        <v>0.19168139222085742</v>
      </c>
      <c r="J98" s="380">
        <f t="shared" si="11"/>
        <v>-0.99475916815545606</v>
      </c>
      <c r="L98" s="378">
        <f t="shared" si="15"/>
        <v>8.3738228509045061E-3</v>
      </c>
      <c r="M98" s="379">
        <f t="shared" si="16"/>
        <v>1.2469706813091782E-2</v>
      </c>
      <c r="N98" s="379">
        <f t="shared" si="17"/>
        <v>1.6002779277636204E-2</v>
      </c>
      <c r="O98" s="380">
        <f t="shared" si="18"/>
        <v>8.6491199004289497E-5</v>
      </c>
    </row>
    <row r="99" spans="1:15" s="349" customFormat="1" ht="15" customHeight="1" x14ac:dyDescent="0.25">
      <c r="A99" s="354" t="s">
        <v>632</v>
      </c>
      <c r="B99" s="355">
        <v>97</v>
      </c>
      <c r="C99" s="362">
        <v>380562658.03968412</v>
      </c>
      <c r="D99" s="362">
        <v>347004881.41217065</v>
      </c>
      <c r="E99" s="362">
        <v>285270720</v>
      </c>
      <c r="F99" s="363">
        <v>264707353</v>
      </c>
      <c r="H99" s="364">
        <f t="shared" si="9"/>
        <v>-8.8179373142843007E-2</v>
      </c>
      <c r="I99" s="365">
        <f t="shared" si="10"/>
        <v>-0.17790574346083368</v>
      </c>
      <c r="J99" s="366">
        <f t="shared" si="11"/>
        <v>-7.2083692991695744E-2</v>
      </c>
      <c r="L99" s="364">
        <f t="shared" si="15"/>
        <v>0.41679115051838289</v>
      </c>
      <c r="M99" s="365">
        <f t="shared" si="16"/>
        <v>0.37817185000920917</v>
      </c>
      <c r="N99" s="365">
        <f t="shared" si="17"/>
        <v>0.33480337467711307</v>
      </c>
      <c r="O99" s="366">
        <f t="shared" si="18"/>
        <v>0.32038701855893797</v>
      </c>
    </row>
    <row r="100" spans="1:15" ht="15" customHeight="1" x14ac:dyDescent="0.25">
      <c r="A100" s="374" t="s">
        <v>80</v>
      </c>
      <c r="B100" s="375">
        <v>98</v>
      </c>
      <c r="C100" s="376">
        <v>0</v>
      </c>
      <c r="D100" s="376">
        <v>0</v>
      </c>
      <c r="E100" s="376">
        <v>0</v>
      </c>
      <c r="F100" s="377">
        <v>0</v>
      </c>
      <c r="H100" s="378"/>
      <c r="I100" s="379"/>
      <c r="J100" s="380"/>
      <c r="L100" s="378">
        <f t="shared" si="15"/>
        <v>0</v>
      </c>
      <c r="M100" s="379">
        <f t="shared" si="16"/>
        <v>0</v>
      </c>
      <c r="N100" s="379">
        <f t="shared" si="17"/>
        <v>0</v>
      </c>
      <c r="O100" s="380">
        <f t="shared" si="18"/>
        <v>0</v>
      </c>
    </row>
    <row r="101" spans="1:15" ht="15" customHeight="1" x14ac:dyDescent="0.25">
      <c r="A101" s="374" t="s">
        <v>81</v>
      </c>
      <c r="B101" s="375">
        <v>99</v>
      </c>
      <c r="C101" s="376">
        <v>0</v>
      </c>
      <c r="D101" s="376">
        <v>0</v>
      </c>
      <c r="E101" s="376">
        <v>0</v>
      </c>
      <c r="F101" s="377">
        <v>0</v>
      </c>
      <c r="H101" s="378"/>
      <c r="I101" s="379"/>
      <c r="J101" s="380"/>
      <c r="L101" s="378">
        <f t="shared" si="15"/>
        <v>0</v>
      </c>
      <c r="M101" s="379">
        <f t="shared" si="16"/>
        <v>0</v>
      </c>
      <c r="N101" s="379">
        <f t="shared" si="17"/>
        <v>0</v>
      </c>
      <c r="O101" s="380">
        <f t="shared" si="18"/>
        <v>0</v>
      </c>
    </row>
    <row r="102" spans="1:15" ht="15" customHeight="1" x14ac:dyDescent="0.25">
      <c r="A102" s="374" t="s">
        <v>82</v>
      </c>
      <c r="B102" s="375">
        <v>100</v>
      </c>
      <c r="C102" s="376">
        <v>0</v>
      </c>
      <c r="D102" s="376">
        <v>0</v>
      </c>
      <c r="E102" s="376">
        <v>0</v>
      </c>
      <c r="F102" s="377">
        <v>0</v>
      </c>
      <c r="H102" s="378"/>
      <c r="I102" s="379"/>
      <c r="J102" s="380"/>
      <c r="L102" s="378">
        <f t="shared" si="15"/>
        <v>0</v>
      </c>
      <c r="M102" s="379">
        <f t="shared" si="16"/>
        <v>0</v>
      </c>
      <c r="N102" s="379">
        <f t="shared" si="17"/>
        <v>0</v>
      </c>
      <c r="O102" s="380">
        <f t="shared" si="18"/>
        <v>0</v>
      </c>
    </row>
    <row r="103" spans="1:15" ht="15" customHeight="1" x14ac:dyDescent="0.25">
      <c r="A103" s="374" t="s">
        <v>605</v>
      </c>
      <c r="B103" s="375">
        <v>101</v>
      </c>
      <c r="C103" s="376">
        <v>0</v>
      </c>
      <c r="D103" s="376">
        <v>0</v>
      </c>
      <c r="E103" s="376">
        <v>0</v>
      </c>
      <c r="F103" s="377">
        <v>0</v>
      </c>
      <c r="H103" s="378"/>
      <c r="I103" s="379"/>
      <c r="J103" s="380"/>
      <c r="L103" s="378">
        <f t="shared" si="15"/>
        <v>0</v>
      </c>
      <c r="M103" s="379">
        <f t="shared" si="16"/>
        <v>0</v>
      </c>
      <c r="N103" s="379">
        <f t="shared" si="17"/>
        <v>0</v>
      </c>
      <c r="O103" s="380">
        <f t="shared" si="18"/>
        <v>0</v>
      </c>
    </row>
    <row r="104" spans="1:15" ht="15" customHeight="1" x14ac:dyDescent="0.25">
      <c r="A104" s="374" t="s">
        <v>83</v>
      </c>
      <c r="B104" s="375">
        <v>102</v>
      </c>
      <c r="C104" s="376">
        <v>0</v>
      </c>
      <c r="D104" s="376">
        <v>0</v>
      </c>
      <c r="E104" s="376">
        <v>0</v>
      </c>
      <c r="F104" s="377">
        <v>0</v>
      </c>
      <c r="H104" s="378"/>
      <c r="I104" s="379"/>
      <c r="J104" s="380"/>
      <c r="L104" s="378">
        <f t="shared" si="15"/>
        <v>0</v>
      </c>
      <c r="M104" s="379">
        <f t="shared" si="16"/>
        <v>0</v>
      </c>
      <c r="N104" s="379">
        <f t="shared" si="17"/>
        <v>0</v>
      </c>
      <c r="O104" s="380">
        <f t="shared" si="18"/>
        <v>0</v>
      </c>
    </row>
    <row r="105" spans="1:15" ht="15" customHeight="1" x14ac:dyDescent="0.25">
      <c r="A105" s="374" t="s">
        <v>84</v>
      </c>
      <c r="B105" s="375">
        <v>103</v>
      </c>
      <c r="C105" s="376">
        <v>367678751.74198681</v>
      </c>
      <c r="D105" s="376">
        <v>338059233.52578139</v>
      </c>
      <c r="E105" s="376">
        <v>276528538</v>
      </c>
      <c r="F105" s="377">
        <v>244200777</v>
      </c>
      <c r="H105" s="378">
        <f t="shared" si="9"/>
        <v>-8.0558145054274125E-2</v>
      </c>
      <c r="I105" s="379">
        <f t="shared" si="10"/>
        <v>-0.18201158088199026</v>
      </c>
      <c r="J105" s="380">
        <f t="shared" si="11"/>
        <v>-0.11690569528125883</v>
      </c>
      <c r="L105" s="378">
        <f t="shared" si="15"/>
        <v>0.40268073265276999</v>
      </c>
      <c r="M105" s="379">
        <f t="shared" si="16"/>
        <v>0.36842273006323206</v>
      </c>
      <c r="N105" s="379">
        <f t="shared" si="17"/>
        <v>0.32454325392009492</v>
      </c>
      <c r="O105" s="380">
        <f t="shared" si="18"/>
        <v>0.29556700252601625</v>
      </c>
    </row>
    <row r="106" spans="1:15" ht="15" customHeight="1" x14ac:dyDescent="0.25">
      <c r="A106" s="374" t="s">
        <v>85</v>
      </c>
      <c r="B106" s="375">
        <v>104</v>
      </c>
      <c r="C106" s="376">
        <v>0</v>
      </c>
      <c r="D106" s="376">
        <v>0</v>
      </c>
      <c r="E106" s="376">
        <v>0</v>
      </c>
      <c r="F106" s="377">
        <v>0</v>
      </c>
      <c r="H106" s="378"/>
      <c r="I106" s="379"/>
      <c r="J106" s="380"/>
      <c r="L106" s="378">
        <f t="shared" si="15"/>
        <v>0</v>
      </c>
      <c r="M106" s="379">
        <f t="shared" si="16"/>
        <v>0</v>
      </c>
      <c r="N106" s="379">
        <f t="shared" si="17"/>
        <v>0</v>
      </c>
      <c r="O106" s="380">
        <f t="shared" si="18"/>
        <v>0</v>
      </c>
    </row>
    <row r="107" spans="1:15" ht="15" customHeight="1" x14ac:dyDescent="0.25">
      <c r="A107" s="374" t="s">
        <v>86</v>
      </c>
      <c r="B107" s="375">
        <v>105</v>
      </c>
      <c r="C107" s="376">
        <v>0</v>
      </c>
      <c r="D107" s="376">
        <v>0</v>
      </c>
      <c r="E107" s="376">
        <v>0</v>
      </c>
      <c r="F107" s="377">
        <v>0</v>
      </c>
      <c r="H107" s="378"/>
      <c r="I107" s="379"/>
      <c r="J107" s="380"/>
      <c r="L107" s="378">
        <f t="shared" si="15"/>
        <v>0</v>
      </c>
      <c r="M107" s="379">
        <f t="shared" si="16"/>
        <v>0</v>
      </c>
      <c r="N107" s="379">
        <f t="shared" si="17"/>
        <v>0</v>
      </c>
      <c r="O107" s="380">
        <f t="shared" si="18"/>
        <v>0</v>
      </c>
    </row>
    <row r="108" spans="1:15" ht="15" customHeight="1" x14ac:dyDescent="0.25">
      <c r="A108" s="374" t="s">
        <v>87</v>
      </c>
      <c r="B108" s="375">
        <v>106</v>
      </c>
      <c r="C108" s="376">
        <v>0</v>
      </c>
      <c r="D108" s="376">
        <v>0</v>
      </c>
      <c r="E108" s="376">
        <v>0</v>
      </c>
      <c r="F108" s="377">
        <v>0</v>
      </c>
      <c r="H108" s="378"/>
      <c r="I108" s="379"/>
      <c r="J108" s="380"/>
      <c r="L108" s="378">
        <f t="shared" si="15"/>
        <v>0</v>
      </c>
      <c r="M108" s="379">
        <f t="shared" si="16"/>
        <v>0</v>
      </c>
      <c r="N108" s="379">
        <f t="shared" si="17"/>
        <v>0</v>
      </c>
      <c r="O108" s="380">
        <f t="shared" si="18"/>
        <v>0</v>
      </c>
    </row>
    <row r="109" spans="1:15" ht="15" customHeight="1" x14ac:dyDescent="0.25">
      <c r="A109" s="374" t="s">
        <v>88</v>
      </c>
      <c r="B109" s="375">
        <v>107</v>
      </c>
      <c r="C109" s="376">
        <v>5147180.7021036558</v>
      </c>
      <c r="D109" s="376">
        <v>2075261.7957395976</v>
      </c>
      <c r="E109" s="376">
        <v>2452171</v>
      </c>
      <c r="F109" s="377">
        <v>14787692</v>
      </c>
      <c r="H109" s="378">
        <f t="shared" si="9"/>
        <v>-0.59681582679010337</v>
      </c>
      <c r="I109" s="379">
        <f t="shared" si="10"/>
        <v>0.18162007561367774</v>
      </c>
      <c r="J109" s="380">
        <f t="shared" si="11"/>
        <v>5.0304489368808296</v>
      </c>
      <c r="L109" s="378">
        <f t="shared" si="15"/>
        <v>5.6371777982801826E-3</v>
      </c>
      <c r="M109" s="379">
        <f t="shared" si="16"/>
        <v>2.2616557708192266E-3</v>
      </c>
      <c r="N109" s="379">
        <f t="shared" si="17"/>
        <v>2.8779509025158665E-3</v>
      </c>
      <c r="O109" s="380">
        <f t="shared" si="18"/>
        <v>1.7898197755193673E-2</v>
      </c>
    </row>
    <row r="110" spans="1:15" ht="15" customHeight="1" x14ac:dyDescent="0.25">
      <c r="A110" s="374" t="s">
        <v>89</v>
      </c>
      <c r="B110" s="375">
        <v>108</v>
      </c>
      <c r="C110" s="376">
        <v>7736725.5955936024</v>
      </c>
      <c r="D110" s="376">
        <v>6870386.0906496774</v>
      </c>
      <c r="E110" s="376">
        <v>6290011</v>
      </c>
      <c r="F110" s="377">
        <v>5718884</v>
      </c>
      <c r="H110" s="378">
        <f t="shared" si="9"/>
        <v>-0.11197754065845925</v>
      </c>
      <c r="I110" s="379">
        <f t="shared" si="10"/>
        <v>-8.4474887290474823E-2</v>
      </c>
      <c r="J110" s="380">
        <f t="shared" si="11"/>
        <v>-9.0799046297375313E-2</v>
      </c>
      <c r="L110" s="378">
        <f t="shared" si="15"/>
        <v>8.4732400673326845E-3</v>
      </c>
      <c r="M110" s="379">
        <f t="shared" si="16"/>
        <v>7.4874641751578519E-3</v>
      </c>
      <c r="N110" s="379">
        <f t="shared" si="17"/>
        <v>7.3821698545022876E-3</v>
      </c>
      <c r="O110" s="380">
        <f t="shared" si="18"/>
        <v>6.9218182777280599E-3</v>
      </c>
    </row>
    <row r="111" spans="1:15" s="349" customFormat="1" ht="15" customHeight="1" x14ac:dyDescent="0.25">
      <c r="A111" s="354" t="s">
        <v>633</v>
      </c>
      <c r="B111" s="355">
        <v>109</v>
      </c>
      <c r="C111" s="362">
        <v>124021128.14387152</v>
      </c>
      <c r="D111" s="362">
        <v>97414106.045523912</v>
      </c>
      <c r="E111" s="362">
        <v>91965495</v>
      </c>
      <c r="F111" s="363">
        <v>84649099</v>
      </c>
      <c r="H111" s="364">
        <f t="shared" si="9"/>
        <v>-0.21453620440770346</v>
      </c>
      <c r="I111" s="365">
        <f t="shared" si="10"/>
        <v>-5.593246467793532E-2</v>
      </c>
      <c r="J111" s="366">
        <f t="shared" si="11"/>
        <v>-7.9555881257421607E-2</v>
      </c>
      <c r="L111" s="364">
        <f t="shared" si="15"/>
        <v>0.13582759000564321</v>
      </c>
      <c r="M111" s="365">
        <f t="shared" si="16"/>
        <v>0.10616355755661996</v>
      </c>
      <c r="N111" s="365">
        <f t="shared" si="17"/>
        <v>0.10793381837382809</v>
      </c>
      <c r="O111" s="366">
        <f t="shared" si="18"/>
        <v>0.10245454893846632</v>
      </c>
    </row>
    <row r="112" spans="1:15" ht="15" customHeight="1" x14ac:dyDescent="0.25">
      <c r="A112" s="374" t="s">
        <v>80</v>
      </c>
      <c r="B112" s="375">
        <v>110</v>
      </c>
      <c r="C112" s="376">
        <v>0</v>
      </c>
      <c r="D112" s="376">
        <v>0</v>
      </c>
      <c r="E112" s="376">
        <v>0</v>
      </c>
      <c r="F112" s="377">
        <v>0</v>
      </c>
      <c r="H112" s="378"/>
      <c r="I112" s="379"/>
      <c r="J112" s="380"/>
      <c r="L112" s="378">
        <f t="shared" si="15"/>
        <v>0</v>
      </c>
      <c r="M112" s="379">
        <f t="shared" si="16"/>
        <v>0</v>
      </c>
      <c r="N112" s="379">
        <f t="shared" si="17"/>
        <v>0</v>
      </c>
      <c r="O112" s="380">
        <f t="shared" si="18"/>
        <v>0</v>
      </c>
    </row>
    <row r="113" spans="1:15" ht="15" customHeight="1" x14ac:dyDescent="0.25">
      <c r="A113" s="374" t="s">
        <v>81</v>
      </c>
      <c r="B113" s="375">
        <v>111</v>
      </c>
      <c r="C113" s="376">
        <v>0</v>
      </c>
      <c r="D113" s="376">
        <v>0</v>
      </c>
      <c r="E113" s="376">
        <v>0</v>
      </c>
      <c r="F113" s="377">
        <v>0</v>
      </c>
      <c r="H113" s="378"/>
      <c r="I113" s="379"/>
      <c r="J113" s="380"/>
      <c r="L113" s="378">
        <f t="shared" si="15"/>
        <v>0</v>
      </c>
      <c r="M113" s="379">
        <f t="shared" si="16"/>
        <v>0</v>
      </c>
      <c r="N113" s="379">
        <f t="shared" si="17"/>
        <v>0</v>
      </c>
      <c r="O113" s="380">
        <f t="shared" si="18"/>
        <v>0</v>
      </c>
    </row>
    <row r="114" spans="1:15" ht="15" customHeight="1" x14ac:dyDescent="0.25">
      <c r="A114" s="374" t="s">
        <v>82</v>
      </c>
      <c r="B114" s="375">
        <v>112</v>
      </c>
      <c r="C114" s="376">
        <v>0</v>
      </c>
      <c r="D114" s="376">
        <v>5203.3977038954145</v>
      </c>
      <c r="E114" s="376">
        <v>2423</v>
      </c>
      <c r="F114" s="377">
        <v>31800</v>
      </c>
      <c r="H114" s="378"/>
      <c r="I114" s="379">
        <f t="shared" si="10"/>
        <v>-0.53434272414232875</v>
      </c>
      <c r="J114" s="380">
        <f t="shared" si="11"/>
        <v>12.124226165910029</v>
      </c>
      <c r="L114" s="378">
        <f t="shared" si="15"/>
        <v>0</v>
      </c>
      <c r="M114" s="379">
        <f t="shared" si="16"/>
        <v>5.6707517427643401E-6</v>
      </c>
      <c r="N114" s="379">
        <f t="shared" si="17"/>
        <v>2.8437148293475231E-6</v>
      </c>
      <c r="O114" s="380">
        <f t="shared" si="18"/>
        <v>3.8488946660179203E-5</v>
      </c>
    </row>
    <row r="115" spans="1:15" ht="15" customHeight="1" x14ac:dyDescent="0.25">
      <c r="A115" s="374" t="s">
        <v>605</v>
      </c>
      <c r="B115" s="375">
        <v>113</v>
      </c>
      <c r="C115" s="376">
        <v>0</v>
      </c>
      <c r="D115" s="376">
        <v>0</v>
      </c>
      <c r="E115" s="376">
        <v>0</v>
      </c>
      <c r="F115" s="377">
        <v>0</v>
      </c>
      <c r="H115" s="378"/>
      <c r="I115" s="379"/>
      <c r="J115" s="380"/>
      <c r="L115" s="378">
        <f t="shared" si="15"/>
        <v>0</v>
      </c>
      <c r="M115" s="379">
        <f t="shared" si="16"/>
        <v>0</v>
      </c>
      <c r="N115" s="379">
        <f t="shared" si="17"/>
        <v>0</v>
      </c>
      <c r="O115" s="380">
        <f t="shared" si="18"/>
        <v>0</v>
      </c>
    </row>
    <row r="116" spans="1:15" ht="15" customHeight="1" x14ac:dyDescent="0.25">
      <c r="A116" s="374" t="s">
        <v>83</v>
      </c>
      <c r="B116" s="375">
        <v>114</v>
      </c>
      <c r="C116" s="376">
        <v>703961.77583117655</v>
      </c>
      <c r="D116" s="376">
        <v>0</v>
      </c>
      <c r="E116" s="376">
        <v>0</v>
      </c>
      <c r="F116" s="377">
        <v>0</v>
      </c>
      <c r="H116" s="378">
        <f t="shared" si="9"/>
        <v>-1</v>
      </c>
      <c r="I116" s="379"/>
      <c r="J116" s="380"/>
      <c r="L116" s="378">
        <f t="shared" si="15"/>
        <v>7.7097695286499832E-4</v>
      </c>
      <c r="M116" s="379">
        <f t="shared" si="16"/>
        <v>0</v>
      </c>
      <c r="N116" s="379">
        <f t="shared" si="17"/>
        <v>0</v>
      </c>
      <c r="O116" s="380">
        <f t="shared" si="18"/>
        <v>0</v>
      </c>
    </row>
    <row r="117" spans="1:15" ht="15" customHeight="1" x14ac:dyDescent="0.25">
      <c r="A117" s="374" t="s">
        <v>84</v>
      </c>
      <c r="B117" s="375">
        <v>115</v>
      </c>
      <c r="C117" s="376">
        <v>97293995.221978888</v>
      </c>
      <c r="D117" s="376">
        <v>75057932.97498174</v>
      </c>
      <c r="E117" s="376">
        <v>69136281</v>
      </c>
      <c r="F117" s="377">
        <v>49774765</v>
      </c>
      <c r="H117" s="378">
        <f t="shared" si="9"/>
        <v>-0.22854506278897244</v>
      </c>
      <c r="I117" s="379">
        <f t="shared" si="10"/>
        <v>-7.8894418488123577E-2</v>
      </c>
      <c r="J117" s="380">
        <f t="shared" si="11"/>
        <v>-0.28004856089959479</v>
      </c>
      <c r="L117" s="378">
        <f t="shared" si="15"/>
        <v>0.10655610935655711</v>
      </c>
      <c r="M117" s="379">
        <f t="shared" si="16"/>
        <v>8.179941808167461E-2</v>
      </c>
      <c r="N117" s="379">
        <f t="shared" si="17"/>
        <v>8.1140679952801234E-2</v>
      </c>
      <c r="O117" s="380">
        <f t="shared" si="18"/>
        <v>6.0244599846162102E-2</v>
      </c>
    </row>
    <row r="118" spans="1:15" ht="15" customHeight="1" x14ac:dyDescent="0.25">
      <c r="A118" s="374" t="s">
        <v>85</v>
      </c>
      <c r="B118" s="375">
        <v>116</v>
      </c>
      <c r="C118" s="376">
        <v>9238667.0648350921</v>
      </c>
      <c r="D118" s="376">
        <v>5354658.1724069277</v>
      </c>
      <c r="E118" s="376">
        <v>4531975</v>
      </c>
      <c r="F118" s="377">
        <v>6573592</v>
      </c>
      <c r="H118" s="378">
        <f t="shared" si="9"/>
        <v>-0.42040792953907502</v>
      </c>
      <c r="I118" s="379">
        <f t="shared" si="10"/>
        <v>-0.15363878438520945</v>
      </c>
      <c r="J118" s="380">
        <f t="shared" si="11"/>
        <v>0.45049167305644888</v>
      </c>
      <c r="L118" s="378">
        <f t="shared" si="15"/>
        <v>1.0118162131418E-2</v>
      </c>
      <c r="M118" s="379">
        <f t="shared" si="16"/>
        <v>5.835597986360303E-3</v>
      </c>
      <c r="N118" s="379">
        <f t="shared" si="17"/>
        <v>5.3188792875494178E-3</v>
      </c>
      <c r="O118" s="380">
        <f t="shared" si="18"/>
        <v>7.9563091777918472E-3</v>
      </c>
    </row>
    <row r="119" spans="1:15" ht="15" customHeight="1" x14ac:dyDescent="0.25">
      <c r="A119" s="374" t="s">
        <v>86</v>
      </c>
      <c r="B119" s="375">
        <v>117</v>
      </c>
      <c r="C119" s="376">
        <v>8203435.2644501952</v>
      </c>
      <c r="D119" s="376">
        <v>8954888.7119251434</v>
      </c>
      <c r="E119" s="376">
        <v>10566240</v>
      </c>
      <c r="F119" s="377">
        <v>16924444</v>
      </c>
      <c r="H119" s="378">
        <f t="shared" si="9"/>
        <v>9.1602288949775915E-2</v>
      </c>
      <c r="I119" s="379">
        <f t="shared" si="10"/>
        <v>0.1799409618490328</v>
      </c>
      <c r="J119" s="380">
        <f t="shared" si="11"/>
        <v>0.60174707369887492</v>
      </c>
      <c r="L119" s="378">
        <f t="shared" si="15"/>
        <v>8.9843791813035284E-3</v>
      </c>
      <c r="M119" s="379">
        <f t="shared" si="16"/>
        <v>9.7591907555699877E-3</v>
      </c>
      <c r="N119" s="379">
        <f t="shared" si="17"/>
        <v>1.2400896978309935E-2</v>
      </c>
      <c r="O119" s="380">
        <f t="shared" si="18"/>
        <v>2.0484403219156917E-2</v>
      </c>
    </row>
    <row r="120" spans="1:15" ht="15" customHeight="1" x14ac:dyDescent="0.25">
      <c r="A120" s="374" t="s">
        <v>87</v>
      </c>
      <c r="B120" s="375">
        <v>118</v>
      </c>
      <c r="C120" s="376">
        <v>879314.61941734678</v>
      </c>
      <c r="D120" s="376">
        <v>0</v>
      </c>
      <c r="E120" s="376">
        <v>0</v>
      </c>
      <c r="F120" s="377">
        <v>0</v>
      </c>
      <c r="H120" s="378">
        <f t="shared" si="9"/>
        <v>-1</v>
      </c>
      <c r="I120" s="379"/>
      <c r="J120" s="380"/>
      <c r="L120" s="378">
        <f t="shared" si="15"/>
        <v>9.6302289295123965E-4</v>
      </c>
      <c r="M120" s="379">
        <f t="shared" si="16"/>
        <v>0</v>
      </c>
      <c r="N120" s="379">
        <f t="shared" si="17"/>
        <v>0</v>
      </c>
      <c r="O120" s="380">
        <f t="shared" si="18"/>
        <v>0</v>
      </c>
    </row>
    <row r="121" spans="1:15" ht="15" customHeight="1" x14ac:dyDescent="0.25">
      <c r="A121" s="402" t="s">
        <v>90</v>
      </c>
      <c r="B121" s="375">
        <v>119</v>
      </c>
      <c r="C121" s="376">
        <v>2546522.6624195366</v>
      </c>
      <c r="D121" s="376">
        <v>3821621.4745504013</v>
      </c>
      <c r="E121" s="376">
        <v>4239229</v>
      </c>
      <c r="F121" s="377">
        <v>4789942</v>
      </c>
      <c r="H121" s="378">
        <f t="shared" si="9"/>
        <v>0.50072156472361828</v>
      </c>
      <c r="I121" s="379">
        <f t="shared" si="10"/>
        <v>0.10927495782368885</v>
      </c>
      <c r="J121" s="380">
        <f t="shared" si="11"/>
        <v>0.12990876407007029</v>
      </c>
      <c r="L121" s="378">
        <f t="shared" si="15"/>
        <v>2.7889444428367887E-3</v>
      </c>
      <c r="M121" s="379">
        <f t="shared" si="16"/>
        <v>4.1648683937359678E-3</v>
      </c>
      <c r="N121" s="379">
        <f t="shared" si="17"/>
        <v>4.9753026711927655E-3</v>
      </c>
      <c r="O121" s="380">
        <f t="shared" si="18"/>
        <v>5.7974786837532112E-3</v>
      </c>
    </row>
    <row r="122" spans="1:15" ht="15" customHeight="1" x14ac:dyDescent="0.25">
      <c r="A122" s="402" t="s">
        <v>653</v>
      </c>
      <c r="B122" s="375">
        <v>120</v>
      </c>
      <c r="C122" s="376">
        <v>813591.61191850819</v>
      </c>
      <c r="D122" s="376">
        <v>2191051.4300882607</v>
      </c>
      <c r="E122" s="376">
        <v>1769858</v>
      </c>
      <c r="F122" s="377">
        <v>4624581</v>
      </c>
      <c r="H122" s="378">
        <f t="shared" si="9"/>
        <v>1.6930604961887479</v>
      </c>
      <c r="I122" s="379">
        <f t="shared" si="10"/>
        <v>-0.19223347489898676</v>
      </c>
      <c r="J122" s="380">
        <f t="shared" si="11"/>
        <v>1.6129672550001186</v>
      </c>
      <c r="L122" s="378">
        <f t="shared" si="15"/>
        <v>8.9104324037031621E-4</v>
      </c>
      <c r="M122" s="379">
        <f t="shared" si="16"/>
        <v>2.3878452931548281E-3</v>
      </c>
      <c r="N122" s="379">
        <f t="shared" si="17"/>
        <v>2.0771652663802509E-3</v>
      </c>
      <c r="O122" s="380">
        <f t="shared" si="18"/>
        <v>5.5973349507760445E-3</v>
      </c>
    </row>
    <row r="123" spans="1:15" ht="15" customHeight="1" x14ac:dyDescent="0.25">
      <c r="A123" s="402" t="s">
        <v>91</v>
      </c>
      <c r="B123" s="375">
        <v>121</v>
      </c>
      <c r="C123" s="376">
        <v>51665.803968411972</v>
      </c>
      <c r="D123" s="376">
        <v>50391.665007631556</v>
      </c>
      <c r="E123" s="376">
        <v>50392</v>
      </c>
      <c r="F123" s="377">
        <v>49388</v>
      </c>
      <c r="H123" s="378">
        <f t="shared" si="9"/>
        <v>-2.4661165856615982E-2</v>
      </c>
      <c r="I123" s="379">
        <f t="shared" si="10"/>
        <v>6.6477733647598941E-6</v>
      </c>
      <c r="J123" s="380">
        <f t="shared" si="11"/>
        <v>-1.9923797428163199E-2</v>
      </c>
      <c r="L123" s="378">
        <f t="shared" si="15"/>
        <v>5.658424289281205E-5</v>
      </c>
      <c r="M123" s="379">
        <f t="shared" si="16"/>
        <v>5.4917697709113469E-5</v>
      </c>
      <c r="N123" s="379">
        <f t="shared" si="17"/>
        <v>5.9141757193759958E-5</v>
      </c>
      <c r="O123" s="380">
        <f t="shared" si="18"/>
        <v>5.9776481058268258E-5</v>
      </c>
    </row>
    <row r="124" spans="1:15" ht="15" customHeight="1" x14ac:dyDescent="0.25">
      <c r="A124" s="402" t="s">
        <v>92</v>
      </c>
      <c r="B124" s="375">
        <v>122</v>
      </c>
      <c r="C124" s="376">
        <v>0</v>
      </c>
      <c r="D124" s="376">
        <v>0</v>
      </c>
      <c r="E124" s="376">
        <v>0</v>
      </c>
      <c r="F124" s="377">
        <v>0</v>
      </c>
      <c r="H124" s="378"/>
      <c r="I124" s="379"/>
      <c r="J124" s="380"/>
      <c r="L124" s="378">
        <f t="shared" si="15"/>
        <v>0</v>
      </c>
      <c r="M124" s="379">
        <f t="shared" si="16"/>
        <v>0</v>
      </c>
      <c r="N124" s="379">
        <f t="shared" si="17"/>
        <v>0</v>
      </c>
      <c r="O124" s="380">
        <f t="shared" si="18"/>
        <v>0</v>
      </c>
    </row>
    <row r="125" spans="1:15" ht="15" customHeight="1" x14ac:dyDescent="0.25">
      <c r="A125" s="374" t="s">
        <v>93</v>
      </c>
      <c r="B125" s="375">
        <v>123</v>
      </c>
      <c r="C125" s="376">
        <v>4289974.1190523589</v>
      </c>
      <c r="D125" s="376">
        <v>1978358.218859911</v>
      </c>
      <c r="E125" s="376">
        <v>1669097</v>
      </c>
      <c r="F125" s="377">
        <v>1880587</v>
      </c>
      <c r="H125" s="378">
        <f t="shared" si="9"/>
        <v>-0.53884145592539756</v>
      </c>
      <c r="I125" s="379">
        <f t="shared" si="10"/>
        <v>-0.15632215435591443</v>
      </c>
      <c r="J125" s="380">
        <f t="shared" si="11"/>
        <v>0.12670923259702702</v>
      </c>
      <c r="L125" s="378">
        <f t="shared" si="15"/>
        <v>4.698367564448397E-3</v>
      </c>
      <c r="M125" s="379">
        <f t="shared" si="16"/>
        <v>2.1560485966723806E-3</v>
      </c>
      <c r="N125" s="379">
        <f t="shared" si="17"/>
        <v>1.9589087455713838E-3</v>
      </c>
      <c r="O125" s="380">
        <f t="shared" si="18"/>
        <v>2.2761576331077494E-3</v>
      </c>
    </row>
    <row r="126" spans="1:15" s="349" customFormat="1" ht="15" customHeight="1" x14ac:dyDescent="0.25">
      <c r="A126" s="354" t="s">
        <v>94</v>
      </c>
      <c r="B126" s="355">
        <v>124</v>
      </c>
      <c r="C126" s="362">
        <v>9664979.3616032917</v>
      </c>
      <c r="D126" s="362">
        <v>11660783.197292455</v>
      </c>
      <c r="E126" s="362">
        <v>9904266</v>
      </c>
      <c r="F126" s="363">
        <v>21703336</v>
      </c>
      <c r="H126" s="364">
        <f t="shared" si="9"/>
        <v>0.20649850982796983</v>
      </c>
      <c r="I126" s="365">
        <f t="shared" si="10"/>
        <v>-0.15063458153482387</v>
      </c>
      <c r="J126" s="366">
        <f t="shared" si="11"/>
        <v>1.1913119053951096</v>
      </c>
      <c r="L126" s="364">
        <f t="shared" si="15"/>
        <v>1.0585058157332407E-2</v>
      </c>
      <c r="M126" s="365">
        <f t="shared" si="16"/>
        <v>1.270812080893604E-2</v>
      </c>
      <c r="N126" s="365">
        <f t="shared" si="17"/>
        <v>1.1623981881140104E-2</v>
      </c>
      <c r="O126" s="366">
        <f t="shared" si="18"/>
        <v>2.6268507599117835E-2</v>
      </c>
    </row>
    <row r="127" spans="1:15" ht="15" customHeight="1" thickBot="1" x14ac:dyDescent="0.3">
      <c r="A127" s="520" t="s">
        <v>600</v>
      </c>
      <c r="B127" s="521">
        <v>125</v>
      </c>
      <c r="C127" s="522">
        <v>913077587.09934294</v>
      </c>
      <c r="D127" s="522">
        <v>917585170.34972453</v>
      </c>
      <c r="E127" s="522">
        <v>852054494</v>
      </c>
      <c r="F127" s="523">
        <v>826211231</v>
      </c>
      <c r="H127" s="511">
        <f t="shared" si="9"/>
        <v>4.9366924717769503E-3</v>
      </c>
      <c r="I127" s="512">
        <f t="shared" si="10"/>
        <v>-7.1416450992498548E-2</v>
      </c>
      <c r="J127" s="513">
        <f t="shared" si="11"/>
        <v>-3.0330528366416903E-2</v>
      </c>
      <c r="L127" s="511">
        <f t="shared" si="15"/>
        <v>1</v>
      </c>
      <c r="M127" s="512">
        <f t="shared" si="16"/>
        <v>1</v>
      </c>
      <c r="N127" s="512">
        <f t="shared" si="17"/>
        <v>1</v>
      </c>
      <c r="O127" s="513">
        <f t="shared" si="18"/>
        <v>1</v>
      </c>
    </row>
    <row r="128" spans="1:15" ht="15" customHeight="1" thickTop="1" x14ac:dyDescent="0.25"/>
    <row r="129" spans="1:15" ht="15" customHeight="1" thickBot="1" x14ac:dyDescent="0.3">
      <c r="A129" s="389"/>
      <c r="B129" s="390"/>
      <c r="C129" s="391"/>
      <c r="D129" s="391"/>
      <c r="E129" s="391"/>
      <c r="F129" s="391"/>
      <c r="H129" s="392"/>
      <c r="I129" s="392"/>
      <c r="J129" s="392"/>
    </row>
    <row r="130" spans="1:15" ht="15" customHeight="1" thickTop="1" thickBot="1" x14ac:dyDescent="0.3">
      <c r="A130" s="389"/>
      <c r="B130" s="348">
        <v>2020</v>
      </c>
      <c r="C130" s="348">
        <v>2021</v>
      </c>
      <c r="D130" s="348">
        <v>2022</v>
      </c>
      <c r="E130" s="348">
        <v>2023</v>
      </c>
      <c r="F130" s="392"/>
      <c r="G130" s="392"/>
      <c r="H130" s="392"/>
      <c r="I130" s="392"/>
      <c r="K130" s="348">
        <v>2020</v>
      </c>
      <c r="L130" s="348">
        <v>2021</v>
      </c>
      <c r="M130" s="348">
        <v>2022</v>
      </c>
      <c r="N130" s="348">
        <v>2023</v>
      </c>
    </row>
    <row r="131" spans="1:15" ht="15" customHeight="1" thickTop="1" x14ac:dyDescent="0.25">
      <c r="A131" s="350" t="s">
        <v>651</v>
      </c>
      <c r="B131" s="391">
        <v>807904686.30964231</v>
      </c>
      <c r="C131" s="391">
        <v>752779821.62054551</v>
      </c>
      <c r="D131" s="391">
        <v>732302923</v>
      </c>
      <c r="E131" s="391">
        <v>728032913</v>
      </c>
      <c r="G131" s="392"/>
      <c r="H131" s="392"/>
      <c r="I131" s="392"/>
      <c r="J131" s="350" t="s">
        <v>0</v>
      </c>
      <c r="K131" s="361">
        <v>0</v>
      </c>
      <c r="L131" s="361">
        <v>0</v>
      </c>
      <c r="M131" s="361">
        <v>0</v>
      </c>
      <c r="N131" s="361">
        <v>0</v>
      </c>
    </row>
    <row r="132" spans="1:15" ht="15" customHeight="1" x14ac:dyDescent="0.25">
      <c r="A132" s="350" t="s">
        <v>652</v>
      </c>
      <c r="B132" s="391">
        <v>97825505.209370226</v>
      </c>
      <c r="C132" s="391">
        <v>161650773.77397305</v>
      </c>
      <c r="D132" s="391">
        <v>117447470</v>
      </c>
      <c r="E132" s="391">
        <v>94414531</v>
      </c>
      <c r="G132" s="392"/>
      <c r="H132" s="392"/>
      <c r="I132" s="392"/>
      <c r="J132" s="350" t="s">
        <v>634</v>
      </c>
      <c r="K132" s="361">
        <v>0.88481493547135137</v>
      </c>
      <c r="L132" s="361">
        <v>0.82039231446344563</v>
      </c>
      <c r="M132" s="361">
        <v>0.85945550215007727</v>
      </c>
      <c r="N132" s="361">
        <v>0.88117043884628576</v>
      </c>
    </row>
    <row r="133" spans="1:15" ht="15" customHeight="1" x14ac:dyDescent="0.25">
      <c r="A133" s="389"/>
      <c r="B133" s="390"/>
      <c r="C133" s="391"/>
      <c r="D133" s="391"/>
      <c r="E133" s="391"/>
      <c r="F133" s="391"/>
      <c r="H133" s="392"/>
      <c r="I133" s="392"/>
      <c r="J133" s="392"/>
      <c r="K133" s="350" t="s">
        <v>628</v>
      </c>
      <c r="L133" s="361">
        <v>0.10713821759675589</v>
      </c>
      <c r="M133" s="361">
        <v>0.17616977583929583</v>
      </c>
      <c r="N133" s="361">
        <v>0.13784032691223622</v>
      </c>
      <c r="O133" s="361">
        <v>0.11427408325801371</v>
      </c>
    </row>
    <row r="134" spans="1:15" ht="15" customHeight="1" x14ac:dyDescent="0.25">
      <c r="A134" s="389"/>
      <c r="B134" s="390"/>
      <c r="C134" s="391"/>
      <c r="D134" s="391"/>
      <c r="E134" s="391"/>
      <c r="F134" s="391"/>
      <c r="H134" s="392"/>
      <c r="I134" s="392"/>
      <c r="J134" s="392"/>
      <c r="K134" s="350" t="s">
        <v>50</v>
      </c>
      <c r="L134" s="361">
        <v>8.0468469318928544E-3</v>
      </c>
      <c r="M134" s="361">
        <v>3.4379096972586539E-3</v>
      </c>
      <c r="N134" s="361">
        <v>2.7041709376865279E-3</v>
      </c>
      <c r="O134" s="361">
        <v>4.5554778957005004E-3</v>
      </c>
    </row>
    <row r="135" spans="1:15" ht="15" customHeight="1" x14ac:dyDescent="0.25">
      <c r="A135" s="389"/>
      <c r="B135" s="390"/>
      <c r="C135" s="391"/>
      <c r="D135" s="391"/>
      <c r="E135" s="391"/>
      <c r="F135" s="391"/>
      <c r="H135" s="392"/>
      <c r="I135" s="392"/>
      <c r="J135" s="392"/>
      <c r="L135" s="361">
        <v>1.0000000000000002</v>
      </c>
      <c r="M135" s="361">
        <v>1</v>
      </c>
      <c r="N135" s="361">
        <v>1</v>
      </c>
      <c r="O135" s="361">
        <v>1</v>
      </c>
    </row>
    <row r="136" spans="1:15" ht="15" customHeight="1" x14ac:dyDescent="0.25">
      <c r="A136" s="389"/>
      <c r="B136" s="390"/>
      <c r="C136" s="391"/>
      <c r="D136" s="391"/>
      <c r="E136" s="391"/>
      <c r="F136" s="391"/>
      <c r="H136" s="392"/>
      <c r="I136" s="392"/>
      <c r="J136" s="392"/>
    </row>
    <row r="137" spans="1:15" ht="15" customHeight="1" x14ac:dyDescent="0.25">
      <c r="A137" s="389"/>
      <c r="B137" s="390"/>
      <c r="C137" s="391"/>
      <c r="D137" s="391"/>
      <c r="E137" s="391"/>
      <c r="F137" s="391"/>
      <c r="H137" s="392"/>
      <c r="I137" s="392"/>
      <c r="J137" s="392"/>
    </row>
    <row r="138" spans="1:15" ht="15" customHeight="1" x14ac:dyDescent="0.25">
      <c r="A138" s="389"/>
      <c r="B138" s="390"/>
      <c r="C138" s="391"/>
      <c r="D138" s="391"/>
      <c r="E138" s="391"/>
      <c r="F138" s="391"/>
      <c r="H138" s="392"/>
      <c r="I138" s="392"/>
      <c r="J138" s="392"/>
    </row>
    <row r="139" spans="1:15" ht="15" customHeight="1" x14ac:dyDescent="0.25">
      <c r="H139" s="392"/>
      <c r="I139" s="392"/>
      <c r="J139" s="392"/>
    </row>
    <row r="140" spans="1:15" ht="15" customHeight="1" x14ac:dyDescent="0.25">
      <c r="H140" s="392"/>
      <c r="I140" s="392"/>
      <c r="J140" s="392"/>
    </row>
    <row r="141" spans="1:15" ht="15" customHeight="1" thickBot="1" x14ac:dyDescent="0.3"/>
    <row r="142" spans="1:15" ht="15" customHeight="1" thickTop="1" thickBot="1" x14ac:dyDescent="0.3">
      <c r="L142" s="348">
        <v>2020</v>
      </c>
      <c r="M142" s="348">
        <v>2021</v>
      </c>
      <c r="N142" s="348">
        <v>2022</v>
      </c>
      <c r="O142" s="348">
        <v>2023</v>
      </c>
    </row>
    <row r="143" spans="1:15" ht="15" customHeight="1" thickTop="1" x14ac:dyDescent="0.25">
      <c r="K143" s="350" t="s">
        <v>630</v>
      </c>
      <c r="L143" s="361">
        <v>0.41628355856704036</v>
      </c>
      <c r="M143" s="361">
        <v>0.47892327074196461</v>
      </c>
      <c r="N143" s="361">
        <v>0.5177210590476623</v>
      </c>
      <c r="O143" s="361">
        <v>0.54080726360883857</v>
      </c>
    </row>
    <row r="144" spans="1:15" ht="15" customHeight="1" x14ac:dyDescent="0.25">
      <c r="K144" s="350" t="s">
        <v>631</v>
      </c>
      <c r="L144" s="361">
        <v>2.0512642751601161E-2</v>
      </c>
      <c r="M144" s="361">
        <v>2.4033200883270215E-2</v>
      </c>
      <c r="N144" s="361">
        <v>2.7917766020256446E-2</v>
      </c>
      <c r="O144" s="361">
        <v>1.0082661294639313E-2</v>
      </c>
    </row>
    <row r="145" spans="1:15" ht="15" customHeight="1" x14ac:dyDescent="0.25">
      <c r="K145" s="350" t="s">
        <v>632</v>
      </c>
      <c r="L145" s="361">
        <v>0.41679115051838289</v>
      </c>
      <c r="M145" s="361">
        <v>0.37817185000920917</v>
      </c>
      <c r="N145" s="361">
        <v>0.33480337467711307</v>
      </c>
      <c r="O145" s="361">
        <v>0.32038701855893797</v>
      </c>
    </row>
    <row r="146" spans="1:15" ht="15" customHeight="1" x14ac:dyDescent="0.25">
      <c r="K146" s="350" t="s">
        <v>633</v>
      </c>
      <c r="L146" s="361">
        <v>0.13582759000564321</v>
      </c>
      <c r="M146" s="361">
        <v>0.10616355755661996</v>
      </c>
      <c r="N146" s="361">
        <v>0.10793381837382809</v>
      </c>
      <c r="O146" s="361">
        <v>0.10245454893846632</v>
      </c>
    </row>
    <row r="147" spans="1:15" ht="15" customHeight="1" x14ac:dyDescent="0.25">
      <c r="K147" s="350" t="s">
        <v>94</v>
      </c>
      <c r="L147" s="361">
        <v>1.0585058157332407E-2</v>
      </c>
      <c r="M147" s="361">
        <v>1.270812080893604E-2</v>
      </c>
      <c r="N147" s="361">
        <v>1.1623981881140104E-2</v>
      </c>
      <c r="O147" s="361">
        <v>2.6268507599117835E-2</v>
      </c>
    </row>
    <row r="148" spans="1:15" ht="15" customHeight="1" x14ac:dyDescent="0.25">
      <c r="L148" s="381">
        <f>SUM(L143:L147)</f>
        <v>1</v>
      </c>
      <c r="M148" s="381">
        <f t="shared" ref="M148:O148" si="19">SUM(M143:M147)</f>
        <v>1</v>
      </c>
      <c r="N148" s="381">
        <f t="shared" si="19"/>
        <v>1</v>
      </c>
      <c r="O148" s="381">
        <f t="shared" si="19"/>
        <v>1</v>
      </c>
    </row>
    <row r="154" spans="1:15" ht="15" customHeight="1" thickBot="1" x14ac:dyDescent="0.3"/>
    <row r="155" spans="1:15" ht="15" customHeight="1" thickTop="1" thickBot="1" x14ac:dyDescent="0.3">
      <c r="B155" s="348">
        <v>2020</v>
      </c>
      <c r="C155" s="348">
        <v>2021</v>
      </c>
      <c r="D155" s="348">
        <v>2022</v>
      </c>
      <c r="E155" s="348">
        <v>2023</v>
      </c>
    </row>
    <row r="156" spans="1:15" ht="15" customHeight="1" thickTop="1" x14ac:dyDescent="0.25">
      <c r="A156" s="350" t="s">
        <v>646</v>
      </c>
      <c r="B156" s="393">
        <v>380099187.20552123</v>
      </c>
      <c r="C156" s="393">
        <v>439452890.96821284</v>
      </c>
      <c r="D156" s="393">
        <v>441126555</v>
      </c>
      <c r="E156" s="393">
        <v>446821035</v>
      </c>
      <c r="F156" s="393"/>
    </row>
    <row r="157" spans="1:15" ht="15" customHeight="1" x14ac:dyDescent="0.25">
      <c r="A157" s="350" t="s">
        <v>647</v>
      </c>
      <c r="B157" s="393">
        <v>18729634.348662816</v>
      </c>
      <c r="C157" s="393">
        <v>22052508.726524651</v>
      </c>
      <c r="D157" s="393">
        <v>23787458</v>
      </c>
      <c r="E157" s="393">
        <v>8330408</v>
      </c>
      <c r="F157" s="393"/>
    </row>
    <row r="158" spans="1:15" ht="15" customHeight="1" x14ac:dyDescent="0.25">
      <c r="A158" s="350" t="s">
        <v>648</v>
      </c>
      <c r="B158" s="393">
        <v>380562658.03968412</v>
      </c>
      <c r="C158" s="393">
        <v>347004881.41217065</v>
      </c>
      <c r="D158" s="393">
        <v>285270720</v>
      </c>
      <c r="E158" s="393">
        <v>264707353</v>
      </c>
      <c r="F158" s="393"/>
    </row>
    <row r="159" spans="1:15" ht="15" customHeight="1" x14ac:dyDescent="0.25">
      <c r="A159" s="350" t="s">
        <v>649</v>
      </c>
      <c r="B159" s="393">
        <v>124021128.14387152</v>
      </c>
      <c r="C159" s="393">
        <v>97414106.045523912</v>
      </c>
      <c r="D159" s="393">
        <v>91965495</v>
      </c>
      <c r="E159" s="393">
        <v>84649099</v>
      </c>
      <c r="F159" s="393"/>
    </row>
    <row r="160" spans="1:15" ht="15" customHeight="1" x14ac:dyDescent="0.25">
      <c r="A160" s="350" t="s">
        <v>650</v>
      </c>
      <c r="B160" s="393">
        <v>9664979.3616032917</v>
      </c>
      <c r="C160" s="393">
        <v>11660783.197292455</v>
      </c>
      <c r="D160" s="393">
        <v>9904266</v>
      </c>
      <c r="E160" s="393">
        <v>21703336</v>
      </c>
      <c r="F160" s="393"/>
    </row>
    <row r="161" spans="3:6" ht="15" customHeight="1" x14ac:dyDescent="0.25">
      <c r="C161" s="393"/>
      <c r="D161" s="393"/>
      <c r="E161" s="393"/>
      <c r="F161" s="393"/>
    </row>
  </sheetData>
  <mergeCells count="2">
    <mergeCell ref="A68:F68"/>
    <mergeCell ref="A2:F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8917E-CAA4-4FF6-B7B8-2771603826C7}">
  <dimension ref="A1:F45"/>
  <sheetViews>
    <sheetView topLeftCell="A6" workbookViewId="0">
      <selection activeCell="B21" sqref="B21"/>
    </sheetView>
  </sheetViews>
  <sheetFormatPr defaultRowHeight="14.4" x14ac:dyDescent="0.3"/>
  <cols>
    <col min="1" max="1" width="30.5546875" customWidth="1"/>
    <col min="2" max="2" width="80.21875" customWidth="1"/>
    <col min="3" max="6" width="7.109375" bestFit="1" customWidth="1"/>
  </cols>
  <sheetData>
    <row r="1" spans="1:6" ht="15" thickBot="1" x14ac:dyDescent="0.35">
      <c r="A1" t="s">
        <v>668</v>
      </c>
    </row>
    <row r="2" spans="1:6" ht="16.8" thickTop="1" thickBot="1" x14ac:dyDescent="0.35">
      <c r="B2" t="s">
        <v>659</v>
      </c>
      <c r="C2" s="348">
        <v>2020</v>
      </c>
      <c r="D2" s="348">
        <v>2021</v>
      </c>
      <c r="E2" s="348">
        <v>2022</v>
      </c>
      <c r="F2" s="348">
        <v>2023</v>
      </c>
    </row>
    <row r="3" spans="1:6" ht="15" thickTop="1" x14ac:dyDescent="0.3">
      <c r="A3" s="404" t="s">
        <v>655</v>
      </c>
      <c r="B3" t="s">
        <v>660</v>
      </c>
      <c r="C3" s="403">
        <f>Bilanca!C65/Bilanca!C111</f>
        <v>0.71265667412060085</v>
      </c>
      <c r="D3" s="403">
        <f>Bilanca!D65/Bilanca!D111</f>
        <v>1.5194940087885365</v>
      </c>
      <c r="E3" s="403">
        <f>Bilanca!E65/Bilanca!E111</f>
        <v>0.97101181263690262</v>
      </c>
      <c r="F3" s="403">
        <f>Bilanca!F65/Bilanca!F111</f>
        <v>0.65193084925806477</v>
      </c>
    </row>
    <row r="4" spans="1:6" x14ac:dyDescent="0.3">
      <c r="A4" s="404"/>
      <c r="C4" s="403"/>
      <c r="D4" s="403"/>
      <c r="E4" s="403"/>
      <c r="F4" s="403"/>
    </row>
    <row r="5" spans="1:6" x14ac:dyDescent="0.3">
      <c r="A5" s="404" t="s">
        <v>656</v>
      </c>
      <c r="B5" t="s">
        <v>661</v>
      </c>
      <c r="C5" s="403">
        <f>(Bilanca!C65+Bilanca!C48)/Bilanca!C111</f>
        <v>0.75566108407992627</v>
      </c>
      <c r="D5" s="403">
        <f>(Bilanca!D65+Bilanca!D48)/Bilanca!D111</f>
        <v>1.5717964377293681</v>
      </c>
      <c r="E5" s="403">
        <f>(Bilanca!E65+Bilanca!E48)/Bilanca!E111</f>
        <v>1.0228601607592065</v>
      </c>
      <c r="F5" s="403">
        <f>(Bilanca!F65+Bilanca!F48)/Bilanca!F111</f>
        <v>0.72517954384842298</v>
      </c>
    </row>
    <row r="6" spans="1:6" x14ac:dyDescent="0.3">
      <c r="A6" s="404"/>
      <c r="C6" s="403"/>
      <c r="D6" s="403"/>
      <c r="E6" s="403"/>
      <c r="F6" s="403"/>
    </row>
    <row r="7" spans="1:6" x14ac:dyDescent="0.3">
      <c r="A7" s="404" t="s">
        <v>657</v>
      </c>
      <c r="B7" t="s">
        <v>662</v>
      </c>
      <c r="C7" s="403">
        <f>Bilanca!C39/Bilanca!C111</f>
        <v>0.78878096557779342</v>
      </c>
      <c r="D7" s="403">
        <f>Bilanca!D39/Bilanca!D111</f>
        <v>1.6594185414834051</v>
      </c>
      <c r="E7" s="403">
        <f>Bilanca!E39/Bilanca!E111</f>
        <v>1.2770819099054487</v>
      </c>
      <c r="F7" s="403">
        <f>Bilanca!F39/Bilanca!F111</f>
        <v>1.1153636850877764</v>
      </c>
    </row>
    <row r="8" spans="1:6" x14ac:dyDescent="0.3">
      <c r="A8" s="404"/>
      <c r="C8" s="403"/>
      <c r="D8" s="403"/>
      <c r="E8" s="403"/>
      <c r="F8" s="403"/>
    </row>
    <row r="9" spans="1:6" x14ac:dyDescent="0.3">
      <c r="A9" s="404" t="s">
        <v>658</v>
      </c>
      <c r="B9" t="s">
        <v>663</v>
      </c>
      <c r="C9" s="403">
        <f>Bilanca!C4/(Bilanca!C69+Bilanca!C99)</f>
        <v>1.0621075466841745</v>
      </c>
      <c r="D9" s="403">
        <f>Bilanca!D4/(Bilanca!D69+Bilanca!D99)</f>
        <v>0.95717767445046109</v>
      </c>
      <c r="E9" s="403">
        <f>Bilanca!E4/(Bilanca!E69+Bilanca!E99)</f>
        <v>1.008130052525321</v>
      </c>
      <c r="F9" s="403">
        <f>Bilanca!F4/(Bilanca!F69+Bilanca!F99)</f>
        <v>1.0231958770420837</v>
      </c>
    </row>
    <row r="10" spans="1:6" x14ac:dyDescent="0.3">
      <c r="C10" s="403"/>
      <c r="D10" s="403"/>
      <c r="E10" s="403"/>
      <c r="F10" s="403"/>
    </row>
    <row r="12" spans="1:6" x14ac:dyDescent="0.3">
      <c r="A12" t="s">
        <v>667</v>
      </c>
    </row>
    <row r="14" spans="1:6" x14ac:dyDescent="0.3">
      <c r="A14" s="405" t="s">
        <v>669</v>
      </c>
    </row>
    <row r="15" spans="1:6" x14ac:dyDescent="0.3">
      <c r="A15" s="404" t="s">
        <v>664</v>
      </c>
      <c r="B15" t="s">
        <v>680</v>
      </c>
      <c r="C15" s="406">
        <f>(Bilanca!C99+Bilanca!C111)/Bilanca!C67</f>
        <v>0.55261874052402604</v>
      </c>
      <c r="D15" s="406">
        <f>(Bilanca!D99+Bilanca!D111)/Bilanca!D67</f>
        <v>0.4843354075658291</v>
      </c>
      <c r="E15" s="406">
        <f>(Bilanca!E99+Bilanca!E111)/Bilanca!E67</f>
        <v>0.44273719305094117</v>
      </c>
      <c r="F15" s="406">
        <f>(Bilanca!F99+Bilanca!F111)/Bilanca!F67</f>
        <v>0.42284156749740431</v>
      </c>
    </row>
    <row r="16" spans="1:6" x14ac:dyDescent="0.3">
      <c r="A16" s="404"/>
    </row>
    <row r="17" spans="1:6" x14ac:dyDescent="0.3">
      <c r="A17" s="404" t="s">
        <v>665</v>
      </c>
      <c r="B17" t="s">
        <v>681</v>
      </c>
      <c r="C17" s="406">
        <f>Bilanca!C69 / Bilanca!C127</f>
        <v>0.41628355856704036</v>
      </c>
      <c r="D17" s="406">
        <f>Bilanca!D69 / Bilanca!D127</f>
        <v>0.47892327074196461</v>
      </c>
      <c r="E17" s="406">
        <f>Bilanca!E69 / Bilanca!E127</f>
        <v>0.5177210590476623</v>
      </c>
      <c r="F17" s="406">
        <f>Bilanca!F69 / Bilanca!F127</f>
        <v>0.54080726360883857</v>
      </c>
    </row>
    <row r="18" spans="1:6" x14ac:dyDescent="0.3">
      <c r="A18" s="404"/>
      <c r="C18" s="407"/>
    </row>
    <row r="19" spans="1:6" x14ac:dyDescent="0.3">
      <c r="A19" s="404" t="s">
        <v>666</v>
      </c>
      <c r="B19" t="s">
        <v>682</v>
      </c>
      <c r="C19" s="403">
        <f>(Bilanca!C99+Bilanca!C111)/Bilanca!C69</f>
        <v>1.3275055647796612</v>
      </c>
      <c r="D19" s="403">
        <f>(Bilanca!D99+Bilanca!D111)/Bilanca!D69</f>
        <v>1.0113006344742443</v>
      </c>
      <c r="E19" s="403">
        <f>(Bilanca!E99+Bilanca!E111)/Bilanca!E69</f>
        <v>0.85516550913603462</v>
      </c>
      <c r="F19" s="403">
        <f>(Bilanca!F99+Bilanca!F111)/Bilanca!F69</f>
        <v>0.78187109521376941</v>
      </c>
    </row>
    <row r="21" spans="1:6" x14ac:dyDescent="0.3">
      <c r="A21" s="405" t="s">
        <v>670</v>
      </c>
    </row>
    <row r="23" spans="1:6" x14ac:dyDescent="0.3">
      <c r="A23" t="s">
        <v>672</v>
      </c>
      <c r="B23" t="s">
        <v>692</v>
      </c>
      <c r="C23" s="403">
        <f>(RDG!E77+RDG!E45)/RDG!E45</f>
        <v>-4.6896757425573012</v>
      </c>
      <c r="D23" s="403">
        <f>(RDG!F77+RDG!F45)/RDG!F45</f>
        <v>2.6406545077871786</v>
      </c>
      <c r="E23" s="403">
        <f>(RDG!G77+RDG!G45)/RDG!G45</f>
        <v>3.6952279519346325</v>
      </c>
      <c r="F23" s="403">
        <f>(RDG!H77+RDG!H45)/RDG!H45</f>
        <v>4.9051790823990959</v>
      </c>
    </row>
    <row r="25" spans="1:6" x14ac:dyDescent="0.3">
      <c r="A25" t="s">
        <v>671</v>
      </c>
      <c r="B25" t="s">
        <v>693</v>
      </c>
      <c r="C25" s="403">
        <f>(Bilanca!C99+Bilanca!C111)/(Bilanca!C86+RDG!E18)</f>
        <v>3.1359416903223729</v>
      </c>
      <c r="D25" s="403">
        <f>(Bilanca!D99+Bilanca!D111)/(Bilanca!D86+RDG!F18)</f>
        <v>3.7397191347653393</v>
      </c>
      <c r="E25" s="403">
        <f>(Bilanca!E99+Bilanca!E111)/(Bilanca!E86+RDG!G18)</f>
        <v>3.3484423502179017</v>
      </c>
      <c r="F25" s="403">
        <f>(Bilanca!F99+Bilanca!F111)/(Bilanca!F86+RDG!H18)</f>
        <v>3.2364798862395783</v>
      </c>
    </row>
    <row r="28" spans="1:6" x14ac:dyDescent="0.3">
      <c r="A28" t="s">
        <v>673</v>
      </c>
    </row>
    <row r="30" spans="1:6" x14ac:dyDescent="0.3">
      <c r="A30" t="s">
        <v>674</v>
      </c>
      <c r="B30" t="s">
        <v>683</v>
      </c>
      <c r="C30" s="403">
        <f>RDG!E54/Bilanca!C67</f>
        <v>0.10130000101692209</v>
      </c>
      <c r="D30" s="403">
        <f>RDG!F54/Bilanca!D67</f>
        <v>0.24298815756135508</v>
      </c>
      <c r="E30" s="403">
        <f>RDG!G54/Bilanca!E67</f>
        <v>0.38960268074121562</v>
      </c>
      <c r="F30" s="403">
        <f>RDG!H54/Bilanca!F67</f>
        <v>0.45428232262797696</v>
      </c>
    </row>
    <row r="32" spans="1:6" x14ac:dyDescent="0.3">
      <c r="A32" t="s">
        <v>684</v>
      </c>
      <c r="B32" t="s">
        <v>686</v>
      </c>
      <c r="C32" s="403">
        <f>RDG!E54/Bilanca!C39</f>
        <v>0.94550761893568613</v>
      </c>
      <c r="D32" s="403">
        <f>RDG!F54/Bilanca!D39</f>
        <v>1.379284025331404</v>
      </c>
      <c r="E32" s="403">
        <f>RDG!G54/Bilanca!E39</f>
        <v>2.8264782119189116</v>
      </c>
      <c r="F32" s="403">
        <f>RDG!H54/Bilanca!F39</f>
        <v>3.9753749028314296</v>
      </c>
    </row>
    <row r="34" spans="1:6" x14ac:dyDescent="0.3">
      <c r="A34" t="s">
        <v>685</v>
      </c>
      <c r="B34" t="s">
        <v>687</v>
      </c>
      <c r="C34" s="403">
        <f>RDG!E2/Bilanca!C48</f>
        <v>16.812541495665538</v>
      </c>
      <c r="D34" s="403">
        <f>RDG!F2/Bilanca!D48</f>
        <v>42.82582991898429</v>
      </c>
      <c r="E34" s="403">
        <f>RDG!G2/Bilanca!E48</f>
        <v>68.22928850970554</v>
      </c>
      <c r="F34" s="403">
        <f>RDG!H2/Bilanca!F48</f>
        <v>60.029393739408</v>
      </c>
    </row>
    <row r="36" spans="1:6" x14ac:dyDescent="0.3">
      <c r="A36" t="s">
        <v>675</v>
      </c>
      <c r="B36" t="s">
        <v>688</v>
      </c>
      <c r="C36" s="403">
        <f>365/C34</f>
        <v>21.709983591362501</v>
      </c>
      <c r="D36" s="403">
        <f t="shared" ref="D36:F36" si="0">365/D34</f>
        <v>8.5228937930797439</v>
      </c>
      <c r="E36" s="403">
        <f t="shared" si="0"/>
        <v>5.3496087673269397</v>
      </c>
      <c r="F36" s="403">
        <f t="shared" si="0"/>
        <v>6.0803545940259163</v>
      </c>
    </row>
    <row r="39" spans="1:6" x14ac:dyDescent="0.3">
      <c r="A39" t="s">
        <v>676</v>
      </c>
    </row>
    <row r="41" spans="1:6" x14ac:dyDescent="0.3">
      <c r="A41" t="s">
        <v>678</v>
      </c>
      <c r="B41" t="s">
        <v>689</v>
      </c>
      <c r="C41" s="403">
        <f>RDG!E54/RDG!E55</f>
        <v>0.58174512095160247</v>
      </c>
      <c r="D41" s="403">
        <f>RDG!F54/RDG!F55</f>
        <v>1.0642885319148403</v>
      </c>
      <c r="E41" s="403">
        <f>RDG!G54/RDG!G55</f>
        <v>1.0877968444397565</v>
      </c>
      <c r="F41" s="403">
        <f>RDG!H54/RDG!H55</f>
        <v>1.0978103983873715</v>
      </c>
    </row>
    <row r="43" spans="1:6" x14ac:dyDescent="0.3">
      <c r="A43" t="s">
        <v>677</v>
      </c>
      <c r="B43" t="s">
        <v>690</v>
      </c>
      <c r="C43" s="403">
        <f>RDG!E2/RDG!E8</f>
        <v>0.63119059675347433</v>
      </c>
      <c r="D43" s="403">
        <f>RDG!F2/RDG!F8</f>
        <v>1.0908902392426543</v>
      </c>
      <c r="E43" s="403">
        <f>RDG!G2/RDG!G8</f>
        <v>1.1035301712893217</v>
      </c>
      <c r="F43" s="403">
        <f>RDG!H2/RDG!H8</f>
        <v>1.1285649228150449</v>
      </c>
    </row>
    <row r="45" spans="1:6" x14ac:dyDescent="0.3">
      <c r="A45" t="s">
        <v>679</v>
      </c>
      <c r="B45" t="s">
        <v>691</v>
      </c>
      <c r="C45" s="403">
        <f>RDG!E31/RDG!E42</f>
        <v>0.16906883380415838</v>
      </c>
      <c r="D45" s="403">
        <f>RDG!F31/RDG!F42</f>
        <v>0.4961458464666138</v>
      </c>
      <c r="E45" s="403">
        <f>RDG!G31/RDG!G42</f>
        <v>0.67151377825969027</v>
      </c>
      <c r="F45" s="403">
        <f>RDG!H31/RDG!H42</f>
        <v>0.28002904296841219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5C3C8-5549-4E43-B81D-21C6A3E0826A}">
  <dimension ref="A1:W106"/>
  <sheetViews>
    <sheetView tabSelected="1" zoomScale="85" zoomScaleNormal="85" workbookViewId="0">
      <selection activeCell="J1" sqref="J1:Q105"/>
    </sheetView>
  </sheetViews>
  <sheetFormatPr defaultRowHeight="15.6" x14ac:dyDescent="0.3"/>
  <cols>
    <col min="1" max="2" width="8.88671875" style="271"/>
    <col min="3" max="3" width="31.33203125" style="397" customWidth="1"/>
    <col min="4" max="4" width="14.5546875" style="271" customWidth="1"/>
    <col min="5" max="8" width="14.77734375" style="271" bestFit="1" customWidth="1"/>
    <col min="9" max="9" width="8.88671875" style="271"/>
    <col min="10" max="12" width="11.6640625" style="271" customWidth="1"/>
    <col min="13" max="13" width="8.88671875" style="271" customWidth="1"/>
    <col min="14" max="17" width="11.6640625" style="271" customWidth="1"/>
    <col min="18" max="18" width="8.88671875" style="271"/>
    <col min="19" max="19" width="75.109375" style="271" bestFit="1" customWidth="1"/>
    <col min="20" max="23" width="14.44140625" style="271" bestFit="1" customWidth="1"/>
    <col min="24" max="16384" width="8.88671875" style="271"/>
  </cols>
  <sheetData>
    <row r="1" spans="1:23" s="240" customFormat="1" ht="15" customHeight="1" thickTop="1" thickBot="1" x14ac:dyDescent="0.35">
      <c r="A1" s="467"/>
      <c r="B1" s="468"/>
      <c r="C1" s="469"/>
      <c r="D1" s="239" t="s">
        <v>95</v>
      </c>
      <c r="E1" s="239">
        <v>2020</v>
      </c>
      <c r="F1" s="239">
        <v>2021</v>
      </c>
      <c r="G1" s="238">
        <v>2022</v>
      </c>
      <c r="H1" s="238">
        <v>2023</v>
      </c>
      <c r="I1" s="349" t="s">
        <v>697</v>
      </c>
      <c r="J1" s="238" t="s">
        <v>602</v>
      </c>
      <c r="K1" s="238" t="s">
        <v>603</v>
      </c>
      <c r="L1" s="238" t="s">
        <v>604</v>
      </c>
      <c r="M1" s="349" t="s">
        <v>627</v>
      </c>
      <c r="N1" s="238">
        <v>2020</v>
      </c>
      <c r="O1" s="238">
        <v>2021</v>
      </c>
      <c r="P1" s="408">
        <v>2022</v>
      </c>
      <c r="Q1" s="238">
        <v>2023</v>
      </c>
      <c r="T1" s="233">
        <v>2020</v>
      </c>
      <c r="U1" s="233">
        <v>2021</v>
      </c>
      <c r="V1" s="233">
        <v>2022</v>
      </c>
      <c r="W1" s="233">
        <v>2023</v>
      </c>
    </row>
    <row r="2" spans="1:23" s="241" customFormat="1" ht="15" customHeight="1" thickTop="1" x14ac:dyDescent="0.3">
      <c r="A2" s="470" t="s">
        <v>617</v>
      </c>
      <c r="B2" s="471"/>
      <c r="C2" s="472"/>
      <c r="D2" s="308">
        <v>1</v>
      </c>
      <c r="E2" s="309">
        <v>89668940.871988848</v>
      </c>
      <c r="F2" s="309">
        <v>218197361.86873713</v>
      </c>
      <c r="G2" s="309">
        <v>325334919</v>
      </c>
      <c r="H2" s="310">
        <v>372208414</v>
      </c>
      <c r="J2" s="272">
        <f>(F2-E2)/E2</f>
        <v>1.4333661103484554</v>
      </c>
      <c r="K2" s="273">
        <f t="shared" ref="K2:L2" si="0">(G2-F2)/F2</f>
        <v>0.49101215621348593</v>
      </c>
      <c r="L2" s="274">
        <f t="shared" si="0"/>
        <v>0.1440776635476993</v>
      </c>
      <c r="N2" s="272">
        <f>E2/$E$54</f>
        <v>0.96944886808316388</v>
      </c>
      <c r="O2" s="273">
        <f>F2/$F$54</f>
        <v>0.97862882002867202</v>
      </c>
      <c r="P2" s="273">
        <f>G2/$G$54</f>
        <v>0.98003451682819254</v>
      </c>
      <c r="Q2" s="274">
        <f>H2/$H$54</f>
        <v>0.99167474830900693</v>
      </c>
      <c r="S2" s="241" t="s">
        <v>639</v>
      </c>
      <c r="T2" s="401">
        <v>89668940.871988848</v>
      </c>
      <c r="U2" s="401">
        <v>218197361.86873713</v>
      </c>
      <c r="V2" s="401">
        <v>325334919</v>
      </c>
      <c r="W2" s="401">
        <v>372208414</v>
      </c>
    </row>
    <row r="3" spans="1:23" s="241" customFormat="1" ht="15" customHeight="1" x14ac:dyDescent="0.3">
      <c r="A3" s="452" t="s">
        <v>96</v>
      </c>
      <c r="B3" s="453"/>
      <c r="C3" s="454"/>
      <c r="D3" s="242">
        <v>2</v>
      </c>
      <c r="E3" s="243">
        <v>0</v>
      </c>
      <c r="F3" s="243">
        <v>0</v>
      </c>
      <c r="G3" s="243">
        <v>0</v>
      </c>
      <c r="H3" s="244">
        <v>0</v>
      </c>
      <c r="J3" s="245"/>
      <c r="K3" s="246"/>
      <c r="L3" s="247"/>
      <c r="N3" s="245">
        <f t="shared" ref="N3:N7" si="1">E3/$E$54</f>
        <v>0</v>
      </c>
      <c r="O3" s="246">
        <f t="shared" ref="O3:O7" si="2">F3/$F$54</f>
        <v>0</v>
      </c>
      <c r="P3" s="246">
        <f t="shared" ref="P3:P7" si="3">G3/$G$54</f>
        <v>0</v>
      </c>
      <c r="Q3" s="247">
        <f t="shared" ref="Q3:Q7" si="4">H3/$H$54</f>
        <v>0</v>
      </c>
      <c r="T3" s="401"/>
      <c r="U3" s="401"/>
      <c r="V3" s="401"/>
      <c r="W3" s="401"/>
    </row>
    <row r="4" spans="1:23" s="241" customFormat="1" ht="15" customHeight="1" x14ac:dyDescent="0.3">
      <c r="A4" s="452" t="s">
        <v>97</v>
      </c>
      <c r="B4" s="453"/>
      <c r="C4" s="454"/>
      <c r="D4" s="242">
        <v>3</v>
      </c>
      <c r="E4" s="243">
        <v>85271545.158935562</v>
      </c>
      <c r="F4" s="243">
        <v>213037077.4437587</v>
      </c>
      <c r="G4" s="243">
        <v>319483709</v>
      </c>
      <c r="H4" s="244">
        <v>365719180</v>
      </c>
      <c r="J4" s="245">
        <f t="shared" ref="J4:L62" si="5">(F4-E4)/E4</f>
        <v>1.498337247749927</v>
      </c>
      <c r="K4" s="246">
        <f t="shared" si="5"/>
        <v>0.49966246642837547</v>
      </c>
      <c r="L4" s="247">
        <f t="shared" si="5"/>
        <v>0.14471933841233828</v>
      </c>
      <c r="N4" s="245">
        <f t="shared" si="1"/>
        <v>0.92190676203086663</v>
      </c>
      <c r="O4" s="246">
        <f t="shared" si="2"/>
        <v>0.9554846215169277</v>
      </c>
      <c r="P4" s="246">
        <f t="shared" si="3"/>
        <v>0.96240841083613859</v>
      </c>
      <c r="Q4" s="247">
        <f t="shared" si="4"/>
        <v>0.97438548441378436</v>
      </c>
      <c r="T4" s="401"/>
      <c r="U4" s="401"/>
      <c r="V4" s="401"/>
      <c r="W4" s="401"/>
    </row>
    <row r="5" spans="1:23" s="241" customFormat="1" ht="15" customHeight="1" x14ac:dyDescent="0.3">
      <c r="A5" s="452" t="s">
        <v>98</v>
      </c>
      <c r="B5" s="453"/>
      <c r="C5" s="454"/>
      <c r="D5" s="242">
        <v>4</v>
      </c>
      <c r="E5" s="243">
        <v>61145.265113809808</v>
      </c>
      <c r="F5" s="243">
        <v>43265.77742385029</v>
      </c>
      <c r="G5" s="243">
        <v>55665</v>
      </c>
      <c r="H5" s="244">
        <v>83740</v>
      </c>
      <c r="J5" s="245">
        <f t="shared" si="5"/>
        <v>-0.29241001174302528</v>
      </c>
      <c r="K5" s="246">
        <f t="shared" si="5"/>
        <v>0.28658268299865636</v>
      </c>
      <c r="L5" s="247">
        <f t="shared" si="5"/>
        <v>0.50435641785682206</v>
      </c>
      <c r="N5" s="245">
        <f t="shared" si="1"/>
        <v>6.6106733810820722E-4</v>
      </c>
      <c r="O5" s="246">
        <f t="shared" si="2"/>
        <v>1.9404971877431447E-4</v>
      </c>
      <c r="P5" s="246">
        <f t="shared" si="3"/>
        <v>1.6768449432641856E-4</v>
      </c>
      <c r="Q5" s="247">
        <f t="shared" si="4"/>
        <v>2.2310845295237265E-4</v>
      </c>
      <c r="T5" s="401"/>
      <c r="U5" s="401"/>
      <c r="V5" s="401"/>
      <c r="W5" s="401"/>
    </row>
    <row r="6" spans="1:23" s="241" customFormat="1" ht="15" customHeight="1" x14ac:dyDescent="0.3">
      <c r="A6" s="452" t="s">
        <v>99</v>
      </c>
      <c r="B6" s="453"/>
      <c r="C6" s="454"/>
      <c r="D6" s="242">
        <v>5</v>
      </c>
      <c r="E6" s="243">
        <v>0</v>
      </c>
      <c r="F6" s="243">
        <v>0</v>
      </c>
      <c r="G6" s="243">
        <v>0</v>
      </c>
      <c r="H6" s="244">
        <v>0</v>
      </c>
      <c r="J6" s="245"/>
      <c r="K6" s="246"/>
      <c r="L6" s="247"/>
      <c r="N6" s="245">
        <f t="shared" si="1"/>
        <v>0</v>
      </c>
      <c r="O6" s="246">
        <f t="shared" si="2"/>
        <v>0</v>
      </c>
      <c r="P6" s="246">
        <f t="shared" si="3"/>
        <v>0</v>
      </c>
      <c r="Q6" s="247">
        <f t="shared" si="4"/>
        <v>0</v>
      </c>
      <c r="T6" s="401"/>
      <c r="U6" s="401"/>
      <c r="V6" s="401"/>
      <c r="W6" s="401"/>
    </row>
    <row r="7" spans="1:23" s="241" customFormat="1" ht="15" customHeight="1" x14ac:dyDescent="0.3">
      <c r="A7" s="452" t="s">
        <v>100</v>
      </c>
      <c r="B7" s="453"/>
      <c r="C7" s="454"/>
      <c r="D7" s="242">
        <v>6</v>
      </c>
      <c r="E7" s="243">
        <v>4336250.4479394779</v>
      </c>
      <c r="F7" s="243">
        <v>5117018.647554582</v>
      </c>
      <c r="G7" s="243">
        <v>5795545</v>
      </c>
      <c r="H7" s="244">
        <v>6405494</v>
      </c>
      <c r="J7" s="245">
        <f t="shared" si="5"/>
        <v>0.18005606663842805</v>
      </c>
      <c r="K7" s="246">
        <f t="shared" si="5"/>
        <v>0.13260189168348743</v>
      </c>
      <c r="L7" s="247">
        <f t="shared" si="5"/>
        <v>0.10524445932177215</v>
      </c>
      <c r="N7" s="245">
        <f t="shared" si="1"/>
        <v>4.6881038714189062E-2</v>
      </c>
      <c r="O7" s="246">
        <f t="shared" si="2"/>
        <v>2.2950148792970075E-2</v>
      </c>
      <c r="P7" s="246">
        <f t="shared" si="3"/>
        <v>1.7458421497727538E-2</v>
      </c>
      <c r="Q7" s="247">
        <f t="shared" si="4"/>
        <v>1.7066155442270185E-2</v>
      </c>
      <c r="T7" s="401"/>
      <c r="U7" s="401"/>
      <c r="V7" s="401"/>
      <c r="W7" s="401"/>
    </row>
    <row r="8" spans="1:23" s="241" customFormat="1" ht="15" customHeight="1" x14ac:dyDescent="0.3">
      <c r="A8" s="455" t="s">
        <v>618</v>
      </c>
      <c r="B8" s="456"/>
      <c r="C8" s="457"/>
      <c r="D8" s="305">
        <v>7</v>
      </c>
      <c r="E8" s="306">
        <v>142063176.05680534</v>
      </c>
      <c r="F8" s="306">
        <v>200017704.82447407</v>
      </c>
      <c r="G8" s="306">
        <v>294812890</v>
      </c>
      <c r="H8" s="307">
        <v>329806825</v>
      </c>
      <c r="J8" s="524">
        <f t="shared" si="5"/>
        <v>0.40794898703725335</v>
      </c>
      <c r="K8" s="525">
        <f t="shared" si="5"/>
        <v>0.47393397128875986</v>
      </c>
      <c r="L8" s="526">
        <f t="shared" si="5"/>
        <v>0.11869879570055435</v>
      </c>
      <c r="N8" s="524">
        <f>E8/$E$55</f>
        <v>0.89350530872960132</v>
      </c>
      <c r="O8" s="525">
        <f>F8/$F$55</f>
        <v>0.95476464330724475</v>
      </c>
      <c r="P8" s="525">
        <f>G8/$G$55</f>
        <v>0.96606190078354159</v>
      </c>
      <c r="Q8" s="526">
        <f>H8/$H$55</f>
        <v>0.96465061823494624</v>
      </c>
      <c r="S8" s="241" t="s">
        <v>640</v>
      </c>
      <c r="T8" s="401">
        <v>2825819.6297033643</v>
      </c>
      <c r="U8" s="401">
        <v>4692239.9628376132</v>
      </c>
      <c r="V8" s="401">
        <v>6627796</v>
      </c>
      <c r="W8" s="401">
        <v>3124743</v>
      </c>
    </row>
    <row r="9" spans="1:23" s="241" customFormat="1" ht="15" hidden="1" customHeight="1" x14ac:dyDescent="0.3">
      <c r="A9" s="452" t="s">
        <v>101</v>
      </c>
      <c r="B9" s="453"/>
      <c r="C9" s="454"/>
      <c r="D9" s="242">
        <v>8</v>
      </c>
      <c r="E9" s="243">
        <v>0</v>
      </c>
      <c r="F9" s="243">
        <v>0</v>
      </c>
      <c r="G9" s="243">
        <v>0</v>
      </c>
      <c r="H9" s="244">
        <v>0</v>
      </c>
      <c r="J9" s="245"/>
      <c r="K9" s="246"/>
      <c r="L9" s="247"/>
      <c r="N9" s="245">
        <f t="shared" ref="N9:N30" si="6">E9/$E$55</f>
        <v>0</v>
      </c>
      <c r="O9" s="246">
        <f t="shared" ref="O9:O30" si="7">F9/$F$55</f>
        <v>0</v>
      </c>
      <c r="P9" s="246">
        <f t="shared" ref="P9:P30" si="8">G9/$G$55</f>
        <v>0</v>
      </c>
      <c r="Q9" s="247">
        <f t="shared" ref="Q9:Q30" si="9">H9/$H$55</f>
        <v>0</v>
      </c>
      <c r="T9" s="401"/>
      <c r="U9" s="401"/>
      <c r="V9" s="401"/>
      <c r="W9" s="401"/>
    </row>
    <row r="10" spans="1:23" s="241" customFormat="1" ht="15" customHeight="1" x14ac:dyDescent="0.3">
      <c r="A10" s="461" t="s">
        <v>102</v>
      </c>
      <c r="B10" s="462"/>
      <c r="C10" s="463"/>
      <c r="D10" s="248">
        <v>9</v>
      </c>
      <c r="E10" s="249">
        <v>33796933.837680005</v>
      </c>
      <c r="F10" s="249">
        <v>60821842.192580789</v>
      </c>
      <c r="G10" s="249">
        <v>103272959</v>
      </c>
      <c r="H10" s="250">
        <v>118247660</v>
      </c>
      <c r="J10" s="398">
        <f t="shared" si="5"/>
        <v>0.79962603958974743</v>
      </c>
      <c r="K10" s="399">
        <f t="shared" si="5"/>
        <v>0.69795841883588183</v>
      </c>
      <c r="L10" s="400">
        <f t="shared" si="5"/>
        <v>0.14500118080280822</v>
      </c>
      <c r="N10" s="398">
        <f t="shared" si="6"/>
        <v>0.21256556865007242</v>
      </c>
      <c r="O10" s="399">
        <f t="shared" si="7"/>
        <v>0.29032702138667599</v>
      </c>
      <c r="P10" s="399">
        <f t="shared" si="8"/>
        <v>0.33841149574932344</v>
      </c>
      <c r="Q10" s="400">
        <f t="shared" si="9"/>
        <v>0.34586209161631426</v>
      </c>
      <c r="S10" s="241" t="s">
        <v>592</v>
      </c>
      <c r="T10" s="401">
        <v>0</v>
      </c>
      <c r="U10" s="401">
        <v>72728.117326962631</v>
      </c>
      <c r="V10" s="401">
        <v>0</v>
      </c>
      <c r="W10" s="401">
        <v>0</v>
      </c>
    </row>
    <row r="11" spans="1:23" s="241" customFormat="1" ht="15" customHeight="1" x14ac:dyDescent="0.3">
      <c r="A11" s="464" t="s">
        <v>103</v>
      </c>
      <c r="B11" s="465"/>
      <c r="C11" s="466"/>
      <c r="D11" s="251">
        <v>10</v>
      </c>
      <c r="E11" s="252">
        <v>18163841.528966751</v>
      </c>
      <c r="F11" s="252">
        <v>33463726.458291855</v>
      </c>
      <c r="G11" s="252">
        <v>65490646</v>
      </c>
      <c r="H11" s="253">
        <v>69301049</v>
      </c>
      <c r="J11" s="245">
        <f t="shared" si="5"/>
        <v>0.84232649271497118</v>
      </c>
      <c r="K11" s="246">
        <f t="shared" si="5"/>
        <v>0.95706375025583301</v>
      </c>
      <c r="L11" s="247">
        <f t="shared" si="5"/>
        <v>5.8182400582825221E-2</v>
      </c>
      <c r="N11" s="245">
        <f t="shared" si="6"/>
        <v>0.11424134869802904</v>
      </c>
      <c r="O11" s="246">
        <f t="shared" si="7"/>
        <v>0.15973577380922355</v>
      </c>
      <c r="P11" s="246">
        <f t="shared" si="8"/>
        <v>0.2146039746033562</v>
      </c>
      <c r="Q11" s="247">
        <f t="shared" si="9"/>
        <v>0.20269835156437499</v>
      </c>
      <c r="T11" s="401"/>
      <c r="U11" s="401"/>
      <c r="V11" s="401"/>
      <c r="W11" s="401"/>
    </row>
    <row r="12" spans="1:23" s="241" customFormat="1" ht="15" customHeight="1" thickBot="1" x14ac:dyDescent="0.35">
      <c r="A12" s="464" t="s">
        <v>104</v>
      </c>
      <c r="B12" s="465"/>
      <c r="C12" s="466"/>
      <c r="D12" s="251">
        <v>11</v>
      </c>
      <c r="E12" s="252">
        <v>571564.93463401683</v>
      </c>
      <c r="F12" s="252">
        <v>1385726.7237374743</v>
      </c>
      <c r="G12" s="252">
        <v>2224501</v>
      </c>
      <c r="H12" s="253">
        <v>2690545</v>
      </c>
      <c r="J12" s="245">
        <f t="shared" si="5"/>
        <v>1.4244432080578555</v>
      </c>
      <c r="K12" s="246">
        <f t="shared" si="5"/>
        <v>0.60529559103850505</v>
      </c>
      <c r="L12" s="247">
        <f t="shared" si="5"/>
        <v>0.20950496313555264</v>
      </c>
      <c r="N12" s="245">
        <f t="shared" si="6"/>
        <v>3.5948534838822323E-3</v>
      </c>
      <c r="O12" s="246">
        <f t="shared" si="7"/>
        <v>6.6146288513387625E-3</v>
      </c>
      <c r="P12" s="246">
        <f t="shared" si="8"/>
        <v>7.2893884129519877E-3</v>
      </c>
      <c r="Q12" s="247">
        <f t="shared" si="9"/>
        <v>7.8695639413736921E-3</v>
      </c>
      <c r="T12" s="401"/>
      <c r="U12" s="401"/>
      <c r="V12" s="401"/>
      <c r="W12" s="401"/>
    </row>
    <row r="13" spans="1:23" s="241" customFormat="1" ht="15" customHeight="1" thickTop="1" thickBot="1" x14ac:dyDescent="0.35">
      <c r="A13" s="464" t="s">
        <v>105</v>
      </c>
      <c r="B13" s="465"/>
      <c r="C13" s="466"/>
      <c r="D13" s="251">
        <v>12</v>
      </c>
      <c r="E13" s="252">
        <v>15061527.374079235</v>
      </c>
      <c r="F13" s="252">
        <v>25972389.01055146</v>
      </c>
      <c r="G13" s="252">
        <v>35557812</v>
      </c>
      <c r="H13" s="253">
        <v>46256066</v>
      </c>
      <c r="J13" s="245">
        <f t="shared" si="5"/>
        <v>0.72441933447265972</v>
      </c>
      <c r="K13" s="246">
        <f t="shared" si="5"/>
        <v>0.36906204452560742</v>
      </c>
      <c r="L13" s="247">
        <f t="shared" si="5"/>
        <v>0.3008692998320594</v>
      </c>
      <c r="N13" s="245">
        <f t="shared" si="6"/>
        <v>9.472936646816113E-2</v>
      </c>
      <c r="O13" s="246">
        <f t="shared" si="7"/>
        <v>0.12397661872611367</v>
      </c>
      <c r="P13" s="246">
        <f t="shared" si="8"/>
        <v>0.11651813273301524</v>
      </c>
      <c r="Q13" s="247">
        <f t="shared" si="9"/>
        <v>0.13529417611056554</v>
      </c>
      <c r="T13" s="233">
        <v>2020</v>
      </c>
      <c r="U13" s="233">
        <v>2021</v>
      </c>
      <c r="V13" s="233">
        <v>2022</v>
      </c>
      <c r="W13" s="233">
        <v>2023</v>
      </c>
    </row>
    <row r="14" spans="1:23" s="241" customFormat="1" ht="15" customHeight="1" thickTop="1" x14ac:dyDescent="0.3">
      <c r="A14" s="461" t="s">
        <v>106</v>
      </c>
      <c r="B14" s="462"/>
      <c r="C14" s="463"/>
      <c r="D14" s="248">
        <v>13</v>
      </c>
      <c r="E14" s="249">
        <v>25210842.524387814</v>
      </c>
      <c r="F14" s="249">
        <v>46874498.63959121</v>
      </c>
      <c r="G14" s="249">
        <v>91642157</v>
      </c>
      <c r="H14" s="250">
        <v>104577058</v>
      </c>
      <c r="J14" s="398">
        <f t="shared" si="5"/>
        <v>0.85929917234011388</v>
      </c>
      <c r="K14" s="399">
        <f t="shared" si="5"/>
        <v>0.95505359331133333</v>
      </c>
      <c r="L14" s="400">
        <f t="shared" si="5"/>
        <v>0.14114575020315159</v>
      </c>
      <c r="N14" s="398">
        <f t="shared" si="6"/>
        <v>0.15856341001470534</v>
      </c>
      <c r="O14" s="399">
        <f t="shared" si="7"/>
        <v>0.22375076252929355</v>
      </c>
      <c r="P14" s="399">
        <f t="shared" si="8"/>
        <v>0.30029893327704815</v>
      </c>
      <c r="Q14" s="400">
        <f t="shared" si="9"/>
        <v>0.30587700437336862</v>
      </c>
      <c r="S14" s="241" t="s">
        <v>642</v>
      </c>
      <c r="T14" s="401">
        <v>142063176.05680501</v>
      </c>
      <c r="U14" s="401">
        <v>200017704.82447401</v>
      </c>
      <c r="V14" s="401">
        <v>294812890</v>
      </c>
      <c r="W14" s="401">
        <v>329806825</v>
      </c>
    </row>
    <row r="15" spans="1:23" s="241" customFormat="1" ht="15" customHeight="1" x14ac:dyDescent="0.3">
      <c r="A15" s="464" t="s">
        <v>107</v>
      </c>
      <c r="B15" s="465"/>
      <c r="C15" s="466"/>
      <c r="D15" s="251">
        <v>14</v>
      </c>
      <c r="E15" s="252">
        <v>16197953.414294245</v>
      </c>
      <c r="F15" s="252">
        <v>28945100.006636139</v>
      </c>
      <c r="G15" s="252">
        <v>59340875</v>
      </c>
      <c r="H15" s="253">
        <v>65192504</v>
      </c>
      <c r="J15" s="245">
        <f t="shared" si="5"/>
        <v>0.78696031938781175</v>
      </c>
      <c r="K15" s="246">
        <f t="shared" si="5"/>
        <v>1.0501181542435551</v>
      </c>
      <c r="L15" s="247">
        <f t="shared" si="5"/>
        <v>9.8610426624143988E-2</v>
      </c>
      <c r="N15" s="245">
        <f t="shared" si="6"/>
        <v>0.10187690975203544</v>
      </c>
      <c r="O15" s="246">
        <f t="shared" si="7"/>
        <v>0.13816655934323563</v>
      </c>
      <c r="P15" s="246">
        <f t="shared" si="8"/>
        <v>0.19445200817596051</v>
      </c>
      <c r="Q15" s="247">
        <f t="shared" si="9"/>
        <v>0.19068128528839329</v>
      </c>
      <c r="S15" s="241" t="s">
        <v>641</v>
      </c>
      <c r="T15" s="401">
        <v>16714018.581193199</v>
      </c>
      <c r="U15" s="401">
        <v>9457380.3172075097</v>
      </c>
      <c r="V15" s="401">
        <v>9869933</v>
      </c>
      <c r="W15" s="401">
        <v>11158639</v>
      </c>
    </row>
    <row r="16" spans="1:23" s="241" customFormat="1" ht="15" customHeight="1" x14ac:dyDescent="0.3">
      <c r="A16" s="464" t="s">
        <v>108</v>
      </c>
      <c r="B16" s="465"/>
      <c r="C16" s="466"/>
      <c r="D16" s="251">
        <v>15</v>
      </c>
      <c r="E16" s="252">
        <v>6141176.7204194041</v>
      </c>
      <c r="F16" s="252">
        <v>11784373.614705687</v>
      </c>
      <c r="G16" s="252">
        <v>21287275</v>
      </c>
      <c r="H16" s="253">
        <v>25746359</v>
      </c>
      <c r="J16" s="245">
        <f t="shared" si="5"/>
        <v>0.91891133429244287</v>
      </c>
      <c r="K16" s="246">
        <f t="shared" si="5"/>
        <v>0.80639851518587868</v>
      </c>
      <c r="L16" s="247">
        <f t="shared" si="5"/>
        <v>0.20947180886233677</v>
      </c>
      <c r="N16" s="245">
        <f t="shared" si="6"/>
        <v>3.8624886151688458E-2</v>
      </c>
      <c r="O16" s="246">
        <f t="shared" si="7"/>
        <v>5.6251536736297347E-2</v>
      </c>
      <c r="P16" s="246">
        <f t="shared" si="8"/>
        <v>6.9755516283572155E-2</v>
      </c>
      <c r="Q16" s="247">
        <f t="shared" si="9"/>
        <v>7.530541894228196E-2</v>
      </c>
      <c r="S16" s="241" t="s">
        <v>593</v>
      </c>
      <c r="T16" s="401">
        <v>218140.55345411101</v>
      </c>
      <c r="U16" s="401">
        <v>19166.8989315814</v>
      </c>
      <c r="V16" s="401">
        <v>486949</v>
      </c>
      <c r="W16" s="401">
        <v>927050</v>
      </c>
    </row>
    <row r="17" spans="1:17" s="241" customFormat="1" ht="15" customHeight="1" x14ac:dyDescent="0.3">
      <c r="A17" s="464" t="s">
        <v>109</v>
      </c>
      <c r="B17" s="465"/>
      <c r="C17" s="466"/>
      <c r="D17" s="251">
        <v>16</v>
      </c>
      <c r="E17" s="252">
        <v>2871712.3896741653</v>
      </c>
      <c r="F17" s="252">
        <v>6145025.018249386</v>
      </c>
      <c r="G17" s="252">
        <v>11014007</v>
      </c>
      <c r="H17" s="253">
        <v>13638195</v>
      </c>
      <c r="J17" s="245">
        <f t="shared" si="5"/>
        <v>1.139846956939383</v>
      </c>
      <c r="K17" s="246">
        <f t="shared" si="5"/>
        <v>0.7923453472184081</v>
      </c>
      <c r="L17" s="247">
        <f t="shared" si="5"/>
        <v>0.2382591549106515</v>
      </c>
      <c r="N17" s="245">
        <f t="shared" si="6"/>
        <v>1.8061614110981439E-2</v>
      </c>
      <c r="O17" s="246">
        <f t="shared" si="7"/>
        <v>2.9332666449760604E-2</v>
      </c>
      <c r="P17" s="246">
        <f t="shared" si="8"/>
        <v>3.6091408817515519E-2</v>
      </c>
      <c r="Q17" s="247">
        <f t="shared" si="9"/>
        <v>3.9890300142693381E-2</v>
      </c>
    </row>
    <row r="18" spans="1:17" s="241" customFormat="1" ht="15" customHeight="1" x14ac:dyDescent="0.3">
      <c r="A18" s="461" t="s">
        <v>110</v>
      </c>
      <c r="B18" s="462"/>
      <c r="C18" s="463"/>
      <c r="D18" s="248">
        <v>17</v>
      </c>
      <c r="E18" s="249">
        <v>65889447.740394183</v>
      </c>
      <c r="F18" s="249">
        <v>67335054.61543566</v>
      </c>
      <c r="G18" s="249">
        <v>66055469</v>
      </c>
      <c r="H18" s="250">
        <v>65778289</v>
      </c>
      <c r="J18" s="398">
        <f t="shared" si="5"/>
        <v>2.1939884528053705E-2</v>
      </c>
      <c r="K18" s="399">
        <f t="shared" si="5"/>
        <v>-1.9003260972217762E-2</v>
      </c>
      <c r="L18" s="400">
        <f t="shared" si="5"/>
        <v>-4.1961703428371692E-3</v>
      </c>
      <c r="N18" s="398">
        <f t="shared" si="6"/>
        <v>0.41441120056166464</v>
      </c>
      <c r="O18" s="399">
        <f t="shared" si="7"/>
        <v>0.32141719383490241</v>
      </c>
      <c r="P18" s="399">
        <f t="shared" si="8"/>
        <v>0.2164548230550174</v>
      </c>
      <c r="Q18" s="400">
        <f t="shared" si="9"/>
        <v>0.1923946454118618</v>
      </c>
    </row>
    <row r="19" spans="1:17" s="241" customFormat="1" ht="15" customHeight="1" x14ac:dyDescent="0.3">
      <c r="A19" s="461" t="s">
        <v>111</v>
      </c>
      <c r="B19" s="462"/>
      <c r="C19" s="463"/>
      <c r="D19" s="248">
        <v>18</v>
      </c>
      <c r="E19" s="249">
        <v>11825290.994757449</v>
      </c>
      <c r="F19" s="249">
        <v>17844699.980091579</v>
      </c>
      <c r="G19" s="249">
        <v>29812219</v>
      </c>
      <c r="H19" s="250">
        <v>36168890</v>
      </c>
      <c r="J19" s="398">
        <f t="shared" si="5"/>
        <v>0.50902840259937254</v>
      </c>
      <c r="K19" s="399">
        <f t="shared" si="5"/>
        <v>0.67064837364931718</v>
      </c>
      <c r="L19" s="400">
        <f t="shared" si="5"/>
        <v>0.21322367851920046</v>
      </c>
      <c r="N19" s="398">
        <f t="shared" si="6"/>
        <v>7.4375081385363556E-2</v>
      </c>
      <c r="O19" s="399">
        <f t="shared" si="7"/>
        <v>8.5179902580965097E-2</v>
      </c>
      <c r="P19" s="399">
        <f t="shared" si="8"/>
        <v>9.7690602855645875E-2</v>
      </c>
      <c r="Q19" s="400">
        <f t="shared" si="9"/>
        <v>0.10579023675259529</v>
      </c>
    </row>
    <row r="20" spans="1:17" s="241" customFormat="1" ht="15" customHeight="1" x14ac:dyDescent="0.3">
      <c r="A20" s="461" t="s">
        <v>112</v>
      </c>
      <c r="B20" s="462"/>
      <c r="C20" s="463"/>
      <c r="D20" s="248">
        <v>19</v>
      </c>
      <c r="E20" s="249">
        <v>200398.03570243545</v>
      </c>
      <c r="F20" s="249">
        <v>221605.14964496647</v>
      </c>
      <c r="G20" s="249">
        <v>35645</v>
      </c>
      <c r="H20" s="250">
        <v>36573</v>
      </c>
      <c r="J20" s="398">
        <f t="shared" si="5"/>
        <v>0.105824959152897</v>
      </c>
      <c r="K20" s="399">
        <f t="shared" si="5"/>
        <v>-0.83915084980151933</v>
      </c>
      <c r="L20" s="400">
        <f t="shared" si="5"/>
        <v>2.6034506943470332E-2</v>
      </c>
      <c r="N20" s="398">
        <f t="shared" si="6"/>
        <v>1.2604019826187236E-3</v>
      </c>
      <c r="O20" s="399">
        <f t="shared" si="7"/>
        <v>1.0578101665624957E-3</v>
      </c>
      <c r="P20" s="399">
        <f t="shared" si="8"/>
        <v>1.1680383599722976E-4</v>
      </c>
      <c r="Q20" s="400">
        <f t="shared" si="9"/>
        <v>1.069722164200413E-4</v>
      </c>
    </row>
    <row r="21" spans="1:17" s="241" customFormat="1" ht="15" hidden="1" customHeight="1" x14ac:dyDescent="0.3">
      <c r="A21" s="458" t="s">
        <v>113</v>
      </c>
      <c r="B21" s="459"/>
      <c r="C21" s="460"/>
      <c r="D21" s="242">
        <v>20</v>
      </c>
      <c r="E21" s="243">
        <v>0</v>
      </c>
      <c r="F21" s="243">
        <v>0</v>
      </c>
      <c r="G21" s="243">
        <v>0</v>
      </c>
      <c r="H21" s="244">
        <v>0</v>
      </c>
      <c r="J21" s="245"/>
      <c r="K21" s="246"/>
      <c r="L21" s="247"/>
      <c r="N21" s="245">
        <f t="shared" si="6"/>
        <v>0</v>
      </c>
      <c r="O21" s="246">
        <f t="shared" si="7"/>
        <v>0</v>
      </c>
      <c r="P21" s="246">
        <f t="shared" si="8"/>
        <v>0</v>
      </c>
      <c r="Q21" s="247">
        <f t="shared" si="9"/>
        <v>0</v>
      </c>
    </row>
    <row r="22" spans="1:17" s="241" customFormat="1" ht="15" hidden="1" customHeight="1" x14ac:dyDescent="0.3">
      <c r="A22" s="458" t="s">
        <v>114</v>
      </c>
      <c r="B22" s="459"/>
      <c r="C22" s="460"/>
      <c r="D22" s="242">
        <v>21</v>
      </c>
      <c r="E22" s="243">
        <v>200398.03570243545</v>
      </c>
      <c r="F22" s="243">
        <v>221605.14964496647</v>
      </c>
      <c r="G22" s="243">
        <v>35645</v>
      </c>
      <c r="H22" s="244">
        <v>36573</v>
      </c>
      <c r="J22" s="245">
        <f t="shared" si="5"/>
        <v>0.105824959152897</v>
      </c>
      <c r="K22" s="246">
        <f t="shared" si="5"/>
        <v>-0.83915084980151933</v>
      </c>
      <c r="L22" s="247">
        <f t="shared" si="5"/>
        <v>2.6034506943470332E-2</v>
      </c>
      <c r="N22" s="245">
        <f t="shared" si="6"/>
        <v>1.2604019826187236E-3</v>
      </c>
      <c r="O22" s="246">
        <f t="shared" si="7"/>
        <v>1.0578101665624957E-3</v>
      </c>
      <c r="P22" s="246">
        <f t="shared" si="8"/>
        <v>1.1680383599722976E-4</v>
      </c>
      <c r="Q22" s="247">
        <f t="shared" si="9"/>
        <v>1.069722164200413E-4</v>
      </c>
    </row>
    <row r="23" spans="1:17" s="241" customFormat="1" ht="15" customHeight="1" x14ac:dyDescent="0.3">
      <c r="A23" s="461" t="s">
        <v>115</v>
      </c>
      <c r="B23" s="462"/>
      <c r="C23" s="463"/>
      <c r="D23" s="248">
        <v>22</v>
      </c>
      <c r="E23" s="249">
        <v>3811004.3134912732</v>
      </c>
      <c r="F23" s="249">
        <v>5350475.4130997406</v>
      </c>
      <c r="G23" s="249">
        <v>2647621</v>
      </c>
      <c r="H23" s="250">
        <v>1557229</v>
      </c>
      <c r="J23" s="398">
        <f t="shared" si="5"/>
        <v>0.40395417401093231</v>
      </c>
      <c r="K23" s="399">
        <f t="shared" si="5"/>
        <v>-0.50516154255792955</v>
      </c>
      <c r="L23" s="400">
        <f t="shared" si="5"/>
        <v>-0.41183840134218608</v>
      </c>
      <c r="N23" s="398">
        <f t="shared" si="6"/>
        <v>2.3969283808875842E-2</v>
      </c>
      <c r="O23" s="399">
        <f t="shared" si="7"/>
        <v>2.5539962843765668E-2</v>
      </c>
      <c r="P23" s="399">
        <f t="shared" si="8"/>
        <v>8.6758953308127777E-3</v>
      </c>
      <c r="Q23" s="400">
        <f t="shared" si="9"/>
        <v>4.5547326608034481E-3</v>
      </c>
    </row>
    <row r="24" spans="1:17" s="241" customFormat="1" ht="15" hidden="1" customHeight="1" x14ac:dyDescent="0.3">
      <c r="A24" s="458" t="s">
        <v>116</v>
      </c>
      <c r="B24" s="459"/>
      <c r="C24" s="460"/>
      <c r="D24" s="242">
        <v>23</v>
      </c>
      <c r="E24" s="243">
        <v>2533836.0873316079</v>
      </c>
      <c r="F24" s="243">
        <v>1248194.3061915189</v>
      </c>
      <c r="G24" s="243">
        <v>390819</v>
      </c>
      <c r="H24" s="244">
        <v>1294383</v>
      </c>
      <c r="J24" s="245">
        <f t="shared" si="5"/>
        <v>-0.50738948251936966</v>
      </c>
      <c r="K24" s="246">
        <f t="shared" si="5"/>
        <v>-0.68689249897921423</v>
      </c>
      <c r="L24" s="247">
        <f t="shared" si="5"/>
        <v>2.3119756204278707</v>
      </c>
      <c r="N24" s="245">
        <f t="shared" si="6"/>
        <v>1.5936543573938911E-2</v>
      </c>
      <c r="O24" s="246">
        <f t="shared" si="7"/>
        <v>5.9581315192816856E-3</v>
      </c>
      <c r="P24" s="246">
        <f t="shared" si="8"/>
        <v>1.2806609168354985E-3</v>
      </c>
      <c r="Q24" s="247">
        <f t="shared" si="9"/>
        <v>3.7859354826353408E-3</v>
      </c>
    </row>
    <row r="25" spans="1:17" s="241" customFormat="1" ht="15" hidden="1" customHeight="1" x14ac:dyDescent="0.3">
      <c r="A25" s="458" t="s">
        <v>117</v>
      </c>
      <c r="B25" s="459"/>
      <c r="C25" s="460"/>
      <c r="D25" s="242">
        <v>24</v>
      </c>
      <c r="E25" s="243">
        <v>0</v>
      </c>
      <c r="F25" s="243">
        <v>0</v>
      </c>
      <c r="G25" s="243">
        <v>0</v>
      </c>
      <c r="H25" s="244">
        <v>0</v>
      </c>
      <c r="J25" s="245"/>
      <c r="K25" s="246"/>
      <c r="L25" s="247"/>
      <c r="N25" s="245">
        <f t="shared" si="6"/>
        <v>0</v>
      </c>
      <c r="O25" s="246">
        <f t="shared" si="7"/>
        <v>0</v>
      </c>
      <c r="P25" s="246">
        <f t="shared" si="8"/>
        <v>0</v>
      </c>
      <c r="Q25" s="247">
        <f t="shared" si="9"/>
        <v>0</v>
      </c>
    </row>
    <row r="26" spans="1:17" s="241" customFormat="1" ht="15" hidden="1" customHeight="1" x14ac:dyDescent="0.3">
      <c r="A26" s="458" t="s">
        <v>118</v>
      </c>
      <c r="B26" s="459"/>
      <c r="C26" s="460"/>
      <c r="D26" s="242">
        <v>25</v>
      </c>
      <c r="E26" s="243">
        <v>1277168.2261596655</v>
      </c>
      <c r="F26" s="243">
        <v>364239.29922357155</v>
      </c>
      <c r="G26" s="243">
        <v>163879</v>
      </c>
      <c r="H26" s="244">
        <v>262846</v>
      </c>
      <c r="J26" s="245">
        <f t="shared" si="5"/>
        <v>-0.71480710859930519</v>
      </c>
      <c r="K26" s="246">
        <f t="shared" si="5"/>
        <v>-0.55007875221226354</v>
      </c>
      <c r="L26" s="247">
        <f t="shared" si="5"/>
        <v>0.60390287956358046</v>
      </c>
      <c r="N26" s="245">
        <f t="shared" si="6"/>
        <v>8.032740234936931E-3</v>
      </c>
      <c r="O26" s="246">
        <f t="shared" si="7"/>
        <v>1.7386601096480636E-3</v>
      </c>
      <c r="P26" s="246">
        <f t="shared" si="8"/>
        <v>5.3700928150904803E-4</v>
      </c>
      <c r="Q26" s="247">
        <f t="shared" si="9"/>
        <v>7.68797178168107E-4</v>
      </c>
    </row>
    <row r="27" spans="1:17" s="241" customFormat="1" ht="15" hidden="1" customHeight="1" x14ac:dyDescent="0.3">
      <c r="A27" s="458" t="s">
        <v>119</v>
      </c>
      <c r="B27" s="459"/>
      <c r="C27" s="460"/>
      <c r="D27" s="242">
        <v>26</v>
      </c>
      <c r="E27" s="243">
        <v>0</v>
      </c>
      <c r="F27" s="243">
        <v>0</v>
      </c>
      <c r="G27" s="243">
        <v>0</v>
      </c>
      <c r="H27" s="244">
        <v>0</v>
      </c>
      <c r="J27" s="245"/>
      <c r="K27" s="246"/>
      <c r="L27" s="247"/>
      <c r="N27" s="245">
        <f t="shared" si="6"/>
        <v>0</v>
      </c>
      <c r="O27" s="246">
        <f t="shared" si="7"/>
        <v>0</v>
      </c>
      <c r="P27" s="246">
        <f t="shared" si="8"/>
        <v>0</v>
      </c>
      <c r="Q27" s="247">
        <f t="shared" si="9"/>
        <v>0</v>
      </c>
    </row>
    <row r="28" spans="1:17" s="241" customFormat="1" ht="15" hidden="1" customHeight="1" x14ac:dyDescent="0.3">
      <c r="A28" s="458" t="s">
        <v>120</v>
      </c>
      <c r="B28" s="459"/>
      <c r="C28" s="460"/>
      <c r="D28" s="242">
        <v>27</v>
      </c>
      <c r="E28" s="243">
        <v>0</v>
      </c>
      <c r="F28" s="243">
        <v>0</v>
      </c>
      <c r="G28" s="243">
        <v>0</v>
      </c>
      <c r="H28" s="244">
        <v>0</v>
      </c>
      <c r="J28" s="245"/>
      <c r="K28" s="246"/>
      <c r="L28" s="247"/>
      <c r="N28" s="245">
        <f t="shared" si="6"/>
        <v>0</v>
      </c>
      <c r="O28" s="246">
        <f t="shared" si="7"/>
        <v>0</v>
      </c>
      <c r="P28" s="246">
        <f t="shared" si="8"/>
        <v>0</v>
      </c>
      <c r="Q28" s="247">
        <f t="shared" si="9"/>
        <v>0</v>
      </c>
    </row>
    <row r="29" spans="1:17" s="241" customFormat="1" ht="15" hidden="1" customHeight="1" x14ac:dyDescent="0.3">
      <c r="A29" s="458" t="s">
        <v>121</v>
      </c>
      <c r="B29" s="459"/>
      <c r="C29" s="460"/>
      <c r="D29" s="242">
        <v>28</v>
      </c>
      <c r="E29" s="243">
        <v>0</v>
      </c>
      <c r="F29" s="243">
        <v>3738041.8076846502</v>
      </c>
      <c r="G29" s="243">
        <v>2092923</v>
      </c>
      <c r="H29" s="244">
        <v>0</v>
      </c>
      <c r="J29" s="245"/>
      <c r="K29" s="246">
        <f t="shared" si="5"/>
        <v>-0.44010176780329796</v>
      </c>
      <c r="L29" s="247">
        <f t="shared" si="5"/>
        <v>-1</v>
      </c>
      <c r="N29" s="245">
        <f t="shared" si="6"/>
        <v>0</v>
      </c>
      <c r="O29" s="246">
        <f t="shared" si="7"/>
        <v>1.7843171214835921E-2</v>
      </c>
      <c r="P29" s="246">
        <f t="shared" si="8"/>
        <v>6.8582251324682316E-3</v>
      </c>
      <c r="Q29" s="247">
        <f t="shared" si="9"/>
        <v>0</v>
      </c>
    </row>
    <row r="30" spans="1:17" s="241" customFormat="1" ht="15" customHeight="1" x14ac:dyDescent="0.3">
      <c r="A30" s="461" t="s">
        <v>122</v>
      </c>
      <c r="B30" s="462"/>
      <c r="C30" s="463"/>
      <c r="D30" s="248">
        <v>29</v>
      </c>
      <c r="E30" s="249">
        <v>1329258.6103921959</v>
      </c>
      <c r="F30" s="249">
        <v>1569528.8340301281</v>
      </c>
      <c r="G30" s="249">
        <v>1346820</v>
      </c>
      <c r="H30" s="250">
        <v>3441126</v>
      </c>
      <c r="J30" s="398">
        <f t="shared" si="5"/>
        <v>0.18075506282937737</v>
      </c>
      <c r="K30" s="399">
        <f t="shared" si="5"/>
        <v>-0.14189534413220792</v>
      </c>
      <c r="L30" s="400">
        <f t="shared" si="5"/>
        <v>1.5550006682407449</v>
      </c>
      <c r="N30" s="398">
        <f t="shared" si="6"/>
        <v>8.3603623263008454E-3</v>
      </c>
      <c r="O30" s="399">
        <f t="shared" si="7"/>
        <v>7.4919899650795893E-3</v>
      </c>
      <c r="P30" s="399">
        <f t="shared" si="8"/>
        <v>4.4133466796967037E-3</v>
      </c>
      <c r="Q30" s="400">
        <f t="shared" si="9"/>
        <v>1.0064935203582726E-2</v>
      </c>
    </row>
    <row r="31" spans="1:17" s="241" customFormat="1" ht="15" customHeight="1" x14ac:dyDescent="0.3">
      <c r="A31" s="455" t="s">
        <v>606</v>
      </c>
      <c r="B31" s="456"/>
      <c r="C31" s="457"/>
      <c r="D31" s="305">
        <v>30</v>
      </c>
      <c r="E31" s="306">
        <v>2825819.6297033643</v>
      </c>
      <c r="F31" s="306">
        <v>4692239.9628376132</v>
      </c>
      <c r="G31" s="306">
        <v>6627796</v>
      </c>
      <c r="H31" s="307">
        <v>3124743</v>
      </c>
      <c r="I31" s="527"/>
      <c r="J31" s="524">
        <f t="shared" si="5"/>
        <v>0.66048813360751313</v>
      </c>
      <c r="K31" s="525">
        <f t="shared" si="5"/>
        <v>0.41250150301176564</v>
      </c>
      <c r="L31" s="526">
        <f t="shared" si="5"/>
        <v>-0.52853965330254582</v>
      </c>
      <c r="M31" s="527"/>
      <c r="N31" s="524">
        <f>E31/$E$54</f>
        <v>3.0551131916836151E-2</v>
      </c>
      <c r="O31" s="525">
        <f t="shared" ref="O31:Q31" si="10">F31/$E$54</f>
        <v>5.0729792016184182E-2</v>
      </c>
      <c r="P31" s="525">
        <f t="shared" si="10"/>
        <v>7.1655907470334429E-2</v>
      </c>
      <c r="Q31" s="526">
        <f t="shared" si="10"/>
        <v>3.3782918978884566E-2</v>
      </c>
    </row>
    <row r="32" spans="1:17" s="241" customFormat="1" ht="15" customHeight="1" x14ac:dyDescent="0.3">
      <c r="A32" s="452" t="s">
        <v>123</v>
      </c>
      <c r="B32" s="453"/>
      <c r="C32" s="454"/>
      <c r="D32" s="242">
        <v>31</v>
      </c>
      <c r="E32" s="528">
        <v>0</v>
      </c>
      <c r="F32" s="528">
        <v>0</v>
      </c>
      <c r="G32" s="528">
        <v>0</v>
      </c>
      <c r="H32" s="529">
        <v>0</v>
      </c>
      <c r="I32" s="527"/>
      <c r="J32" s="530"/>
      <c r="K32" s="531"/>
      <c r="L32" s="532"/>
      <c r="M32" s="527"/>
      <c r="N32" s="245">
        <f t="shared" ref="N32:N41" si="11">E32/$E$54</f>
        <v>0</v>
      </c>
      <c r="O32" s="246">
        <f t="shared" ref="O32:O41" si="12">F32/$E$54</f>
        <v>0</v>
      </c>
      <c r="P32" s="246">
        <f t="shared" ref="P32:P41" si="13">G32/$E$54</f>
        <v>0</v>
      </c>
      <c r="Q32" s="247">
        <f t="shared" ref="Q32:Q41" si="14">H32/$E$54</f>
        <v>0</v>
      </c>
    </row>
    <row r="33" spans="1:17" s="241" customFormat="1" ht="15" customHeight="1" x14ac:dyDescent="0.3">
      <c r="A33" s="452" t="s">
        <v>557</v>
      </c>
      <c r="B33" s="453"/>
      <c r="C33" s="454"/>
      <c r="D33" s="242">
        <v>32</v>
      </c>
      <c r="E33" s="528">
        <v>0</v>
      </c>
      <c r="F33" s="528">
        <v>0</v>
      </c>
      <c r="G33" s="528">
        <v>0</v>
      </c>
      <c r="H33" s="529">
        <v>0</v>
      </c>
      <c r="I33" s="527"/>
      <c r="J33" s="530"/>
      <c r="K33" s="531"/>
      <c r="L33" s="532"/>
      <c r="M33" s="527"/>
      <c r="N33" s="245">
        <f t="shared" si="11"/>
        <v>0</v>
      </c>
      <c r="O33" s="246">
        <f t="shared" si="12"/>
        <v>0</v>
      </c>
      <c r="P33" s="246">
        <f t="shared" si="13"/>
        <v>0</v>
      </c>
      <c r="Q33" s="247">
        <f t="shared" si="14"/>
        <v>0</v>
      </c>
    </row>
    <row r="34" spans="1:17" s="241" customFormat="1" ht="15" customHeight="1" x14ac:dyDescent="0.3">
      <c r="A34" s="452" t="s">
        <v>558</v>
      </c>
      <c r="B34" s="453"/>
      <c r="C34" s="454"/>
      <c r="D34" s="242">
        <v>33</v>
      </c>
      <c r="E34" s="528">
        <v>0</v>
      </c>
      <c r="F34" s="528">
        <v>0</v>
      </c>
      <c r="G34" s="528">
        <v>0</v>
      </c>
      <c r="H34" s="529">
        <v>0</v>
      </c>
      <c r="I34" s="527"/>
      <c r="J34" s="530"/>
      <c r="K34" s="531"/>
      <c r="L34" s="532"/>
      <c r="M34" s="527"/>
      <c r="N34" s="245">
        <f t="shared" si="11"/>
        <v>0</v>
      </c>
      <c r="O34" s="246">
        <f t="shared" si="12"/>
        <v>0</v>
      </c>
      <c r="P34" s="246">
        <f t="shared" si="13"/>
        <v>0</v>
      </c>
      <c r="Q34" s="247">
        <f t="shared" si="14"/>
        <v>0</v>
      </c>
    </row>
    <row r="35" spans="1:17" s="241" customFormat="1" ht="15" customHeight="1" x14ac:dyDescent="0.3">
      <c r="A35" s="452" t="s">
        <v>124</v>
      </c>
      <c r="B35" s="453"/>
      <c r="C35" s="454"/>
      <c r="D35" s="242">
        <v>34</v>
      </c>
      <c r="E35" s="528">
        <v>0</v>
      </c>
      <c r="F35" s="528">
        <v>0</v>
      </c>
      <c r="G35" s="528">
        <v>0</v>
      </c>
      <c r="H35" s="529">
        <v>0</v>
      </c>
      <c r="I35" s="527"/>
      <c r="J35" s="530"/>
      <c r="K35" s="531"/>
      <c r="L35" s="532"/>
      <c r="M35" s="527"/>
      <c r="N35" s="245">
        <f t="shared" si="11"/>
        <v>0</v>
      </c>
      <c r="O35" s="246">
        <f t="shared" si="12"/>
        <v>0</v>
      </c>
      <c r="P35" s="246">
        <f t="shared" si="13"/>
        <v>0</v>
      </c>
      <c r="Q35" s="247">
        <f t="shared" si="14"/>
        <v>0</v>
      </c>
    </row>
    <row r="36" spans="1:17" s="241" customFormat="1" ht="15" customHeight="1" x14ac:dyDescent="0.3">
      <c r="A36" s="452" t="s">
        <v>559</v>
      </c>
      <c r="B36" s="453"/>
      <c r="C36" s="454"/>
      <c r="D36" s="242">
        <v>35</v>
      </c>
      <c r="E36" s="528">
        <v>0</v>
      </c>
      <c r="F36" s="528">
        <v>0</v>
      </c>
      <c r="G36" s="528">
        <v>0</v>
      </c>
      <c r="H36" s="529">
        <v>0</v>
      </c>
      <c r="I36" s="527"/>
      <c r="J36" s="530"/>
      <c r="K36" s="531"/>
      <c r="L36" s="532"/>
      <c r="M36" s="527"/>
      <c r="N36" s="245">
        <f t="shared" si="11"/>
        <v>0</v>
      </c>
      <c r="O36" s="246">
        <f t="shared" si="12"/>
        <v>0</v>
      </c>
      <c r="P36" s="246">
        <f t="shared" si="13"/>
        <v>0</v>
      </c>
      <c r="Q36" s="247">
        <f t="shared" si="14"/>
        <v>0</v>
      </c>
    </row>
    <row r="37" spans="1:17" s="241" customFormat="1" ht="15" customHeight="1" x14ac:dyDescent="0.3">
      <c r="A37" s="452" t="s">
        <v>125</v>
      </c>
      <c r="B37" s="453"/>
      <c r="C37" s="454"/>
      <c r="D37" s="242">
        <v>36</v>
      </c>
      <c r="E37" s="528">
        <v>0</v>
      </c>
      <c r="F37" s="528">
        <v>0</v>
      </c>
      <c r="G37" s="528">
        <v>0</v>
      </c>
      <c r="H37" s="529">
        <v>0</v>
      </c>
      <c r="I37" s="527"/>
      <c r="J37" s="530"/>
      <c r="K37" s="531"/>
      <c r="L37" s="532"/>
      <c r="M37" s="527"/>
      <c r="N37" s="245">
        <f t="shared" si="11"/>
        <v>0</v>
      </c>
      <c r="O37" s="246">
        <f t="shared" si="12"/>
        <v>0</v>
      </c>
      <c r="P37" s="246">
        <f t="shared" si="13"/>
        <v>0</v>
      </c>
      <c r="Q37" s="247">
        <f t="shared" si="14"/>
        <v>0</v>
      </c>
    </row>
    <row r="38" spans="1:17" s="241" customFormat="1" ht="15" customHeight="1" x14ac:dyDescent="0.3">
      <c r="A38" s="452" t="s">
        <v>126</v>
      </c>
      <c r="B38" s="453"/>
      <c r="C38" s="454"/>
      <c r="D38" s="242">
        <v>37</v>
      </c>
      <c r="E38" s="528">
        <v>89526.710465193435</v>
      </c>
      <c r="F38" s="528">
        <v>40785.055411772511</v>
      </c>
      <c r="G38" s="528">
        <v>32948</v>
      </c>
      <c r="H38" s="529">
        <v>2381463</v>
      </c>
      <c r="I38" s="527"/>
      <c r="J38" s="530">
        <f t="shared" si="5"/>
        <v>-0.54443701550243939</v>
      </c>
      <c r="K38" s="531">
        <f t="shared" si="5"/>
        <v>-0.19215507574155125</v>
      </c>
      <c r="L38" s="532">
        <f t="shared" si="5"/>
        <v>71.279440330217312</v>
      </c>
      <c r="M38" s="527"/>
      <c r="N38" s="245">
        <f t="shared" si="11"/>
        <v>9.6791115496272387E-4</v>
      </c>
      <c r="O38" s="246">
        <f t="shared" si="12"/>
        <v>4.4094449448329933E-4</v>
      </c>
      <c r="P38" s="246">
        <f t="shared" si="13"/>
        <v>3.562147717480409E-4</v>
      </c>
      <c r="Q38" s="247">
        <f t="shared" si="14"/>
        <v>2.5747004339304505E-2</v>
      </c>
    </row>
    <row r="39" spans="1:17" s="241" customFormat="1" ht="15" customHeight="1" x14ac:dyDescent="0.3">
      <c r="A39" s="452" t="s">
        <v>127</v>
      </c>
      <c r="B39" s="453"/>
      <c r="C39" s="454"/>
      <c r="D39" s="242">
        <v>38</v>
      </c>
      <c r="E39" s="528">
        <v>118102.86017652132</v>
      </c>
      <c r="F39" s="528">
        <v>1550253.3678412635</v>
      </c>
      <c r="G39" s="528">
        <v>728936</v>
      </c>
      <c r="H39" s="529">
        <v>2873</v>
      </c>
      <c r="I39" s="527"/>
      <c r="J39" s="530">
        <f t="shared" si="5"/>
        <v>12.126298258350323</v>
      </c>
      <c r="K39" s="531">
        <f t="shared" si="5"/>
        <v>-0.52979557076205719</v>
      </c>
      <c r="L39" s="532">
        <f t="shared" si="5"/>
        <v>-0.99605863889285207</v>
      </c>
      <c r="M39" s="527"/>
      <c r="N39" s="245">
        <f t="shared" si="11"/>
        <v>1.2768600030523957E-3</v>
      </c>
      <c r="O39" s="246">
        <f t="shared" si="12"/>
        <v>1.6760445234223851E-2</v>
      </c>
      <c r="P39" s="246">
        <f t="shared" si="13"/>
        <v>7.8808355851320254E-3</v>
      </c>
      <c r="Q39" s="247">
        <f t="shared" si="14"/>
        <v>3.1061218867066939E-5</v>
      </c>
    </row>
    <row r="40" spans="1:17" s="241" customFormat="1" ht="15" customHeight="1" x14ac:dyDescent="0.3">
      <c r="A40" s="452" t="s">
        <v>128</v>
      </c>
      <c r="B40" s="453"/>
      <c r="C40" s="454"/>
      <c r="D40" s="242">
        <v>39</v>
      </c>
      <c r="E40" s="528">
        <v>0</v>
      </c>
      <c r="F40" s="528">
        <v>597725.52923219849</v>
      </c>
      <c r="G40" s="528">
        <v>5178202</v>
      </c>
      <c r="H40" s="529">
        <v>0</v>
      </c>
      <c r="I40" s="527"/>
      <c r="J40" s="530"/>
      <c r="K40" s="531">
        <f t="shared" si="5"/>
        <v>7.6631769043754927</v>
      </c>
      <c r="L40" s="532">
        <f t="shared" si="5"/>
        <v>-1</v>
      </c>
      <c r="M40" s="527"/>
      <c r="N40" s="245">
        <f t="shared" si="11"/>
        <v>0</v>
      </c>
      <c r="O40" s="246">
        <f t="shared" si="12"/>
        <v>6.4622636567750564E-3</v>
      </c>
      <c r="P40" s="246">
        <f t="shared" si="13"/>
        <v>5.5983733261358776E-2</v>
      </c>
      <c r="Q40" s="247">
        <f t="shared" si="14"/>
        <v>0</v>
      </c>
    </row>
    <row r="41" spans="1:17" s="241" customFormat="1" ht="15" customHeight="1" x14ac:dyDescent="0.3">
      <c r="A41" s="452" t="s">
        <v>129</v>
      </c>
      <c r="B41" s="453"/>
      <c r="C41" s="454"/>
      <c r="D41" s="242">
        <v>40</v>
      </c>
      <c r="E41" s="528">
        <v>2618190.0590616497</v>
      </c>
      <c r="F41" s="528">
        <v>2503476.0103523787</v>
      </c>
      <c r="G41" s="528">
        <v>687710</v>
      </c>
      <c r="H41" s="529">
        <v>740407</v>
      </c>
      <c r="I41" s="527"/>
      <c r="J41" s="530">
        <f t="shared" si="5"/>
        <v>-4.3814255696312636E-2</v>
      </c>
      <c r="K41" s="531">
        <f t="shared" si="5"/>
        <v>-0.72529794687219673</v>
      </c>
      <c r="L41" s="532">
        <f t="shared" si="5"/>
        <v>7.662677582120371E-2</v>
      </c>
      <c r="M41" s="527"/>
      <c r="N41" s="245">
        <f t="shared" si="11"/>
        <v>2.8306360758821029E-2</v>
      </c>
      <c r="O41" s="246">
        <f t="shared" si="12"/>
        <v>2.7066138630701977E-2</v>
      </c>
      <c r="P41" s="246">
        <f t="shared" si="13"/>
        <v>7.4351238520955817E-3</v>
      </c>
      <c r="Q41" s="247">
        <f t="shared" si="14"/>
        <v>8.004853420712995E-3</v>
      </c>
    </row>
    <row r="42" spans="1:17" s="241" customFormat="1" ht="15" customHeight="1" x14ac:dyDescent="0.3">
      <c r="A42" s="455" t="s">
        <v>607</v>
      </c>
      <c r="B42" s="456"/>
      <c r="C42" s="457"/>
      <c r="D42" s="305">
        <v>41</v>
      </c>
      <c r="E42" s="306">
        <v>16714018.581193177</v>
      </c>
      <c r="F42" s="306">
        <v>9457380.3172075115</v>
      </c>
      <c r="G42" s="306">
        <v>9869933</v>
      </c>
      <c r="H42" s="307">
        <v>11158639</v>
      </c>
      <c r="I42" s="527"/>
      <c r="J42" s="524">
        <f t="shared" si="5"/>
        <v>-0.43416478381512186</v>
      </c>
      <c r="K42" s="525">
        <f t="shared" si="5"/>
        <v>4.362230014604121E-2</v>
      </c>
      <c r="L42" s="526">
        <f t="shared" si="5"/>
        <v>0.1305688701230292</v>
      </c>
      <c r="M42" s="527"/>
      <c r="N42" s="524">
        <f>E42/$E$55</f>
        <v>0.10512269785190338</v>
      </c>
      <c r="O42" s="525">
        <f t="shared" ref="O42:Q42" si="15">F42/$E$55</f>
        <v>5.9482124464969373E-2</v>
      </c>
      <c r="P42" s="525">
        <f t="shared" si="15"/>
        <v>6.2076871551704445E-2</v>
      </c>
      <c r="Q42" s="526">
        <f t="shared" si="15"/>
        <v>7.0182178530982908E-2</v>
      </c>
    </row>
    <row r="43" spans="1:17" s="241" customFormat="1" ht="15" customHeight="1" x14ac:dyDescent="0.3">
      <c r="A43" s="452" t="s">
        <v>130</v>
      </c>
      <c r="B43" s="453"/>
      <c r="C43" s="454"/>
      <c r="D43" s="242">
        <v>42</v>
      </c>
      <c r="E43" s="243">
        <v>0</v>
      </c>
      <c r="F43" s="243">
        <v>0</v>
      </c>
      <c r="G43" s="243">
        <v>0</v>
      </c>
      <c r="H43" s="244">
        <v>0</v>
      </c>
      <c r="J43" s="245"/>
      <c r="K43" s="246"/>
      <c r="L43" s="247"/>
      <c r="N43" s="245">
        <f t="shared" ref="N43:N49" si="16">E43/$E$55</f>
        <v>0</v>
      </c>
      <c r="O43" s="246">
        <f t="shared" ref="O43:O49" si="17">F43/$E$55</f>
        <v>0</v>
      </c>
      <c r="P43" s="246">
        <f t="shared" ref="P43:P49" si="18">G43/$E$55</f>
        <v>0</v>
      </c>
      <c r="Q43" s="247">
        <f t="shared" ref="Q43:Q49" si="19">H43/$E$55</f>
        <v>0</v>
      </c>
    </row>
    <row r="44" spans="1:17" s="241" customFormat="1" ht="15" customHeight="1" x14ac:dyDescent="0.3">
      <c r="A44" s="452" t="s">
        <v>131</v>
      </c>
      <c r="B44" s="453"/>
      <c r="C44" s="454"/>
      <c r="D44" s="242">
        <v>43</v>
      </c>
      <c r="E44" s="243">
        <v>0</v>
      </c>
      <c r="F44" s="243">
        <v>0</v>
      </c>
      <c r="G44" s="243">
        <v>0</v>
      </c>
      <c r="H44" s="244">
        <v>0</v>
      </c>
      <c r="J44" s="245"/>
      <c r="K44" s="246"/>
      <c r="L44" s="247"/>
      <c r="N44" s="245">
        <f t="shared" si="16"/>
        <v>0</v>
      </c>
      <c r="O44" s="246">
        <f t="shared" si="17"/>
        <v>0</v>
      </c>
      <c r="P44" s="246">
        <f t="shared" si="18"/>
        <v>0</v>
      </c>
      <c r="Q44" s="247">
        <f t="shared" si="19"/>
        <v>0</v>
      </c>
    </row>
    <row r="45" spans="1:17" s="241" customFormat="1" ht="15" customHeight="1" x14ac:dyDescent="0.3">
      <c r="A45" s="452" t="s">
        <v>132</v>
      </c>
      <c r="B45" s="453"/>
      <c r="C45" s="454"/>
      <c r="D45" s="242">
        <v>44</v>
      </c>
      <c r="E45" s="243">
        <v>8369846.4397106636</v>
      </c>
      <c r="F45" s="243">
        <v>8794009.2905965894</v>
      </c>
      <c r="G45" s="243">
        <v>7898244</v>
      </c>
      <c r="H45" s="244">
        <v>8621199</v>
      </c>
      <c r="J45" s="245">
        <f t="shared" si="5"/>
        <v>5.067749497451815E-2</v>
      </c>
      <c r="K45" s="246">
        <f t="shared" si="5"/>
        <v>-0.10186085333733146</v>
      </c>
      <c r="L45" s="247">
        <f t="shared" si="5"/>
        <v>9.1533637097056003E-2</v>
      </c>
      <c r="N45" s="245">
        <f t="shared" si="16"/>
        <v>5.2642088081591806E-2</v>
      </c>
      <c r="O45" s="246">
        <f t="shared" si="17"/>
        <v>5.5309857235794818E-2</v>
      </c>
      <c r="P45" s="246">
        <f t="shared" si="18"/>
        <v>4.9675947979790781E-2</v>
      </c>
      <c r="Q45" s="247">
        <f t="shared" si="19"/>
        <v>5.4222968174625179E-2</v>
      </c>
    </row>
    <row r="46" spans="1:17" s="241" customFormat="1" ht="15" customHeight="1" x14ac:dyDescent="0.3">
      <c r="A46" s="452" t="s">
        <v>133</v>
      </c>
      <c r="B46" s="453"/>
      <c r="C46" s="454"/>
      <c r="D46" s="242">
        <v>45</v>
      </c>
      <c r="E46" s="243">
        <v>5563458.756387285</v>
      </c>
      <c r="F46" s="243">
        <v>0</v>
      </c>
      <c r="G46" s="243">
        <v>960284</v>
      </c>
      <c r="H46" s="244">
        <v>0</v>
      </c>
      <c r="J46" s="245">
        <f t="shared" si="5"/>
        <v>-1</v>
      </c>
      <c r="K46" s="246"/>
      <c r="L46" s="247">
        <f t="shared" si="5"/>
        <v>-1</v>
      </c>
      <c r="N46" s="245">
        <f t="shared" si="16"/>
        <v>3.4991333234324774E-2</v>
      </c>
      <c r="O46" s="246">
        <f t="shared" si="17"/>
        <v>0</v>
      </c>
      <c r="P46" s="246">
        <f t="shared" si="18"/>
        <v>6.0396992078018113E-3</v>
      </c>
      <c r="Q46" s="247">
        <f t="shared" si="19"/>
        <v>0</v>
      </c>
    </row>
    <row r="47" spans="1:17" s="241" customFormat="1" ht="15" customHeight="1" x14ac:dyDescent="0.3">
      <c r="A47" s="452" t="s">
        <v>134</v>
      </c>
      <c r="B47" s="453"/>
      <c r="C47" s="454"/>
      <c r="D47" s="242">
        <v>46</v>
      </c>
      <c r="E47" s="243">
        <v>2368277.5233923947</v>
      </c>
      <c r="F47" s="243">
        <v>0</v>
      </c>
      <c r="G47" s="243">
        <v>0</v>
      </c>
      <c r="H47" s="244">
        <v>1145636</v>
      </c>
      <c r="J47" s="245">
        <f t="shared" si="5"/>
        <v>-1</v>
      </c>
      <c r="K47" s="246"/>
      <c r="L47" s="247"/>
      <c r="N47" s="245">
        <f t="shared" si="16"/>
        <v>1.4895264194642294E-2</v>
      </c>
      <c r="O47" s="246">
        <f t="shared" si="17"/>
        <v>0</v>
      </c>
      <c r="P47" s="246">
        <f t="shared" si="18"/>
        <v>0</v>
      </c>
      <c r="Q47" s="247">
        <f t="shared" si="19"/>
        <v>7.2054692587080861E-3</v>
      </c>
    </row>
    <row r="48" spans="1:17" s="241" customFormat="1" ht="15" customHeight="1" x14ac:dyDescent="0.3">
      <c r="A48" s="452" t="s">
        <v>135</v>
      </c>
      <c r="B48" s="453"/>
      <c r="C48" s="454"/>
      <c r="D48" s="242">
        <v>47</v>
      </c>
      <c r="E48" s="243">
        <v>0</v>
      </c>
      <c r="F48" s="243">
        <v>0</v>
      </c>
      <c r="G48" s="243">
        <v>0</v>
      </c>
      <c r="H48" s="244">
        <v>0</v>
      </c>
      <c r="J48" s="245"/>
      <c r="K48" s="246"/>
      <c r="L48" s="247"/>
      <c r="N48" s="245">
        <f t="shared" si="16"/>
        <v>0</v>
      </c>
      <c r="O48" s="246">
        <f t="shared" si="17"/>
        <v>0</v>
      </c>
      <c r="P48" s="246">
        <f t="shared" si="18"/>
        <v>0</v>
      </c>
      <c r="Q48" s="247">
        <f t="shared" si="19"/>
        <v>0</v>
      </c>
    </row>
    <row r="49" spans="1:17" s="241" customFormat="1" ht="15" customHeight="1" x14ac:dyDescent="0.3">
      <c r="A49" s="452" t="s">
        <v>136</v>
      </c>
      <c r="B49" s="453"/>
      <c r="C49" s="454"/>
      <c r="D49" s="242">
        <v>48</v>
      </c>
      <c r="E49" s="243">
        <v>412435.86170283362</v>
      </c>
      <c r="F49" s="243">
        <v>663371.026610923</v>
      </c>
      <c r="G49" s="243">
        <v>1011405</v>
      </c>
      <c r="H49" s="244">
        <v>1391804</v>
      </c>
      <c r="J49" s="245">
        <f t="shared" si="5"/>
        <v>0.60842227412535732</v>
      </c>
      <c r="K49" s="246">
        <f t="shared" si="5"/>
        <v>0.52464451932297629</v>
      </c>
      <c r="L49" s="247">
        <f t="shared" si="5"/>
        <v>0.37610947147779572</v>
      </c>
      <c r="N49" s="245">
        <f t="shared" si="16"/>
        <v>2.5940123413444997E-3</v>
      </c>
      <c r="O49" s="246">
        <f t="shared" si="17"/>
        <v>4.1722672291745625E-3</v>
      </c>
      <c r="P49" s="246">
        <f t="shared" si="18"/>
        <v>6.3612243641118574E-3</v>
      </c>
      <c r="Q49" s="247">
        <f t="shared" si="19"/>
        <v>8.753741097649646E-3</v>
      </c>
    </row>
    <row r="50" spans="1:17" s="241" customFormat="1" ht="15" customHeight="1" x14ac:dyDescent="0.3">
      <c r="A50" s="431" t="s">
        <v>592</v>
      </c>
      <c r="B50" s="432"/>
      <c r="C50" s="433"/>
      <c r="D50" s="242">
        <v>49</v>
      </c>
      <c r="E50" s="243">
        <v>0</v>
      </c>
      <c r="F50" s="243">
        <v>72728.117326962631</v>
      </c>
      <c r="G50" s="243">
        <v>0</v>
      </c>
      <c r="H50" s="244">
        <v>0</v>
      </c>
      <c r="J50" s="245"/>
      <c r="K50" s="246">
        <f t="shared" si="5"/>
        <v>-1</v>
      </c>
      <c r="L50" s="247"/>
      <c r="N50" s="245"/>
      <c r="O50" s="246"/>
      <c r="P50" s="246"/>
      <c r="Q50" s="247"/>
    </row>
    <row r="51" spans="1:17" s="241" customFormat="1" ht="15" customHeight="1" x14ac:dyDescent="0.3">
      <c r="A51" s="431" t="s">
        <v>137</v>
      </c>
      <c r="B51" s="432"/>
      <c r="C51" s="433"/>
      <c r="D51" s="242">
        <v>50</v>
      </c>
      <c r="E51" s="243">
        <v>0</v>
      </c>
      <c r="F51" s="243">
        <v>0</v>
      </c>
      <c r="G51" s="243">
        <v>0</v>
      </c>
      <c r="H51" s="244">
        <v>0</v>
      </c>
      <c r="J51" s="245"/>
      <c r="K51" s="246"/>
      <c r="L51" s="247"/>
      <c r="N51" s="245"/>
      <c r="O51" s="246"/>
      <c r="P51" s="246"/>
      <c r="Q51" s="247"/>
    </row>
    <row r="52" spans="1:17" s="241" customFormat="1" ht="15" customHeight="1" x14ac:dyDescent="0.3">
      <c r="A52" s="431" t="s">
        <v>593</v>
      </c>
      <c r="B52" s="432"/>
      <c r="C52" s="433"/>
      <c r="D52" s="242">
        <v>51</v>
      </c>
      <c r="E52" s="243">
        <v>218140.55345411107</v>
      </c>
      <c r="F52" s="243">
        <v>19166.898931581392</v>
      </c>
      <c r="G52" s="243">
        <v>486949</v>
      </c>
      <c r="H52" s="244">
        <v>927050</v>
      </c>
      <c r="J52" s="245">
        <f t="shared" si="5"/>
        <v>-0.91213509534065884</v>
      </c>
      <c r="K52" s="246">
        <f t="shared" si="5"/>
        <v>24.405726911704622</v>
      </c>
      <c r="L52" s="247">
        <f t="shared" si="5"/>
        <v>0.9037927996566375</v>
      </c>
      <c r="N52" s="245"/>
      <c r="O52" s="246"/>
      <c r="P52" s="246"/>
      <c r="Q52" s="247"/>
    </row>
    <row r="53" spans="1:17" s="241" customFormat="1" ht="15" customHeight="1" x14ac:dyDescent="0.3">
      <c r="A53" s="431" t="s">
        <v>138</v>
      </c>
      <c r="B53" s="432"/>
      <c r="C53" s="433"/>
      <c r="D53" s="242">
        <v>52</v>
      </c>
      <c r="E53" s="243">
        <v>0</v>
      </c>
      <c r="F53" s="243">
        <v>0</v>
      </c>
      <c r="G53" s="243">
        <v>0</v>
      </c>
      <c r="H53" s="244">
        <v>0</v>
      </c>
      <c r="J53" s="245"/>
      <c r="K53" s="246"/>
      <c r="L53" s="247"/>
      <c r="N53" s="245"/>
      <c r="O53" s="246"/>
      <c r="P53" s="246"/>
      <c r="Q53" s="247"/>
    </row>
    <row r="54" spans="1:17" s="241" customFormat="1" ht="15" customHeight="1" x14ac:dyDescent="0.3">
      <c r="A54" s="443" t="s">
        <v>608</v>
      </c>
      <c r="B54" s="444"/>
      <c r="C54" s="445"/>
      <c r="D54" s="302">
        <v>53</v>
      </c>
      <c r="E54" s="303">
        <v>92494760.501692206</v>
      </c>
      <c r="F54" s="303">
        <v>222962329.94890171</v>
      </c>
      <c r="G54" s="303">
        <v>331962715</v>
      </c>
      <c r="H54" s="304">
        <v>375333157</v>
      </c>
      <c r="J54" s="275">
        <f t="shared" si="5"/>
        <v>1.4105401077807276</v>
      </c>
      <c r="K54" s="276">
        <f t="shared" si="5"/>
        <v>0.48887354682774836</v>
      </c>
      <c r="L54" s="277">
        <f t="shared" si="5"/>
        <v>0.13064853382705946</v>
      </c>
      <c r="N54" s="524">
        <f t="shared" ref="N54:N75" si="20">E54/$E$55</f>
        <v>0.58174512095160247</v>
      </c>
      <c r="O54" s="525">
        <f t="shared" ref="O54:O75" si="21">F54/$E$55</f>
        <v>1.4023199465595884</v>
      </c>
      <c r="P54" s="525">
        <f t="shared" ref="P54:P75" si="22">G54/$E$55</f>
        <v>2.0878770726214726</v>
      </c>
      <c r="Q54" s="526">
        <f t="shared" ref="Q54:Q75" si="23">H54/$E$55</f>
        <v>2.3606551509706013</v>
      </c>
    </row>
    <row r="55" spans="1:17" s="241" customFormat="1" ht="15" customHeight="1" x14ac:dyDescent="0.3">
      <c r="A55" s="443" t="s">
        <v>609</v>
      </c>
      <c r="B55" s="444"/>
      <c r="C55" s="445"/>
      <c r="D55" s="302">
        <v>54</v>
      </c>
      <c r="E55" s="303">
        <v>158995335.19145265</v>
      </c>
      <c r="F55" s="303">
        <v>209494252.04061317</v>
      </c>
      <c r="G55" s="303">
        <v>305169772</v>
      </c>
      <c r="H55" s="304">
        <v>341892514</v>
      </c>
      <c r="J55" s="275">
        <f t="shared" si="5"/>
        <v>0.31761256887412925</v>
      </c>
      <c r="K55" s="276">
        <f t="shared" si="5"/>
        <v>0.45669758968298035</v>
      </c>
      <c r="L55" s="277">
        <f t="shared" si="5"/>
        <v>0.1203354505242413</v>
      </c>
      <c r="N55" s="524">
        <f t="shared" si="20"/>
        <v>1</v>
      </c>
      <c r="O55" s="525">
        <f t="shared" si="21"/>
        <v>1.3176125688741294</v>
      </c>
      <c r="P55" s="525">
        <f t="shared" si="22"/>
        <v>1.9193630532149439</v>
      </c>
      <c r="Q55" s="526">
        <f t="shared" si="23"/>
        <v>2.1503304709431474</v>
      </c>
    </row>
    <row r="56" spans="1:17" s="241" customFormat="1" ht="15" customHeight="1" x14ac:dyDescent="0.3">
      <c r="A56" s="443" t="s">
        <v>610</v>
      </c>
      <c r="B56" s="444"/>
      <c r="C56" s="445"/>
      <c r="D56" s="302">
        <v>55</v>
      </c>
      <c r="E56" s="303">
        <v>-66500574.689760432</v>
      </c>
      <c r="F56" s="303">
        <v>13468077.908288538</v>
      </c>
      <c r="G56" s="303">
        <v>26792943</v>
      </c>
      <c r="H56" s="304">
        <v>33440643</v>
      </c>
      <c r="J56" s="275">
        <f t="shared" si="5"/>
        <v>-1.2025257371251306</v>
      </c>
      <c r="K56" s="276">
        <f t="shared" si="5"/>
        <v>0.98936649924716125</v>
      </c>
      <c r="L56" s="277">
        <f t="shared" si="5"/>
        <v>0.24811384102149583</v>
      </c>
      <c r="N56" s="275"/>
      <c r="O56" s="276"/>
      <c r="P56" s="276"/>
      <c r="Q56" s="277"/>
    </row>
    <row r="57" spans="1:17" s="241" customFormat="1" ht="15" customHeight="1" x14ac:dyDescent="0.3">
      <c r="A57" s="440" t="s">
        <v>139</v>
      </c>
      <c r="B57" s="441"/>
      <c r="C57" s="442"/>
      <c r="D57" s="254">
        <v>56</v>
      </c>
      <c r="E57" s="255">
        <v>0</v>
      </c>
      <c r="F57" s="255">
        <v>13468077.908288538</v>
      </c>
      <c r="G57" s="255">
        <v>26792943</v>
      </c>
      <c r="H57" s="256">
        <v>33440643</v>
      </c>
      <c r="J57" s="245"/>
      <c r="K57" s="246">
        <f t="shared" si="5"/>
        <v>0.98936649924716125</v>
      </c>
      <c r="L57" s="247">
        <f t="shared" si="5"/>
        <v>0.24811384102149583</v>
      </c>
      <c r="N57" s="245"/>
      <c r="O57" s="246"/>
      <c r="P57" s="246"/>
      <c r="Q57" s="247"/>
    </row>
    <row r="58" spans="1:17" s="241" customFormat="1" ht="15" customHeight="1" x14ac:dyDescent="0.3">
      <c r="A58" s="440" t="s">
        <v>140</v>
      </c>
      <c r="B58" s="441"/>
      <c r="C58" s="442"/>
      <c r="D58" s="254">
        <v>57</v>
      </c>
      <c r="E58" s="255">
        <v>-66500574.689760432</v>
      </c>
      <c r="F58" s="255">
        <v>0</v>
      </c>
      <c r="G58" s="255">
        <v>0</v>
      </c>
      <c r="H58" s="256">
        <v>0</v>
      </c>
      <c r="J58" s="245">
        <f t="shared" si="5"/>
        <v>-1</v>
      </c>
      <c r="K58" s="246"/>
      <c r="L58" s="247"/>
      <c r="N58" s="245"/>
      <c r="O58" s="246"/>
      <c r="P58" s="246"/>
      <c r="Q58" s="247"/>
    </row>
    <row r="59" spans="1:17" s="241" customFormat="1" ht="15" customHeight="1" x14ac:dyDescent="0.3">
      <c r="A59" s="446" t="s">
        <v>141</v>
      </c>
      <c r="B59" s="447"/>
      <c r="C59" s="448"/>
      <c r="D59" s="257">
        <v>58</v>
      </c>
      <c r="E59" s="258">
        <v>-18878862.432809077</v>
      </c>
      <c r="F59" s="258">
        <v>-959853.07585108501</v>
      </c>
      <c r="G59" s="258">
        <v>5505375</v>
      </c>
      <c r="H59" s="259">
        <v>-226683</v>
      </c>
      <c r="J59" s="278">
        <f t="shared" si="5"/>
        <v>-0.94915726097018516</v>
      </c>
      <c r="K59" s="279">
        <f t="shared" si="5"/>
        <v>-6.7356434422200291</v>
      </c>
      <c r="L59" s="280">
        <f t="shared" si="5"/>
        <v>-1.0411748518493291</v>
      </c>
      <c r="N59" s="278"/>
      <c r="O59" s="279"/>
      <c r="P59" s="279"/>
      <c r="Q59" s="280"/>
    </row>
    <row r="60" spans="1:17" s="241" customFormat="1" ht="15" customHeight="1" x14ac:dyDescent="0.3">
      <c r="A60" s="449" t="s">
        <v>619</v>
      </c>
      <c r="B60" s="450"/>
      <c r="C60" s="451"/>
      <c r="D60" s="202">
        <v>59</v>
      </c>
      <c r="E60" s="281">
        <v>-47621712.256951354</v>
      </c>
      <c r="F60" s="281">
        <v>14427930.984139623</v>
      </c>
      <c r="G60" s="281">
        <v>21287568</v>
      </c>
      <c r="H60" s="282">
        <v>33667326</v>
      </c>
      <c r="I60" s="283"/>
      <c r="J60" s="284">
        <f t="shared" si="5"/>
        <v>-1.3029695972772077</v>
      </c>
      <c r="K60" s="285">
        <f t="shared" si="5"/>
        <v>0.47544149077238157</v>
      </c>
      <c r="L60" s="286">
        <f t="shared" si="5"/>
        <v>0.58154872364940891</v>
      </c>
      <c r="N60" s="284"/>
      <c r="O60" s="285"/>
      <c r="P60" s="285"/>
      <c r="Q60" s="286"/>
    </row>
    <row r="61" spans="1:17" s="241" customFormat="1" ht="15" customHeight="1" x14ac:dyDescent="0.3">
      <c r="A61" s="440" t="s">
        <v>142</v>
      </c>
      <c r="B61" s="441"/>
      <c r="C61" s="442"/>
      <c r="D61" s="254">
        <v>60</v>
      </c>
      <c r="E61" s="255">
        <v>0</v>
      </c>
      <c r="F61" s="255">
        <v>14427930.984139623</v>
      </c>
      <c r="G61" s="255">
        <v>21287568</v>
      </c>
      <c r="H61" s="256">
        <v>33667326</v>
      </c>
      <c r="J61" s="245"/>
      <c r="K61" s="246">
        <f t="shared" si="5"/>
        <v>0.47544149077238157</v>
      </c>
      <c r="L61" s="247">
        <f t="shared" si="5"/>
        <v>0.58154872364940891</v>
      </c>
      <c r="N61" s="245"/>
      <c r="O61" s="246"/>
      <c r="P61" s="246"/>
      <c r="Q61" s="247"/>
    </row>
    <row r="62" spans="1:17" s="241" customFormat="1" ht="15" customHeight="1" x14ac:dyDescent="0.3">
      <c r="A62" s="440" t="s">
        <v>143</v>
      </c>
      <c r="B62" s="441"/>
      <c r="C62" s="442"/>
      <c r="D62" s="254">
        <v>61</v>
      </c>
      <c r="E62" s="255">
        <v>-47621712.256951354</v>
      </c>
      <c r="F62" s="255">
        <v>0</v>
      </c>
      <c r="G62" s="255">
        <v>0</v>
      </c>
      <c r="H62" s="256">
        <v>0</v>
      </c>
      <c r="J62" s="245">
        <f t="shared" si="5"/>
        <v>-1</v>
      </c>
      <c r="K62" s="246"/>
      <c r="L62" s="247"/>
      <c r="N62" s="245"/>
      <c r="O62" s="246"/>
      <c r="P62" s="246"/>
      <c r="Q62" s="247"/>
    </row>
    <row r="63" spans="1:17" s="241" customFormat="1" ht="15" hidden="1" customHeight="1" x14ac:dyDescent="0.3">
      <c r="A63" s="419" t="s">
        <v>611</v>
      </c>
      <c r="B63" s="420"/>
      <c r="C63" s="421"/>
      <c r="D63" s="260">
        <v>62</v>
      </c>
      <c r="E63" s="261">
        <v>0</v>
      </c>
      <c r="F63" s="261">
        <v>0</v>
      </c>
      <c r="G63" s="262"/>
      <c r="H63" s="263"/>
      <c r="J63" s="245"/>
      <c r="K63" s="246"/>
      <c r="L63" s="247"/>
      <c r="N63" s="245"/>
      <c r="O63" s="246"/>
      <c r="P63" s="246"/>
      <c r="Q63" s="247"/>
    </row>
    <row r="64" spans="1:17" s="241" customFormat="1" ht="15" hidden="1" customHeight="1" x14ac:dyDescent="0.3">
      <c r="A64" s="416" t="s">
        <v>144</v>
      </c>
      <c r="B64" s="417"/>
      <c r="C64" s="418"/>
      <c r="D64" s="260">
        <v>63</v>
      </c>
      <c r="E64" s="261">
        <v>0</v>
      </c>
      <c r="F64" s="261">
        <v>0</v>
      </c>
      <c r="G64" s="262"/>
      <c r="H64" s="263"/>
      <c r="J64" s="245"/>
      <c r="K64" s="246"/>
      <c r="L64" s="247"/>
      <c r="N64" s="245"/>
      <c r="O64" s="246"/>
      <c r="P64" s="246"/>
      <c r="Q64" s="247"/>
    </row>
    <row r="65" spans="1:18" s="241" customFormat="1" ht="15" hidden="1" customHeight="1" x14ac:dyDescent="0.3">
      <c r="A65" s="416" t="s">
        <v>145</v>
      </c>
      <c r="B65" s="417"/>
      <c r="C65" s="418"/>
      <c r="D65" s="260">
        <v>64</v>
      </c>
      <c r="E65" s="261">
        <v>0</v>
      </c>
      <c r="F65" s="261">
        <v>0</v>
      </c>
      <c r="G65" s="262"/>
      <c r="H65" s="263"/>
      <c r="J65" s="245"/>
      <c r="K65" s="246"/>
      <c r="L65" s="247"/>
      <c r="N65" s="245"/>
      <c r="O65" s="246"/>
      <c r="P65" s="246"/>
      <c r="Q65" s="247"/>
    </row>
    <row r="66" spans="1:18" s="241" customFormat="1" ht="15" hidden="1" customHeight="1" x14ac:dyDescent="0.3">
      <c r="A66" s="419" t="s">
        <v>146</v>
      </c>
      <c r="B66" s="420"/>
      <c r="C66" s="421"/>
      <c r="D66" s="260">
        <v>65</v>
      </c>
      <c r="E66" s="261">
        <v>0</v>
      </c>
      <c r="F66" s="261">
        <v>0</v>
      </c>
      <c r="G66" s="262"/>
      <c r="H66" s="263"/>
      <c r="J66" s="245"/>
      <c r="K66" s="246"/>
      <c r="L66" s="247"/>
      <c r="N66" s="245"/>
      <c r="O66" s="246"/>
      <c r="P66" s="246"/>
      <c r="Q66" s="247"/>
    </row>
    <row r="67" spans="1:18" s="241" customFormat="1" ht="15" hidden="1" customHeight="1" x14ac:dyDescent="0.3">
      <c r="A67" s="416" t="s">
        <v>147</v>
      </c>
      <c r="B67" s="417"/>
      <c r="C67" s="418"/>
      <c r="D67" s="260">
        <v>66</v>
      </c>
      <c r="E67" s="261">
        <v>0</v>
      </c>
      <c r="F67" s="261">
        <v>0</v>
      </c>
      <c r="G67" s="262"/>
      <c r="H67" s="263"/>
      <c r="J67" s="245"/>
      <c r="K67" s="246"/>
      <c r="L67" s="247"/>
      <c r="N67" s="245"/>
      <c r="O67" s="246"/>
      <c r="P67" s="246"/>
      <c r="Q67" s="247"/>
    </row>
    <row r="68" spans="1:18" s="241" customFormat="1" ht="15" hidden="1" customHeight="1" x14ac:dyDescent="0.3">
      <c r="A68" s="416" t="s">
        <v>148</v>
      </c>
      <c r="B68" s="417"/>
      <c r="C68" s="418"/>
      <c r="D68" s="260">
        <v>67</v>
      </c>
      <c r="E68" s="261">
        <v>0</v>
      </c>
      <c r="F68" s="261">
        <v>0</v>
      </c>
      <c r="G68" s="262"/>
      <c r="H68" s="263"/>
      <c r="J68" s="245"/>
      <c r="K68" s="246"/>
      <c r="L68" s="247"/>
      <c r="N68" s="245"/>
      <c r="O68" s="246"/>
      <c r="P68" s="246"/>
      <c r="Q68" s="247"/>
    </row>
    <row r="69" spans="1:18" s="241" customFormat="1" ht="15" hidden="1" customHeight="1" x14ac:dyDescent="0.3">
      <c r="A69" s="419" t="s">
        <v>612</v>
      </c>
      <c r="B69" s="420"/>
      <c r="C69" s="421"/>
      <c r="D69" s="260">
        <v>68</v>
      </c>
      <c r="E69" s="261">
        <v>0</v>
      </c>
      <c r="F69" s="261">
        <v>0</v>
      </c>
      <c r="G69" s="262"/>
      <c r="H69" s="263"/>
      <c r="J69" s="245"/>
      <c r="K69" s="246"/>
      <c r="L69" s="247"/>
      <c r="N69" s="245"/>
      <c r="O69" s="246"/>
      <c r="P69" s="246"/>
      <c r="Q69" s="247"/>
    </row>
    <row r="70" spans="1:18" s="241" customFormat="1" ht="15" hidden="1" customHeight="1" x14ac:dyDescent="0.3">
      <c r="A70" s="416" t="s">
        <v>149</v>
      </c>
      <c r="B70" s="417"/>
      <c r="C70" s="418"/>
      <c r="D70" s="260">
        <v>69</v>
      </c>
      <c r="E70" s="261">
        <v>0</v>
      </c>
      <c r="F70" s="261">
        <v>0</v>
      </c>
      <c r="G70" s="262"/>
      <c r="H70" s="263"/>
      <c r="J70" s="245"/>
      <c r="K70" s="246"/>
      <c r="L70" s="247"/>
      <c r="N70" s="245"/>
      <c r="O70" s="246"/>
      <c r="P70" s="246"/>
      <c r="Q70" s="247"/>
    </row>
    <row r="71" spans="1:18" s="241" customFormat="1" ht="15" hidden="1" customHeight="1" x14ac:dyDescent="0.3">
      <c r="A71" s="416" t="s">
        <v>150</v>
      </c>
      <c r="B71" s="417"/>
      <c r="C71" s="418"/>
      <c r="D71" s="260">
        <v>70</v>
      </c>
      <c r="E71" s="261">
        <v>0</v>
      </c>
      <c r="F71" s="261">
        <v>0</v>
      </c>
      <c r="G71" s="262"/>
      <c r="H71" s="263"/>
      <c r="J71" s="245"/>
      <c r="K71" s="246"/>
      <c r="L71" s="247"/>
      <c r="N71" s="245"/>
      <c r="O71" s="246"/>
      <c r="P71" s="246"/>
      <c r="Q71" s="247"/>
    </row>
    <row r="72" spans="1:18" s="241" customFormat="1" ht="15" hidden="1" customHeight="1" x14ac:dyDescent="0.3">
      <c r="A72" s="419" t="s">
        <v>613</v>
      </c>
      <c r="B72" s="420"/>
      <c r="C72" s="421"/>
      <c r="D72" s="260">
        <v>71</v>
      </c>
      <c r="E72" s="261">
        <v>0</v>
      </c>
      <c r="F72" s="261">
        <v>0</v>
      </c>
      <c r="G72" s="262"/>
      <c r="H72" s="263"/>
      <c r="J72" s="245"/>
      <c r="K72" s="246"/>
      <c r="L72" s="247"/>
      <c r="N72" s="245"/>
      <c r="O72" s="246"/>
      <c r="P72" s="246"/>
      <c r="Q72" s="247"/>
    </row>
    <row r="73" spans="1:18" s="241" customFormat="1" ht="15" hidden="1" customHeight="1" x14ac:dyDescent="0.3">
      <c r="A73" s="419" t="s">
        <v>614</v>
      </c>
      <c r="B73" s="420"/>
      <c r="C73" s="421"/>
      <c r="D73" s="260">
        <v>72</v>
      </c>
      <c r="E73" s="261">
        <v>0</v>
      </c>
      <c r="F73" s="261">
        <v>0</v>
      </c>
      <c r="G73" s="262"/>
      <c r="H73" s="263"/>
      <c r="J73" s="245"/>
      <c r="K73" s="246"/>
      <c r="L73" s="247"/>
      <c r="N73" s="245"/>
      <c r="O73" s="246"/>
      <c r="P73" s="246"/>
      <c r="Q73" s="247"/>
    </row>
    <row r="74" spans="1:18" s="241" customFormat="1" ht="15" hidden="1" customHeight="1" x14ac:dyDescent="0.3">
      <c r="A74" s="416" t="s">
        <v>151</v>
      </c>
      <c r="B74" s="417"/>
      <c r="C74" s="418"/>
      <c r="D74" s="260">
        <v>73</v>
      </c>
      <c r="E74" s="261">
        <v>0</v>
      </c>
      <c r="F74" s="261">
        <v>0</v>
      </c>
      <c r="G74" s="262"/>
      <c r="H74" s="263"/>
      <c r="J74" s="245"/>
      <c r="K74" s="246"/>
      <c r="L74" s="247"/>
      <c r="N74" s="245"/>
      <c r="O74" s="246"/>
      <c r="P74" s="246"/>
      <c r="Q74" s="247"/>
    </row>
    <row r="75" spans="1:18" s="241" customFormat="1" ht="15" hidden="1" customHeight="1" x14ac:dyDescent="0.3">
      <c r="A75" s="416" t="s">
        <v>152</v>
      </c>
      <c r="B75" s="417"/>
      <c r="C75" s="418"/>
      <c r="D75" s="260">
        <v>74</v>
      </c>
      <c r="E75" s="261">
        <v>0</v>
      </c>
      <c r="F75" s="261">
        <v>0</v>
      </c>
      <c r="G75" s="262"/>
      <c r="H75" s="263"/>
      <c r="J75" s="245"/>
      <c r="K75" s="246"/>
      <c r="L75" s="247"/>
      <c r="N75" s="245"/>
      <c r="O75" s="246"/>
      <c r="P75" s="246"/>
      <c r="Q75" s="247"/>
    </row>
    <row r="76" spans="1:18" customFormat="1" ht="15.6" customHeight="1" x14ac:dyDescent="0.3">
      <c r="A76" s="425" t="s">
        <v>696</v>
      </c>
      <c r="B76" s="426"/>
      <c r="C76" s="426"/>
      <c r="D76" s="426"/>
      <c r="E76" s="426"/>
      <c r="F76" s="426"/>
      <c r="G76" s="426"/>
      <c r="H76" s="427"/>
      <c r="I76" s="241"/>
      <c r="J76" s="425"/>
      <c r="K76" s="426"/>
      <c r="L76" s="426"/>
      <c r="M76" s="241"/>
      <c r="N76" s="245"/>
      <c r="O76" s="246"/>
      <c r="P76" s="246"/>
      <c r="Q76" s="247"/>
    </row>
    <row r="77" spans="1:18" s="241" customFormat="1" ht="15" customHeight="1" x14ac:dyDescent="0.3">
      <c r="A77" s="437" t="s">
        <v>594</v>
      </c>
      <c r="B77" s="438"/>
      <c r="C77" s="439"/>
      <c r="D77" s="290">
        <v>75</v>
      </c>
      <c r="E77" s="291">
        <v>-47621712.256951354</v>
      </c>
      <c r="F77" s="291">
        <v>14427930.984139623</v>
      </c>
      <c r="G77" s="291">
        <v>21287568</v>
      </c>
      <c r="H77" s="292">
        <v>33667326</v>
      </c>
      <c r="J77" s="287">
        <f t="shared" ref="J77:L105" si="24">(F77-E77)/E77</f>
        <v>-1.3029695972772077</v>
      </c>
      <c r="K77" s="288">
        <f t="shared" si="24"/>
        <v>0.47544149077238157</v>
      </c>
      <c r="L77" s="289">
        <f t="shared" si="24"/>
        <v>0.58154872364940891</v>
      </c>
      <c r="N77" s="287"/>
      <c r="O77" s="288"/>
      <c r="P77" s="288"/>
      <c r="Q77" s="289"/>
    </row>
    <row r="78" spans="1:18" s="241" customFormat="1" ht="15" customHeight="1" x14ac:dyDescent="0.3">
      <c r="A78" s="431" t="s">
        <v>153</v>
      </c>
      <c r="B78" s="432"/>
      <c r="C78" s="433"/>
      <c r="D78" s="242">
        <v>76</v>
      </c>
      <c r="E78" s="243">
        <v>-43744575.751542903</v>
      </c>
      <c r="F78" s="243">
        <v>13852890.968212886</v>
      </c>
      <c r="G78" s="243">
        <v>19601100</v>
      </c>
      <c r="H78" s="244">
        <v>27027615</v>
      </c>
      <c r="J78" s="245">
        <f t="shared" si="24"/>
        <v>-1.3166767703244735</v>
      </c>
      <c r="K78" s="246">
        <f t="shared" si="24"/>
        <v>0.41494652957112466</v>
      </c>
      <c r="L78" s="247">
        <f t="shared" si="24"/>
        <v>0.37888256271331711</v>
      </c>
      <c r="N78" s="245"/>
      <c r="O78" s="246"/>
      <c r="P78" s="246"/>
      <c r="Q78" s="247"/>
    </row>
    <row r="79" spans="1:18" s="241" customFormat="1" ht="15" customHeight="1" x14ac:dyDescent="0.3">
      <c r="A79" s="431" t="s">
        <v>154</v>
      </c>
      <c r="B79" s="432"/>
      <c r="C79" s="433"/>
      <c r="D79" s="242">
        <v>77</v>
      </c>
      <c r="E79" s="243">
        <v>-3877136.5054084542</v>
      </c>
      <c r="F79" s="243">
        <v>575040.01592673699</v>
      </c>
      <c r="G79" s="243">
        <v>1686468</v>
      </c>
      <c r="H79" s="244">
        <v>6639711</v>
      </c>
      <c r="J79" s="245">
        <f t="shared" si="24"/>
        <v>-1.1483156487073845</v>
      </c>
      <c r="K79" s="246">
        <f t="shared" si="24"/>
        <v>1.9327837251153399</v>
      </c>
      <c r="L79" s="247">
        <f t="shared" si="24"/>
        <v>2.9370512811390435</v>
      </c>
      <c r="N79" s="245"/>
      <c r="O79" s="246"/>
      <c r="P79" s="246"/>
      <c r="Q79" s="247"/>
    </row>
    <row r="80" spans="1:18" customFormat="1" ht="15.6" customHeight="1" x14ac:dyDescent="0.3">
      <c r="A80" s="425" t="s">
        <v>694</v>
      </c>
      <c r="B80" s="426"/>
      <c r="C80" s="426"/>
      <c r="D80" s="426"/>
      <c r="E80" s="426"/>
      <c r="F80" s="426"/>
      <c r="G80" s="426"/>
      <c r="H80" s="427"/>
      <c r="I80" s="241"/>
      <c r="J80" s="425"/>
      <c r="K80" s="426"/>
      <c r="L80" s="426"/>
      <c r="M80" s="241"/>
      <c r="N80" s="533"/>
      <c r="O80" s="534"/>
      <c r="P80" s="534"/>
      <c r="Q80" s="535"/>
      <c r="R80" s="241"/>
    </row>
    <row r="81" spans="1:17" s="241" customFormat="1" ht="15" customHeight="1" x14ac:dyDescent="0.3">
      <c r="A81" s="422" t="s">
        <v>155</v>
      </c>
      <c r="B81" s="423"/>
      <c r="C81" s="424"/>
      <c r="D81" s="296">
        <v>78</v>
      </c>
      <c r="E81" s="297">
        <v>-47621712.256951354</v>
      </c>
      <c r="F81" s="297">
        <v>14427930.984139623</v>
      </c>
      <c r="G81" s="297">
        <v>21287568</v>
      </c>
      <c r="H81" s="298">
        <v>33667326</v>
      </c>
      <c r="J81" s="299">
        <f t="shared" si="24"/>
        <v>-1.3029695972772077</v>
      </c>
      <c r="K81" s="300">
        <f t="shared" si="24"/>
        <v>0.47544149077238157</v>
      </c>
      <c r="L81" s="301">
        <f t="shared" si="24"/>
        <v>0.58154872364940891</v>
      </c>
      <c r="N81" s="299"/>
      <c r="O81" s="300"/>
      <c r="P81" s="300"/>
      <c r="Q81" s="301"/>
    </row>
    <row r="82" spans="1:17" s="241" customFormat="1" ht="15" customHeight="1" x14ac:dyDescent="0.3">
      <c r="A82" s="419" t="s">
        <v>156</v>
      </c>
      <c r="B82" s="420"/>
      <c r="C82" s="421"/>
      <c r="D82" s="260">
        <v>79</v>
      </c>
      <c r="E82" s="261">
        <v>-9808.7464330745224</v>
      </c>
      <c r="F82" s="261">
        <v>12986.926803371158</v>
      </c>
      <c r="G82" s="261">
        <v>-3561</v>
      </c>
      <c r="H82" s="264">
        <v>39065</v>
      </c>
      <c r="J82" s="245">
        <f t="shared" si="24"/>
        <v>-2.3240149382983328</v>
      </c>
      <c r="K82" s="246">
        <f t="shared" si="24"/>
        <v>-1.2741988196218701</v>
      </c>
      <c r="L82" s="247">
        <f t="shared" si="24"/>
        <v>-11.970233080595339</v>
      </c>
      <c r="N82" s="245"/>
      <c r="O82" s="246"/>
      <c r="P82" s="246"/>
      <c r="Q82" s="247"/>
    </row>
    <row r="83" spans="1:17" s="241" customFormat="1" ht="15" customHeight="1" x14ac:dyDescent="0.3">
      <c r="A83" s="419" t="s">
        <v>157</v>
      </c>
      <c r="B83" s="420"/>
      <c r="C83" s="421"/>
      <c r="D83" s="260">
        <v>80</v>
      </c>
      <c r="E83" s="261">
        <v>-9808.7464330745224</v>
      </c>
      <c r="F83" s="261">
        <v>12986.926803371158</v>
      </c>
      <c r="G83" s="261">
        <v>-3561</v>
      </c>
      <c r="H83" s="264">
        <v>39065</v>
      </c>
      <c r="J83" s="245">
        <f t="shared" si="24"/>
        <v>-2.3240149382983328</v>
      </c>
      <c r="K83" s="246">
        <f t="shared" si="24"/>
        <v>-1.2741988196218701</v>
      </c>
      <c r="L83" s="247">
        <f t="shared" si="24"/>
        <v>-11.970233080595339</v>
      </c>
      <c r="N83" s="245"/>
      <c r="O83" s="246"/>
      <c r="P83" s="246"/>
      <c r="Q83" s="247"/>
    </row>
    <row r="84" spans="1:17" s="241" customFormat="1" ht="15" customHeight="1" x14ac:dyDescent="0.3">
      <c r="A84" s="416" t="s">
        <v>158</v>
      </c>
      <c r="B84" s="417"/>
      <c r="C84" s="418"/>
      <c r="D84" s="260">
        <v>81</v>
      </c>
      <c r="E84" s="261">
        <v>0</v>
      </c>
      <c r="F84" s="261">
        <v>0</v>
      </c>
      <c r="G84" s="261">
        <v>0</v>
      </c>
      <c r="H84" s="264">
        <v>0</v>
      </c>
      <c r="J84" s="245"/>
      <c r="K84" s="246"/>
      <c r="L84" s="247"/>
      <c r="N84" s="245"/>
      <c r="O84" s="246"/>
      <c r="P84" s="246"/>
      <c r="Q84" s="247"/>
    </row>
    <row r="85" spans="1:17" s="241" customFormat="1" ht="15" customHeight="1" x14ac:dyDescent="0.3">
      <c r="A85" s="416" t="s">
        <v>159</v>
      </c>
      <c r="B85" s="417"/>
      <c r="C85" s="418"/>
      <c r="D85" s="260">
        <v>82</v>
      </c>
      <c r="E85" s="261">
        <v>-9808.7464330745224</v>
      </c>
      <c r="F85" s="261">
        <v>12986.926803371158</v>
      </c>
      <c r="G85" s="261">
        <v>-3561</v>
      </c>
      <c r="H85" s="264">
        <v>39065</v>
      </c>
      <c r="J85" s="245">
        <f t="shared" si="24"/>
        <v>-2.3240149382983328</v>
      </c>
      <c r="K85" s="246">
        <f t="shared" si="24"/>
        <v>-1.2741988196218701</v>
      </c>
      <c r="L85" s="247">
        <f t="shared" si="24"/>
        <v>-11.970233080595339</v>
      </c>
      <c r="N85" s="245"/>
      <c r="O85" s="246"/>
      <c r="P85" s="246"/>
      <c r="Q85" s="247"/>
    </row>
    <row r="86" spans="1:17" s="241" customFormat="1" ht="15" customHeight="1" x14ac:dyDescent="0.3">
      <c r="A86" s="416" t="s">
        <v>160</v>
      </c>
      <c r="B86" s="417"/>
      <c r="C86" s="418"/>
      <c r="D86" s="260">
        <v>83</v>
      </c>
      <c r="E86" s="261">
        <v>0</v>
      </c>
      <c r="F86" s="261">
        <v>0</v>
      </c>
      <c r="G86" s="261">
        <v>0</v>
      </c>
      <c r="H86" s="264">
        <v>0</v>
      </c>
      <c r="J86" s="245"/>
      <c r="K86" s="246"/>
      <c r="L86" s="247"/>
      <c r="N86" s="245"/>
      <c r="O86" s="246"/>
      <c r="P86" s="246"/>
      <c r="Q86" s="247"/>
    </row>
    <row r="87" spans="1:17" s="241" customFormat="1" ht="15" customHeight="1" x14ac:dyDescent="0.3">
      <c r="A87" s="416" t="s">
        <v>161</v>
      </c>
      <c r="B87" s="417"/>
      <c r="C87" s="418"/>
      <c r="D87" s="260">
        <v>84</v>
      </c>
      <c r="E87" s="261">
        <v>0</v>
      </c>
      <c r="F87" s="261">
        <v>0</v>
      </c>
      <c r="G87" s="261">
        <v>0</v>
      </c>
      <c r="H87" s="264">
        <v>0</v>
      </c>
      <c r="J87" s="245"/>
      <c r="K87" s="246"/>
      <c r="L87" s="247"/>
      <c r="N87" s="245"/>
      <c r="O87" s="246"/>
      <c r="P87" s="246"/>
      <c r="Q87" s="247"/>
    </row>
    <row r="88" spans="1:17" s="241" customFormat="1" ht="15" customHeight="1" x14ac:dyDescent="0.3">
      <c r="A88" s="416" t="s">
        <v>162</v>
      </c>
      <c r="B88" s="417"/>
      <c r="C88" s="418"/>
      <c r="D88" s="260">
        <v>85</v>
      </c>
      <c r="E88" s="261">
        <v>0</v>
      </c>
      <c r="F88" s="261">
        <v>0</v>
      </c>
      <c r="G88" s="261">
        <v>0</v>
      </c>
      <c r="H88" s="264">
        <v>0</v>
      </c>
      <c r="J88" s="245"/>
      <c r="K88" s="246"/>
      <c r="L88" s="247"/>
      <c r="N88" s="245"/>
      <c r="O88" s="246"/>
      <c r="P88" s="246"/>
      <c r="Q88" s="247"/>
    </row>
    <row r="89" spans="1:17" s="241" customFormat="1" ht="15" customHeight="1" x14ac:dyDescent="0.3">
      <c r="A89" s="416" t="s">
        <v>163</v>
      </c>
      <c r="B89" s="417"/>
      <c r="C89" s="418"/>
      <c r="D89" s="260">
        <v>86</v>
      </c>
      <c r="E89" s="261">
        <v>-1765.4787975313557</v>
      </c>
      <c r="F89" s="261">
        <v>2337.6468246068084</v>
      </c>
      <c r="G89" s="261">
        <v>-641</v>
      </c>
      <c r="H89" s="264">
        <v>7032</v>
      </c>
      <c r="J89" s="245">
        <f t="shared" si="24"/>
        <v>-2.3240866035182681</v>
      </c>
      <c r="K89" s="246">
        <f t="shared" si="24"/>
        <v>-1.274207375234202</v>
      </c>
      <c r="L89" s="247">
        <f t="shared" si="24"/>
        <v>-11.970358814352574</v>
      </c>
      <c r="N89" s="245"/>
      <c r="O89" s="246"/>
      <c r="P89" s="246"/>
      <c r="Q89" s="247"/>
    </row>
    <row r="90" spans="1:17" s="241" customFormat="1" ht="15" customHeight="1" x14ac:dyDescent="0.3">
      <c r="A90" s="419" t="s">
        <v>164</v>
      </c>
      <c r="B90" s="420"/>
      <c r="C90" s="421"/>
      <c r="D90" s="260">
        <v>87</v>
      </c>
      <c r="E90" s="261">
        <v>0</v>
      </c>
      <c r="F90" s="261">
        <v>0</v>
      </c>
      <c r="G90" s="261">
        <v>0</v>
      </c>
      <c r="H90" s="264">
        <v>0</v>
      </c>
      <c r="J90" s="245"/>
      <c r="K90" s="246"/>
      <c r="L90" s="247"/>
      <c r="N90" s="245"/>
      <c r="O90" s="246"/>
      <c r="P90" s="246"/>
      <c r="Q90" s="247"/>
    </row>
    <row r="91" spans="1:17" s="241" customFormat="1" ht="15" customHeight="1" x14ac:dyDescent="0.3">
      <c r="A91" s="416" t="s">
        <v>165</v>
      </c>
      <c r="B91" s="417"/>
      <c r="C91" s="418"/>
      <c r="D91" s="260">
        <v>88</v>
      </c>
      <c r="E91" s="261">
        <v>0</v>
      </c>
      <c r="F91" s="261">
        <v>0</v>
      </c>
      <c r="G91" s="261">
        <v>0</v>
      </c>
      <c r="H91" s="264">
        <v>0</v>
      </c>
      <c r="J91" s="245"/>
      <c r="K91" s="246"/>
      <c r="L91" s="247"/>
      <c r="N91" s="245"/>
      <c r="O91" s="246"/>
      <c r="P91" s="246"/>
      <c r="Q91" s="247"/>
    </row>
    <row r="92" spans="1:17" s="241" customFormat="1" ht="15" customHeight="1" x14ac:dyDescent="0.3">
      <c r="A92" s="416" t="s">
        <v>166</v>
      </c>
      <c r="B92" s="417"/>
      <c r="C92" s="418"/>
      <c r="D92" s="260">
        <v>89</v>
      </c>
      <c r="E92" s="261">
        <v>0</v>
      </c>
      <c r="F92" s="261">
        <v>0</v>
      </c>
      <c r="G92" s="261">
        <v>0</v>
      </c>
      <c r="H92" s="264">
        <v>0</v>
      </c>
      <c r="J92" s="245"/>
      <c r="K92" s="246"/>
      <c r="L92" s="247"/>
      <c r="N92" s="245"/>
      <c r="O92" s="246"/>
      <c r="P92" s="246"/>
      <c r="Q92" s="247"/>
    </row>
    <row r="93" spans="1:17" s="241" customFormat="1" ht="15" customHeight="1" x14ac:dyDescent="0.3">
      <c r="A93" s="416" t="s">
        <v>167</v>
      </c>
      <c r="B93" s="417"/>
      <c r="C93" s="418"/>
      <c r="D93" s="260">
        <v>90</v>
      </c>
      <c r="E93" s="261">
        <v>0</v>
      </c>
      <c r="F93" s="261">
        <v>0</v>
      </c>
      <c r="G93" s="261">
        <v>0</v>
      </c>
      <c r="H93" s="264">
        <v>0</v>
      </c>
      <c r="J93" s="245"/>
      <c r="K93" s="246"/>
      <c r="L93" s="247"/>
      <c r="N93" s="245"/>
      <c r="O93" s="246"/>
      <c r="P93" s="246"/>
      <c r="Q93" s="247"/>
    </row>
    <row r="94" spans="1:17" s="241" customFormat="1" ht="15" customHeight="1" x14ac:dyDescent="0.3">
      <c r="A94" s="416" t="s">
        <v>168</v>
      </c>
      <c r="B94" s="417"/>
      <c r="C94" s="418"/>
      <c r="D94" s="260">
        <v>91</v>
      </c>
      <c r="E94" s="261">
        <v>0</v>
      </c>
      <c r="F94" s="261">
        <v>0</v>
      </c>
      <c r="G94" s="261">
        <v>0</v>
      </c>
      <c r="H94" s="264">
        <v>0</v>
      </c>
      <c r="J94" s="245"/>
      <c r="K94" s="246"/>
      <c r="L94" s="247"/>
      <c r="N94" s="245"/>
      <c r="O94" s="246"/>
      <c r="P94" s="246"/>
      <c r="Q94" s="247"/>
    </row>
    <row r="95" spans="1:17" s="241" customFormat="1" ht="15" customHeight="1" x14ac:dyDescent="0.3">
      <c r="A95" s="416" t="s">
        <v>169</v>
      </c>
      <c r="B95" s="417"/>
      <c r="C95" s="418"/>
      <c r="D95" s="260">
        <v>92</v>
      </c>
      <c r="E95" s="261">
        <v>0</v>
      </c>
      <c r="F95" s="261">
        <v>0</v>
      </c>
      <c r="G95" s="261">
        <v>0</v>
      </c>
      <c r="H95" s="264">
        <v>0</v>
      </c>
      <c r="J95" s="245"/>
      <c r="K95" s="246"/>
      <c r="L95" s="247"/>
      <c r="N95" s="245"/>
      <c r="O95" s="246"/>
      <c r="P95" s="246"/>
      <c r="Q95" s="247"/>
    </row>
    <row r="96" spans="1:17" s="241" customFormat="1" ht="15" customHeight="1" x14ac:dyDescent="0.3">
      <c r="A96" s="416" t="s">
        <v>170</v>
      </c>
      <c r="B96" s="417"/>
      <c r="C96" s="418"/>
      <c r="D96" s="260">
        <v>93</v>
      </c>
      <c r="E96" s="261">
        <v>0</v>
      </c>
      <c r="F96" s="261">
        <v>0</v>
      </c>
      <c r="G96" s="261">
        <v>0</v>
      </c>
      <c r="H96" s="264">
        <v>0</v>
      </c>
      <c r="J96" s="245"/>
      <c r="K96" s="246"/>
      <c r="L96" s="247"/>
      <c r="N96" s="245"/>
      <c r="O96" s="246"/>
      <c r="P96" s="246"/>
      <c r="Q96" s="247"/>
    </row>
    <row r="97" spans="1:23" s="241" customFormat="1" ht="15" customHeight="1" x14ac:dyDescent="0.3">
      <c r="A97" s="416" t="s">
        <v>171</v>
      </c>
      <c r="B97" s="417"/>
      <c r="C97" s="418"/>
      <c r="D97" s="260">
        <v>94</v>
      </c>
      <c r="E97" s="261">
        <v>0</v>
      </c>
      <c r="F97" s="261">
        <v>0</v>
      </c>
      <c r="G97" s="261">
        <v>0</v>
      </c>
      <c r="H97" s="264">
        <v>0</v>
      </c>
      <c r="J97" s="245"/>
      <c r="K97" s="246"/>
      <c r="L97" s="247"/>
      <c r="N97" s="245"/>
      <c r="O97" s="246"/>
      <c r="P97" s="246"/>
      <c r="Q97" s="247"/>
    </row>
    <row r="98" spans="1:23" s="241" customFormat="1" ht="15" customHeight="1" x14ac:dyDescent="0.3">
      <c r="A98" s="416" t="s">
        <v>172</v>
      </c>
      <c r="B98" s="417"/>
      <c r="C98" s="418"/>
      <c r="D98" s="260">
        <v>95</v>
      </c>
      <c r="E98" s="261">
        <v>0</v>
      </c>
      <c r="F98" s="261">
        <v>0</v>
      </c>
      <c r="G98" s="261">
        <v>0</v>
      </c>
      <c r="H98" s="264">
        <v>0</v>
      </c>
      <c r="J98" s="245"/>
      <c r="K98" s="246"/>
      <c r="L98" s="247"/>
      <c r="N98" s="245"/>
      <c r="O98" s="246"/>
      <c r="P98" s="246"/>
      <c r="Q98" s="247"/>
    </row>
    <row r="99" spans="1:23" s="241" customFormat="1" ht="15" customHeight="1" x14ac:dyDescent="0.3">
      <c r="A99" s="416" t="s">
        <v>173</v>
      </c>
      <c r="B99" s="417"/>
      <c r="C99" s="418"/>
      <c r="D99" s="260">
        <v>96</v>
      </c>
      <c r="E99" s="261">
        <v>0</v>
      </c>
      <c r="F99" s="261">
        <v>0</v>
      </c>
      <c r="G99" s="261">
        <v>0</v>
      </c>
      <c r="H99" s="264">
        <v>0</v>
      </c>
      <c r="J99" s="245"/>
      <c r="K99" s="246"/>
      <c r="L99" s="247"/>
      <c r="N99" s="245"/>
      <c r="O99" s="246"/>
      <c r="P99" s="246"/>
      <c r="Q99" s="247"/>
    </row>
    <row r="100" spans="1:23" s="241" customFormat="1" ht="15" customHeight="1" x14ac:dyDescent="0.3">
      <c r="A100" s="419" t="s">
        <v>615</v>
      </c>
      <c r="B100" s="420"/>
      <c r="C100" s="421"/>
      <c r="D100" s="260">
        <v>97</v>
      </c>
      <c r="E100" s="261">
        <v>-8043.2676355431677</v>
      </c>
      <c r="F100" s="261">
        <v>10649.279978764351</v>
      </c>
      <c r="G100" s="261">
        <v>-2920</v>
      </c>
      <c r="H100" s="264">
        <v>32033</v>
      </c>
      <c r="J100" s="245">
        <f t="shared" si="24"/>
        <v>-2.3239992079469323</v>
      </c>
      <c r="K100" s="246">
        <f t="shared" si="24"/>
        <v>-1.2741969415606267</v>
      </c>
      <c r="L100" s="247">
        <f t="shared" si="24"/>
        <v>-11.970205479452055</v>
      </c>
      <c r="N100" s="245"/>
      <c r="O100" s="246"/>
      <c r="P100" s="246"/>
      <c r="Q100" s="247"/>
    </row>
    <row r="101" spans="1:23" s="241" customFormat="1" ht="15" customHeight="1" x14ac:dyDescent="0.3">
      <c r="A101" s="419" t="s">
        <v>616</v>
      </c>
      <c r="B101" s="420"/>
      <c r="C101" s="421"/>
      <c r="D101" s="260">
        <v>98</v>
      </c>
      <c r="E101" s="261">
        <v>-47629755.524586901</v>
      </c>
      <c r="F101" s="261">
        <v>14438580.264118388</v>
      </c>
      <c r="G101" s="261">
        <v>21284648</v>
      </c>
      <c r="H101" s="264">
        <v>33699359</v>
      </c>
      <c r="J101" s="245">
        <f t="shared" si="24"/>
        <v>-1.3031420192082461</v>
      </c>
      <c r="K101" s="246">
        <f t="shared" si="24"/>
        <v>0.47415103221020388</v>
      </c>
      <c r="L101" s="247">
        <f t="shared" si="24"/>
        <v>0.58327067471353067</v>
      </c>
      <c r="N101" s="245"/>
      <c r="O101" s="246"/>
      <c r="P101" s="246"/>
      <c r="Q101" s="247"/>
    </row>
    <row r="102" spans="1:23" customFormat="1" x14ac:dyDescent="0.3">
      <c r="A102" s="425" t="s">
        <v>695</v>
      </c>
      <c r="B102" s="426"/>
      <c r="C102" s="426"/>
      <c r="D102" s="426"/>
      <c r="E102" s="426"/>
      <c r="F102" s="426"/>
      <c r="G102" s="426"/>
      <c r="H102" s="427"/>
      <c r="I102" s="241"/>
      <c r="J102" s="425"/>
      <c r="K102" s="426"/>
      <c r="L102" s="426"/>
      <c r="M102" s="241"/>
      <c r="N102" s="533"/>
      <c r="O102" s="534"/>
      <c r="P102" s="534"/>
      <c r="Q102" s="535"/>
      <c r="R102" s="241"/>
      <c r="S102" s="241"/>
    </row>
    <row r="103" spans="1:23" s="241" customFormat="1" ht="15" customHeight="1" x14ac:dyDescent="0.3">
      <c r="A103" s="428" t="s">
        <v>601</v>
      </c>
      <c r="B103" s="429"/>
      <c r="C103" s="430"/>
      <c r="D103" s="203">
        <v>99</v>
      </c>
      <c r="E103" s="236">
        <v>-47629755.524586901</v>
      </c>
      <c r="F103" s="236">
        <v>14438580.264118388</v>
      </c>
      <c r="G103" s="236">
        <v>21284648</v>
      </c>
      <c r="H103" s="237">
        <v>33699359</v>
      </c>
      <c r="J103" s="293">
        <f t="shared" si="24"/>
        <v>-1.3031420192082461</v>
      </c>
      <c r="K103" s="294">
        <f t="shared" si="24"/>
        <v>0.47415103221020388</v>
      </c>
      <c r="L103" s="295">
        <f t="shared" si="24"/>
        <v>0.58327067471353067</v>
      </c>
      <c r="N103" s="293"/>
      <c r="O103" s="294"/>
      <c r="P103" s="294"/>
      <c r="Q103" s="295"/>
    </row>
    <row r="104" spans="1:23" s="241" customFormat="1" ht="15" customHeight="1" x14ac:dyDescent="0.3">
      <c r="A104" s="431" t="s">
        <v>174</v>
      </c>
      <c r="B104" s="432"/>
      <c r="C104" s="433"/>
      <c r="D104" s="242">
        <v>100</v>
      </c>
      <c r="E104" s="243">
        <v>-43752619.019178443</v>
      </c>
      <c r="F104" s="243">
        <v>13863540.248191651</v>
      </c>
      <c r="G104" s="243">
        <v>19598180</v>
      </c>
      <c r="H104" s="244">
        <v>27059648</v>
      </c>
      <c r="J104" s="245">
        <f t="shared" si="24"/>
        <v>-1.3168619515580251</v>
      </c>
      <c r="K104" s="246">
        <f t="shared" si="24"/>
        <v>0.41364901382649144</v>
      </c>
      <c r="L104" s="247">
        <f t="shared" si="24"/>
        <v>0.3807224956603113</v>
      </c>
      <c r="N104" s="245"/>
      <c r="O104" s="246"/>
      <c r="P104" s="246"/>
      <c r="Q104" s="247"/>
    </row>
    <row r="105" spans="1:23" s="241" customFormat="1" ht="15" customHeight="1" thickBot="1" x14ac:dyDescent="0.35">
      <c r="A105" s="434" t="s">
        <v>175</v>
      </c>
      <c r="B105" s="435"/>
      <c r="C105" s="436"/>
      <c r="D105" s="265">
        <v>101</v>
      </c>
      <c r="E105" s="266">
        <v>-3877136.5054084542</v>
      </c>
      <c r="F105" s="266">
        <v>575040.01592673699</v>
      </c>
      <c r="G105" s="266">
        <v>1686468</v>
      </c>
      <c r="H105" s="267">
        <v>6639711</v>
      </c>
      <c r="J105" s="268">
        <f t="shared" si="24"/>
        <v>-1.1483156487073845</v>
      </c>
      <c r="K105" s="269">
        <f t="shared" si="24"/>
        <v>1.9327837251153399</v>
      </c>
      <c r="L105" s="270">
        <f t="shared" si="24"/>
        <v>2.9370512811390435</v>
      </c>
      <c r="N105" s="268"/>
      <c r="O105" s="269"/>
      <c r="P105" s="269"/>
      <c r="Q105" s="270"/>
      <c r="S105" s="271"/>
      <c r="T105" s="271"/>
      <c r="U105" s="271"/>
      <c r="V105" s="271"/>
      <c r="W105" s="271"/>
    </row>
    <row r="106" spans="1:23" ht="15" customHeight="1" thickTop="1" x14ac:dyDescent="0.3"/>
  </sheetData>
  <mergeCells count="110">
    <mergeCell ref="N80:Q80"/>
    <mergeCell ref="N102:Q102"/>
    <mergeCell ref="J76:L76"/>
    <mergeCell ref="J80:L80"/>
    <mergeCell ref="J102:L102"/>
    <mergeCell ref="A1:C1"/>
    <mergeCell ref="A2:C2"/>
    <mergeCell ref="A3:C3"/>
    <mergeCell ref="A4:C4"/>
    <mergeCell ref="A5:C5"/>
    <mergeCell ref="A6:C6"/>
    <mergeCell ref="A13:C13"/>
    <mergeCell ref="A14:C14"/>
    <mergeCell ref="A15:C15"/>
    <mergeCell ref="A16:C16"/>
    <mergeCell ref="A17:C17"/>
    <mergeCell ref="A18:C18"/>
    <mergeCell ref="A7:C7"/>
    <mergeCell ref="A8:C8"/>
    <mergeCell ref="A9:C9"/>
    <mergeCell ref="A10:C10"/>
    <mergeCell ref="A11:C11"/>
    <mergeCell ref="A12:C12"/>
    <mergeCell ref="A25:C25"/>
    <mergeCell ref="A26:C26"/>
    <mergeCell ref="A27:C27"/>
    <mergeCell ref="A28:C28"/>
    <mergeCell ref="A29:C29"/>
    <mergeCell ref="A30:C30"/>
    <mergeCell ref="A19:C19"/>
    <mergeCell ref="A20:C20"/>
    <mergeCell ref="A21:C21"/>
    <mergeCell ref="A22:C22"/>
    <mergeCell ref="A23:C23"/>
    <mergeCell ref="A24:C24"/>
    <mergeCell ref="A37:C37"/>
    <mergeCell ref="A38:C38"/>
    <mergeCell ref="A39:C39"/>
    <mergeCell ref="A40:C40"/>
    <mergeCell ref="A41:C41"/>
    <mergeCell ref="A42:C42"/>
    <mergeCell ref="A31:C31"/>
    <mergeCell ref="A32:C32"/>
    <mergeCell ref="A33:C33"/>
    <mergeCell ref="A34:C34"/>
    <mergeCell ref="A35:C35"/>
    <mergeCell ref="A36:C36"/>
    <mergeCell ref="A49:C49"/>
    <mergeCell ref="A50:C50"/>
    <mergeCell ref="A51:C51"/>
    <mergeCell ref="A52:C52"/>
    <mergeCell ref="A53:C53"/>
    <mergeCell ref="A54:C54"/>
    <mergeCell ref="A43:C43"/>
    <mergeCell ref="A44:C44"/>
    <mergeCell ref="A45:C45"/>
    <mergeCell ref="A46:C46"/>
    <mergeCell ref="A47:C47"/>
    <mergeCell ref="A48:C48"/>
    <mergeCell ref="A80:H80"/>
    <mergeCell ref="A61:C61"/>
    <mergeCell ref="A62:C62"/>
    <mergeCell ref="A63:C63"/>
    <mergeCell ref="A64:C64"/>
    <mergeCell ref="A65:C65"/>
    <mergeCell ref="A66:C66"/>
    <mergeCell ref="A55:C55"/>
    <mergeCell ref="A56:C56"/>
    <mergeCell ref="A57:C57"/>
    <mergeCell ref="A58:C58"/>
    <mergeCell ref="A59:C59"/>
    <mergeCell ref="A60:C60"/>
    <mergeCell ref="A73:C73"/>
    <mergeCell ref="A74:C74"/>
    <mergeCell ref="A75:C75"/>
    <mergeCell ref="A77:C77"/>
    <mergeCell ref="A78:C78"/>
    <mergeCell ref="A79:C79"/>
    <mergeCell ref="A67:C67"/>
    <mergeCell ref="A68:C68"/>
    <mergeCell ref="A69:C69"/>
    <mergeCell ref="A70:C70"/>
    <mergeCell ref="A71:C71"/>
    <mergeCell ref="A72:C72"/>
    <mergeCell ref="A76:H76"/>
    <mergeCell ref="A102:H102"/>
    <mergeCell ref="A99:C99"/>
    <mergeCell ref="A100:C100"/>
    <mergeCell ref="A101:C101"/>
    <mergeCell ref="A103:C103"/>
    <mergeCell ref="A104:C104"/>
    <mergeCell ref="A105:C105"/>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BB36-6542-4ECF-B88B-D6853B07E527}">
  <dimension ref="A1:O55"/>
  <sheetViews>
    <sheetView zoomScale="70" zoomScaleNormal="70" workbookViewId="0">
      <selection activeCell="K58" sqref="K58"/>
    </sheetView>
  </sheetViews>
  <sheetFormatPr defaultRowHeight="15" customHeight="1" x14ac:dyDescent="0.3"/>
  <cols>
    <col min="1" max="1" width="75.77734375" style="208" customWidth="1"/>
    <col min="2" max="2" width="9" style="208" bestFit="1" customWidth="1"/>
    <col min="3" max="4" width="14.21875" style="208" bestFit="1" customWidth="1"/>
    <col min="5" max="6" width="16.33203125" style="208" bestFit="1" customWidth="1"/>
    <col min="7" max="7" width="8.88671875" style="208"/>
    <col min="8" max="8" width="13.44140625" style="208" bestFit="1" customWidth="1"/>
    <col min="9" max="10" width="11.6640625" style="208" bestFit="1" customWidth="1"/>
    <col min="11" max="16384" width="8.88671875" style="208"/>
  </cols>
  <sheetData>
    <row r="1" spans="1:15" s="234" customFormat="1" ht="15" customHeight="1" thickTop="1" thickBot="1" x14ac:dyDescent="0.35">
      <c r="A1" s="232"/>
      <c r="B1" s="233" t="s">
        <v>95</v>
      </c>
      <c r="C1" s="233">
        <v>2020</v>
      </c>
      <c r="D1" s="233">
        <v>2021</v>
      </c>
      <c r="E1" s="233">
        <v>2022</v>
      </c>
      <c r="F1" s="233">
        <v>2023</v>
      </c>
      <c r="H1" s="235" t="s">
        <v>602</v>
      </c>
      <c r="I1" s="235" t="s">
        <v>603</v>
      </c>
      <c r="J1" s="235" t="s">
        <v>604</v>
      </c>
      <c r="L1" s="233">
        <v>2020</v>
      </c>
      <c r="M1" s="233">
        <v>2021</v>
      </c>
      <c r="N1" s="233">
        <v>2022</v>
      </c>
      <c r="O1" s="233">
        <v>2023</v>
      </c>
    </row>
    <row r="2" spans="1:15" s="209" customFormat="1" ht="15" customHeight="1" thickTop="1" thickBot="1" x14ac:dyDescent="0.35">
      <c r="A2" s="473" t="s">
        <v>176</v>
      </c>
      <c r="B2" s="474"/>
      <c r="C2" s="475"/>
      <c r="D2" s="475"/>
      <c r="E2" s="475"/>
      <c r="F2" s="476"/>
    </row>
    <row r="3" spans="1:15" s="209" customFormat="1" ht="15" customHeight="1" thickTop="1" x14ac:dyDescent="0.3">
      <c r="A3" s="204" t="s">
        <v>177</v>
      </c>
      <c r="B3" s="210">
        <v>1</v>
      </c>
      <c r="C3" s="211">
        <v>-66500574.689760432</v>
      </c>
      <c r="D3" s="211">
        <v>13468077.908288538</v>
      </c>
      <c r="E3" s="211">
        <v>26792943</v>
      </c>
      <c r="F3" s="212">
        <v>33440643</v>
      </c>
      <c r="H3" s="311">
        <f>(D3-C3)/C3</f>
        <v>-1.2025257371251306</v>
      </c>
      <c r="I3" s="311">
        <f t="shared" ref="I3:J3" si="0">(E3-D3)/INT(D3)</f>
        <v>0.98936656597014272</v>
      </c>
      <c r="J3" s="311">
        <f t="shared" si="0"/>
        <v>0.24811384102149583</v>
      </c>
    </row>
    <row r="4" spans="1:15" s="209" customFormat="1" ht="15" customHeight="1" x14ac:dyDescent="0.3">
      <c r="A4" s="394" t="s">
        <v>178</v>
      </c>
      <c r="B4" s="335">
        <v>2</v>
      </c>
      <c r="C4" s="336">
        <v>83311377.131860107</v>
      </c>
      <c r="D4" s="336">
        <v>76610761.9616431</v>
      </c>
      <c r="E4" s="336">
        <v>75504364</v>
      </c>
      <c r="F4" s="337">
        <v>69731646</v>
      </c>
      <c r="H4" s="338">
        <f t="shared" ref="H4:H54" si="1">(D4-C4)/C4</f>
        <v>-8.0428572914017338E-2</v>
      </c>
      <c r="I4" s="339">
        <f t="shared" ref="I4:I54" si="2">(E4-D4)/D4</f>
        <v>-1.4441808609044286E-2</v>
      </c>
      <c r="J4" s="340">
        <f t="shared" ref="J4:J54" si="3">(F4-E4)/E4</f>
        <v>-7.6455421834955128E-2</v>
      </c>
    </row>
    <row r="5" spans="1:15" s="209" customFormat="1" ht="15" customHeight="1" x14ac:dyDescent="0.3">
      <c r="A5" s="395" t="s">
        <v>179</v>
      </c>
      <c r="B5" s="341">
        <v>3</v>
      </c>
      <c r="C5" s="342">
        <v>65889447.740394183</v>
      </c>
      <c r="D5" s="342">
        <v>67335054.61543566</v>
      </c>
      <c r="E5" s="342">
        <v>66055469</v>
      </c>
      <c r="F5" s="343">
        <v>65778289</v>
      </c>
      <c r="H5" s="344">
        <f t="shared" si="1"/>
        <v>2.1939884528053705E-2</v>
      </c>
      <c r="I5" s="345">
        <f t="shared" si="2"/>
        <v>-1.9003260972217762E-2</v>
      </c>
      <c r="J5" s="346">
        <f t="shared" si="3"/>
        <v>-4.1961703428371692E-3</v>
      </c>
    </row>
    <row r="6" spans="1:15" s="209" customFormat="1" ht="15" customHeight="1" x14ac:dyDescent="0.3">
      <c r="A6" s="395" t="s">
        <v>180</v>
      </c>
      <c r="B6" s="341">
        <v>4</v>
      </c>
      <c r="C6" s="342">
        <v>-430785.18813458091</v>
      </c>
      <c r="D6" s="342">
        <v>274979.89249452518</v>
      </c>
      <c r="E6" s="342">
        <v>-1596321</v>
      </c>
      <c r="F6" s="343">
        <v>960281</v>
      </c>
      <c r="H6" s="344">
        <f t="shared" si="1"/>
        <v>-1.6383225330593754</v>
      </c>
      <c r="I6" s="345">
        <f t="shared" si="2"/>
        <v>-6.8052281042032288</v>
      </c>
      <c r="J6" s="346">
        <f t="shared" si="3"/>
        <v>-1.6015588343447213</v>
      </c>
    </row>
    <row r="7" spans="1:15" s="209" customFormat="1" ht="15" customHeight="1" x14ac:dyDescent="0.3">
      <c r="A7" s="395" t="s">
        <v>181</v>
      </c>
      <c r="B7" s="341">
        <v>5</v>
      </c>
      <c r="C7" s="342">
        <v>0</v>
      </c>
      <c r="D7" s="342">
        <v>-1767311.168624328</v>
      </c>
      <c r="E7" s="342">
        <v>0</v>
      </c>
      <c r="F7" s="343">
        <v>0</v>
      </c>
      <c r="H7" s="344"/>
      <c r="I7" s="345">
        <f t="shared" si="2"/>
        <v>-1</v>
      </c>
      <c r="J7" s="346"/>
    </row>
    <row r="8" spans="1:15" s="209" customFormat="1" ht="15" customHeight="1" x14ac:dyDescent="0.3">
      <c r="A8" s="395" t="s">
        <v>182</v>
      </c>
      <c r="B8" s="341">
        <v>6</v>
      </c>
      <c r="C8" s="342">
        <v>-68193.244409051695</v>
      </c>
      <c r="D8" s="342">
        <v>-11433.40633087796</v>
      </c>
      <c r="E8" s="342">
        <v>-12008</v>
      </c>
      <c r="F8" s="343">
        <v>-2379352</v>
      </c>
      <c r="H8" s="344">
        <f t="shared" si="1"/>
        <v>-0.83233813803760981</v>
      </c>
      <c r="I8" s="345">
        <f t="shared" si="2"/>
        <v>5.0255685181960726E-2</v>
      </c>
      <c r="J8" s="346">
        <f t="shared" si="3"/>
        <v>197.14723517654897</v>
      </c>
    </row>
    <row r="9" spans="1:15" s="209" customFormat="1" ht="15" customHeight="1" x14ac:dyDescent="0.3">
      <c r="A9" s="395" t="s">
        <v>183</v>
      </c>
      <c r="B9" s="341">
        <v>7</v>
      </c>
      <c r="C9" s="342">
        <v>9106525.9804897457</v>
      </c>
      <c r="D9" s="342">
        <v>9457380.3172075115</v>
      </c>
      <c r="E9" s="342">
        <v>8508006</v>
      </c>
      <c r="F9" s="343">
        <v>8832617</v>
      </c>
      <c r="H9" s="344">
        <f t="shared" si="1"/>
        <v>3.8527791769271048E-2</v>
      </c>
      <c r="I9" s="345">
        <f t="shared" si="2"/>
        <v>-0.10038449183228301</v>
      </c>
      <c r="J9" s="346">
        <f t="shared" si="3"/>
        <v>3.8153593215613624E-2</v>
      </c>
    </row>
    <row r="10" spans="1:15" s="209" customFormat="1" ht="15" customHeight="1" x14ac:dyDescent="0.3">
      <c r="A10" s="395" t="s">
        <v>184</v>
      </c>
      <c r="B10" s="341">
        <v>8</v>
      </c>
      <c r="C10" s="342">
        <v>2940090.5169553384</v>
      </c>
      <c r="D10" s="342">
        <v>3326514.4336054148</v>
      </c>
      <c r="E10" s="342">
        <v>1480094</v>
      </c>
      <c r="F10" s="343">
        <v>-6410463</v>
      </c>
      <c r="H10" s="344">
        <f t="shared" si="1"/>
        <v>0.13143265978431315</v>
      </c>
      <c r="I10" s="345">
        <f t="shared" si="2"/>
        <v>-0.55506160290553364</v>
      </c>
      <c r="J10" s="346">
        <f t="shared" si="3"/>
        <v>-5.3311188343443048</v>
      </c>
    </row>
    <row r="11" spans="1:15" s="209" customFormat="1" ht="15" customHeight="1" x14ac:dyDescent="0.3">
      <c r="A11" s="395" t="s">
        <v>185</v>
      </c>
      <c r="B11" s="341">
        <v>9</v>
      </c>
      <c r="C11" s="342">
        <v>5563454.6419802243</v>
      </c>
      <c r="D11" s="342">
        <v>-1074575.8842657111</v>
      </c>
      <c r="E11" s="342">
        <v>960284</v>
      </c>
      <c r="F11" s="343">
        <v>0</v>
      </c>
      <c r="H11" s="344">
        <f t="shared" si="1"/>
        <v>-1.1931490330050094</v>
      </c>
      <c r="I11" s="345">
        <f t="shared" si="2"/>
        <v>-1.8936400063139236</v>
      </c>
      <c r="J11" s="346">
        <f t="shared" si="3"/>
        <v>-1</v>
      </c>
    </row>
    <row r="12" spans="1:15" s="209" customFormat="1" ht="15" customHeight="1" x14ac:dyDescent="0.3">
      <c r="A12" s="395" t="s">
        <v>186</v>
      </c>
      <c r="B12" s="341">
        <v>10</v>
      </c>
      <c r="C12" s="342">
        <v>310836.68458424578</v>
      </c>
      <c r="D12" s="342">
        <v>-929846.83787908952</v>
      </c>
      <c r="E12" s="342">
        <v>108840</v>
      </c>
      <c r="F12" s="343">
        <v>2950274</v>
      </c>
      <c r="H12" s="344">
        <f t="shared" si="1"/>
        <v>-3.9914321056499169</v>
      </c>
      <c r="I12" s="345">
        <f t="shared" si="2"/>
        <v>-1.1170515353348469</v>
      </c>
      <c r="J12" s="346">
        <f t="shared" si="3"/>
        <v>26.106523337008454</v>
      </c>
    </row>
    <row r="13" spans="1:15" s="209" customFormat="1" ht="15" customHeight="1" x14ac:dyDescent="0.3">
      <c r="A13" s="396" t="s">
        <v>623</v>
      </c>
      <c r="B13" s="324">
        <v>11</v>
      </c>
      <c r="C13" s="330">
        <v>16810802.442099676</v>
      </c>
      <c r="D13" s="330">
        <v>90078839.869931638</v>
      </c>
      <c r="E13" s="330">
        <v>102297307</v>
      </c>
      <c r="F13" s="331">
        <v>103172289</v>
      </c>
      <c r="H13" s="332">
        <f t="shared" si="1"/>
        <v>4.3583902481861987</v>
      </c>
      <c r="I13" s="333">
        <f t="shared" si="2"/>
        <v>0.13564192376046455</v>
      </c>
      <c r="J13" s="334">
        <f t="shared" si="3"/>
        <v>8.5533238915077199E-3</v>
      </c>
    </row>
    <row r="14" spans="1:15" s="209" customFormat="1" ht="15" customHeight="1" x14ac:dyDescent="0.3">
      <c r="A14" s="394" t="s">
        <v>187</v>
      </c>
      <c r="B14" s="335">
        <v>12</v>
      </c>
      <c r="C14" s="336">
        <v>-17697173.136903577</v>
      </c>
      <c r="D14" s="336">
        <v>169562.54562346538</v>
      </c>
      <c r="E14" s="336">
        <v>1331243</v>
      </c>
      <c r="F14" s="337">
        <v>18458416</v>
      </c>
      <c r="H14" s="338">
        <f t="shared" si="1"/>
        <v>-1.009581335070395</v>
      </c>
      <c r="I14" s="339">
        <f t="shared" si="2"/>
        <v>6.851043962009097</v>
      </c>
      <c r="J14" s="340">
        <f t="shared" si="3"/>
        <v>12.86554971556658</v>
      </c>
    </row>
    <row r="15" spans="1:15" s="209" customFormat="1" ht="15" hidden="1" customHeight="1" x14ac:dyDescent="0.3">
      <c r="A15" s="205" t="s">
        <v>188</v>
      </c>
      <c r="B15" s="215">
        <v>13</v>
      </c>
      <c r="C15" s="213">
        <v>-10924878.359546088</v>
      </c>
      <c r="D15" s="213">
        <v>-2999845.6433738135</v>
      </c>
      <c r="E15" s="213">
        <v>2502534</v>
      </c>
      <c r="F15" s="214">
        <v>23220896</v>
      </c>
      <c r="H15" s="312">
        <f t="shared" si="1"/>
        <v>-0.72541152911303874</v>
      </c>
      <c r="I15" s="313">
        <f t="shared" si="2"/>
        <v>-1.8342209225090309</v>
      </c>
      <c r="J15" s="314">
        <f t="shared" si="3"/>
        <v>8.2789532529827774</v>
      </c>
    </row>
    <row r="16" spans="1:15" s="209" customFormat="1" ht="15" hidden="1" customHeight="1" x14ac:dyDescent="0.3">
      <c r="A16" s="205" t="s">
        <v>189</v>
      </c>
      <c r="B16" s="215">
        <v>14</v>
      </c>
      <c r="C16" s="213">
        <v>-6173688.7650142675</v>
      </c>
      <c r="D16" s="213">
        <v>2667481.8501559491</v>
      </c>
      <c r="E16" s="213">
        <v>835130</v>
      </c>
      <c r="F16" s="214">
        <v>-2874035</v>
      </c>
      <c r="H16" s="312">
        <f t="shared" si="1"/>
        <v>-1.4320726152041103</v>
      </c>
      <c r="I16" s="313">
        <f t="shared" si="2"/>
        <v>-0.68692195601961614</v>
      </c>
      <c r="J16" s="314">
        <f t="shared" si="3"/>
        <v>-4.4414222935351386</v>
      </c>
    </row>
    <row r="17" spans="1:10" s="209" customFormat="1" ht="15" hidden="1" customHeight="1" x14ac:dyDescent="0.3">
      <c r="A17" s="205" t="s">
        <v>190</v>
      </c>
      <c r="B17" s="215">
        <v>15</v>
      </c>
      <c r="C17" s="213">
        <v>-598606.01234322111</v>
      </c>
      <c r="D17" s="213">
        <v>501926.33884132985</v>
      </c>
      <c r="E17" s="213">
        <v>-2006421</v>
      </c>
      <c r="F17" s="214">
        <v>-1888445</v>
      </c>
      <c r="H17" s="312">
        <f t="shared" si="1"/>
        <v>-1.8384919771797108</v>
      </c>
      <c r="I17" s="313">
        <f t="shared" si="2"/>
        <v>-4.9974411477025011</v>
      </c>
      <c r="J17" s="314">
        <f t="shared" si="3"/>
        <v>-5.8799225087855442E-2</v>
      </c>
    </row>
    <row r="18" spans="1:10" s="209" customFormat="1" ht="15" hidden="1" customHeight="1" x14ac:dyDescent="0.3">
      <c r="A18" s="205" t="s">
        <v>191</v>
      </c>
      <c r="B18" s="215">
        <v>16</v>
      </c>
      <c r="C18" s="213">
        <v>0</v>
      </c>
      <c r="D18" s="213">
        <v>0</v>
      </c>
      <c r="E18" s="213">
        <v>0</v>
      </c>
      <c r="F18" s="214">
        <v>0</v>
      </c>
      <c r="H18" s="312"/>
      <c r="I18" s="313"/>
      <c r="J18" s="314"/>
    </row>
    <row r="19" spans="1:10" s="209" customFormat="1" ht="15" customHeight="1" x14ac:dyDescent="0.3">
      <c r="A19" s="396" t="s">
        <v>624</v>
      </c>
      <c r="B19" s="324">
        <v>17</v>
      </c>
      <c r="C19" s="330">
        <v>-886370.69480390195</v>
      </c>
      <c r="D19" s="330">
        <v>90248402.415555105</v>
      </c>
      <c r="E19" s="330">
        <v>103628550</v>
      </c>
      <c r="F19" s="331">
        <v>121630705</v>
      </c>
      <c r="H19" s="332">
        <f t="shared" si="1"/>
        <v>-102.81789960409442</v>
      </c>
      <c r="I19" s="333">
        <f t="shared" si="2"/>
        <v>0.14825910737826767</v>
      </c>
      <c r="J19" s="334">
        <f t="shared" si="3"/>
        <v>0.17371810181653607</v>
      </c>
    </row>
    <row r="20" spans="1:10" s="209" customFormat="1" ht="15" hidden="1" customHeight="1" x14ac:dyDescent="0.3">
      <c r="A20" s="206" t="s">
        <v>192</v>
      </c>
      <c r="B20" s="215">
        <v>18</v>
      </c>
      <c r="C20" s="213">
        <v>-4551175.5259141279</v>
      </c>
      <c r="D20" s="213">
        <v>-9375988.8512840923</v>
      </c>
      <c r="E20" s="213">
        <v>-11480555</v>
      </c>
      <c r="F20" s="214">
        <v>-8342406</v>
      </c>
      <c r="H20" s="312">
        <f t="shared" si="1"/>
        <v>1.0601246420617616</v>
      </c>
      <c r="I20" s="313">
        <f t="shared" si="2"/>
        <v>0.22446338003352853</v>
      </c>
      <c r="J20" s="314">
        <f t="shared" si="3"/>
        <v>-0.27334471199345328</v>
      </c>
    </row>
    <row r="21" spans="1:10" s="209" customFormat="1" ht="15" hidden="1" customHeight="1" x14ac:dyDescent="0.3">
      <c r="A21" s="206" t="s">
        <v>193</v>
      </c>
      <c r="B21" s="215">
        <v>19</v>
      </c>
      <c r="C21" s="213">
        <v>463465.92341893952</v>
      </c>
      <c r="D21" s="213">
        <v>93595.062711526974</v>
      </c>
      <c r="E21" s="213">
        <v>-815</v>
      </c>
      <c r="F21" s="214">
        <v>-1085</v>
      </c>
      <c r="H21" s="312">
        <f t="shared" si="1"/>
        <v>-0.79805405752145486</v>
      </c>
      <c r="I21" s="313">
        <f t="shared" si="2"/>
        <v>-1.0087077242793452</v>
      </c>
      <c r="J21" s="314">
        <f t="shared" si="3"/>
        <v>0.33128834355828218</v>
      </c>
    </row>
    <row r="22" spans="1:10" s="209" customFormat="1" ht="15" customHeight="1" x14ac:dyDescent="0.3">
      <c r="A22" s="216" t="s">
        <v>595</v>
      </c>
      <c r="B22" s="217">
        <v>20</v>
      </c>
      <c r="C22" s="218">
        <v>-4974080.2972990908</v>
      </c>
      <c r="D22" s="218">
        <v>80966008.62698254</v>
      </c>
      <c r="E22" s="218">
        <v>92147180</v>
      </c>
      <c r="F22" s="219">
        <v>113287214</v>
      </c>
      <c r="H22" s="315">
        <f>(D22-C22)/-C22</f>
        <v>17.277583751703165</v>
      </c>
      <c r="I22" s="316">
        <f t="shared" si="2"/>
        <v>0.13809710473107414</v>
      </c>
      <c r="J22" s="317">
        <f t="shared" si="3"/>
        <v>0.22941596259375491</v>
      </c>
    </row>
    <row r="23" spans="1:10" s="209" customFormat="1" ht="15" hidden="1" customHeight="1" thickTop="1" thickBot="1" x14ac:dyDescent="0.35">
      <c r="A23" s="473" t="s">
        <v>194</v>
      </c>
      <c r="B23" s="474"/>
      <c r="C23" s="475"/>
      <c r="D23" s="475"/>
      <c r="E23" s="475"/>
      <c r="F23" s="476"/>
      <c r="H23" s="312"/>
      <c r="I23" s="313"/>
      <c r="J23" s="314"/>
    </row>
    <row r="24" spans="1:10" s="209" customFormat="1" ht="15" hidden="1" customHeight="1" thickTop="1" x14ac:dyDescent="0.3">
      <c r="A24" s="204" t="s">
        <v>195</v>
      </c>
      <c r="B24" s="210">
        <v>21</v>
      </c>
      <c r="C24" s="211">
        <v>1237835.8218859911</v>
      </c>
      <c r="D24" s="211">
        <v>502092.24235184811</v>
      </c>
      <c r="E24" s="211">
        <v>2370665</v>
      </c>
      <c r="F24" s="212">
        <v>180068</v>
      </c>
      <c r="H24" s="312">
        <f t="shared" si="1"/>
        <v>-0.59437896894367581</v>
      </c>
      <c r="I24" s="313">
        <f t="shared" si="2"/>
        <v>3.7215726514625644</v>
      </c>
      <c r="J24" s="314">
        <f t="shared" si="3"/>
        <v>-0.92404325368620199</v>
      </c>
    </row>
    <row r="25" spans="1:10" s="209" customFormat="1" ht="15" hidden="1" customHeight="1" x14ac:dyDescent="0.3">
      <c r="A25" s="206" t="s">
        <v>196</v>
      </c>
      <c r="B25" s="215">
        <v>22</v>
      </c>
      <c r="C25" s="213">
        <v>0</v>
      </c>
      <c r="D25" s="213">
        <v>0</v>
      </c>
      <c r="E25" s="213">
        <v>39820</v>
      </c>
      <c r="F25" s="214">
        <v>536796</v>
      </c>
      <c r="H25" s="312"/>
      <c r="I25" s="313"/>
      <c r="J25" s="314">
        <f t="shared" si="3"/>
        <v>12.480562531391261</v>
      </c>
    </row>
    <row r="26" spans="1:10" s="209" customFormat="1" ht="15" hidden="1" customHeight="1" x14ac:dyDescent="0.3">
      <c r="A26" s="206" t="s">
        <v>197</v>
      </c>
      <c r="B26" s="215">
        <v>23</v>
      </c>
      <c r="C26" s="213">
        <v>65787.378060919771</v>
      </c>
      <c r="D26" s="213">
        <v>13019.311168624328</v>
      </c>
      <c r="E26" s="213">
        <v>10857</v>
      </c>
      <c r="F26" s="214">
        <v>1858239</v>
      </c>
      <c r="H26" s="312">
        <f t="shared" si="1"/>
        <v>-0.80210016643970339</v>
      </c>
      <c r="I26" s="313">
        <f t="shared" si="2"/>
        <v>-0.16608491345036394</v>
      </c>
      <c r="J26" s="314">
        <f t="shared" si="3"/>
        <v>170.15584415584416</v>
      </c>
    </row>
    <row r="27" spans="1:10" s="209" customFormat="1" ht="15" hidden="1" customHeight="1" x14ac:dyDescent="0.3">
      <c r="A27" s="206" t="s">
        <v>198</v>
      </c>
      <c r="B27" s="215">
        <v>24</v>
      </c>
      <c r="C27" s="213">
        <v>0</v>
      </c>
      <c r="D27" s="213">
        <v>492.26889640984803</v>
      </c>
      <c r="E27" s="213">
        <v>1147</v>
      </c>
      <c r="F27" s="214">
        <v>2160</v>
      </c>
      <c r="H27" s="312"/>
      <c r="I27" s="313">
        <f t="shared" si="2"/>
        <v>1.3300273658668105</v>
      </c>
      <c r="J27" s="314">
        <f t="shared" si="3"/>
        <v>0.88317349607672191</v>
      </c>
    </row>
    <row r="28" spans="1:10" s="209" customFormat="1" ht="15" hidden="1" customHeight="1" x14ac:dyDescent="0.3">
      <c r="A28" s="206" t="s">
        <v>199</v>
      </c>
      <c r="B28" s="215">
        <v>25</v>
      </c>
      <c r="C28" s="213">
        <v>43047.1829583914</v>
      </c>
      <c r="D28" s="213">
        <v>29743.048642909282</v>
      </c>
      <c r="E28" s="213">
        <v>23610</v>
      </c>
      <c r="F28" s="214">
        <v>0</v>
      </c>
      <c r="H28" s="312">
        <f t="shared" si="1"/>
        <v>-0.3090593483978184</v>
      </c>
      <c r="I28" s="313">
        <f t="shared" si="2"/>
        <v>-0.20620107631002363</v>
      </c>
      <c r="J28" s="314">
        <f t="shared" si="3"/>
        <v>-1</v>
      </c>
    </row>
    <row r="29" spans="1:10" s="209" customFormat="1" ht="15" hidden="1" customHeight="1" x14ac:dyDescent="0.3">
      <c r="A29" s="206" t="s">
        <v>200</v>
      </c>
      <c r="B29" s="215">
        <v>26</v>
      </c>
      <c r="C29" s="213">
        <v>0</v>
      </c>
      <c r="D29" s="213">
        <v>0</v>
      </c>
      <c r="E29" s="213">
        <v>0</v>
      </c>
      <c r="F29" s="214">
        <v>0</v>
      </c>
      <c r="H29" s="312"/>
      <c r="I29" s="313"/>
      <c r="J29" s="314"/>
    </row>
    <row r="30" spans="1:10" s="209" customFormat="1" ht="15" hidden="1" customHeight="1" x14ac:dyDescent="0.3">
      <c r="A30" s="396" t="s">
        <v>625</v>
      </c>
      <c r="B30" s="324">
        <v>27</v>
      </c>
      <c r="C30" s="330">
        <v>1346670.3829053021</v>
      </c>
      <c r="D30" s="330">
        <v>545346.87105979165</v>
      </c>
      <c r="E30" s="330">
        <v>2446099</v>
      </c>
      <c r="F30" s="331">
        <v>2577263</v>
      </c>
      <c r="H30" s="332">
        <f t="shared" si="1"/>
        <v>-0.59504056970254138</v>
      </c>
      <c r="I30" s="333">
        <f t="shared" si="2"/>
        <v>3.4854002650577427</v>
      </c>
      <c r="J30" s="334">
        <f t="shared" si="3"/>
        <v>5.3621705417483102E-2</v>
      </c>
    </row>
    <row r="31" spans="1:10" s="209" customFormat="1" ht="15" hidden="1" customHeight="1" x14ac:dyDescent="0.3">
      <c r="A31" s="206" t="s">
        <v>201</v>
      </c>
      <c r="B31" s="215">
        <v>28</v>
      </c>
      <c r="C31" s="213">
        <v>-79085662.087729767</v>
      </c>
      <c r="D31" s="213">
        <v>-15310255.491406197</v>
      </c>
      <c r="E31" s="213">
        <v>-42111057</v>
      </c>
      <c r="F31" s="214">
        <v>-58603851</v>
      </c>
      <c r="H31" s="312">
        <f t="shared" si="1"/>
        <v>-0.80640921391765652</v>
      </c>
      <c r="I31" s="313">
        <f t="shared" si="2"/>
        <v>1.7505130155167803</v>
      </c>
      <c r="J31" s="314">
        <f t="shared" si="3"/>
        <v>0.39164996499612914</v>
      </c>
    </row>
    <row r="32" spans="1:10" s="209" customFormat="1" ht="15" hidden="1" customHeight="1" x14ac:dyDescent="0.3">
      <c r="A32" s="206" t="s">
        <v>202</v>
      </c>
      <c r="B32" s="215">
        <v>29</v>
      </c>
      <c r="C32" s="213">
        <v>0</v>
      </c>
      <c r="D32" s="213">
        <v>0</v>
      </c>
      <c r="E32" s="213">
        <v>-191898</v>
      </c>
      <c r="F32" s="214">
        <v>0</v>
      </c>
      <c r="H32" s="312"/>
      <c r="I32" s="313"/>
      <c r="J32" s="314">
        <f t="shared" si="3"/>
        <v>-1</v>
      </c>
    </row>
    <row r="33" spans="1:10" s="209" customFormat="1" ht="15" hidden="1" customHeight="1" x14ac:dyDescent="0.3">
      <c r="A33" s="206" t="s">
        <v>203</v>
      </c>
      <c r="B33" s="215">
        <v>30</v>
      </c>
      <c r="C33" s="213">
        <v>-29930.851416815978</v>
      </c>
      <c r="D33" s="213">
        <v>-5670299.2899329746</v>
      </c>
      <c r="E33" s="213">
        <v>-11811810</v>
      </c>
      <c r="F33" s="214">
        <v>-7200000</v>
      </c>
      <c r="H33" s="312">
        <f t="shared" si="1"/>
        <v>188.44664189362967</v>
      </c>
      <c r="I33" s="313">
        <f t="shared" si="2"/>
        <v>1.083101684062892</v>
      </c>
      <c r="J33" s="314">
        <f t="shared" si="3"/>
        <v>-0.39044058446588625</v>
      </c>
    </row>
    <row r="34" spans="1:10" s="209" customFormat="1" ht="15" hidden="1" customHeight="1" x14ac:dyDescent="0.3">
      <c r="A34" s="206" t="s">
        <v>204</v>
      </c>
      <c r="B34" s="215">
        <v>31</v>
      </c>
      <c r="C34" s="213">
        <v>0</v>
      </c>
      <c r="D34" s="213">
        <v>0</v>
      </c>
      <c r="E34" s="213">
        <v>0</v>
      </c>
      <c r="F34" s="214">
        <v>0</v>
      </c>
      <c r="H34" s="312"/>
      <c r="I34" s="313"/>
      <c r="J34" s="314"/>
    </row>
    <row r="35" spans="1:10" s="209" customFormat="1" ht="15" hidden="1" customHeight="1" x14ac:dyDescent="0.3">
      <c r="A35" s="206" t="s">
        <v>205</v>
      </c>
      <c r="B35" s="215">
        <v>32</v>
      </c>
      <c r="C35" s="213">
        <v>0</v>
      </c>
      <c r="D35" s="213">
        <v>-425167.03165438981</v>
      </c>
      <c r="E35" s="213">
        <v>-5455406</v>
      </c>
      <c r="F35" s="214">
        <v>-3022425</v>
      </c>
      <c r="H35" s="312"/>
      <c r="I35" s="313">
        <f t="shared" si="2"/>
        <v>11.831206546688682</v>
      </c>
      <c r="J35" s="314">
        <f t="shared" si="3"/>
        <v>-0.44597615649504363</v>
      </c>
    </row>
    <row r="36" spans="1:10" s="209" customFormat="1" ht="15" hidden="1" customHeight="1" x14ac:dyDescent="0.3">
      <c r="A36" s="396" t="s">
        <v>626</v>
      </c>
      <c r="B36" s="324">
        <v>33</v>
      </c>
      <c r="C36" s="330">
        <v>-79115592.939146593</v>
      </c>
      <c r="D36" s="330">
        <v>-21405721.81299356</v>
      </c>
      <c r="E36" s="330">
        <v>-59570171</v>
      </c>
      <c r="F36" s="331">
        <v>-68826276</v>
      </c>
      <c r="H36" s="332">
        <f t="shared" si="1"/>
        <v>-0.72943738373473088</v>
      </c>
      <c r="I36" s="333">
        <f t="shared" si="2"/>
        <v>1.7829087717957781</v>
      </c>
      <c r="J36" s="334">
        <f t="shared" si="3"/>
        <v>0.15538154154366957</v>
      </c>
    </row>
    <row r="37" spans="1:10" s="209" customFormat="1" ht="15" customHeight="1" x14ac:dyDescent="0.3">
      <c r="A37" s="216" t="s">
        <v>620</v>
      </c>
      <c r="B37" s="217">
        <v>34</v>
      </c>
      <c r="C37" s="218">
        <v>-77768922.556241289</v>
      </c>
      <c r="D37" s="218">
        <v>-20860374.94193377</v>
      </c>
      <c r="E37" s="218">
        <v>-57124072</v>
      </c>
      <c r="F37" s="219">
        <v>-66249013</v>
      </c>
      <c r="H37" s="315">
        <f>(D37-C37)/-C37</f>
        <v>0.73176463995823182</v>
      </c>
      <c r="I37" s="316">
        <f t="shared" si="2"/>
        <v>1.7384010191096098</v>
      </c>
      <c r="J37" s="317">
        <f t="shared" si="3"/>
        <v>0.15973898009231555</v>
      </c>
    </row>
    <row r="38" spans="1:10" s="209" customFormat="1" ht="15" hidden="1" customHeight="1" thickTop="1" thickBot="1" x14ac:dyDescent="0.35">
      <c r="A38" s="473" t="s">
        <v>206</v>
      </c>
      <c r="B38" s="474"/>
      <c r="C38" s="475"/>
      <c r="D38" s="475"/>
      <c r="E38" s="475"/>
      <c r="F38" s="476"/>
      <c r="H38" s="312"/>
      <c r="I38" s="313"/>
      <c r="J38" s="314"/>
    </row>
    <row r="39" spans="1:10" s="209" customFormat="1" ht="15" hidden="1" customHeight="1" thickTop="1" x14ac:dyDescent="0.3">
      <c r="A39" s="204" t="s">
        <v>207</v>
      </c>
      <c r="B39" s="210">
        <v>35</v>
      </c>
      <c r="C39" s="211">
        <v>0</v>
      </c>
      <c r="D39" s="211">
        <v>0</v>
      </c>
      <c r="E39" s="211">
        <v>0</v>
      </c>
      <c r="F39" s="212">
        <v>0</v>
      </c>
      <c r="H39" s="312"/>
      <c r="I39" s="313"/>
      <c r="J39" s="314"/>
    </row>
    <row r="40" spans="1:10" s="209" customFormat="1" ht="15" hidden="1" customHeight="1" x14ac:dyDescent="0.3">
      <c r="A40" s="206" t="s">
        <v>208</v>
      </c>
      <c r="B40" s="215">
        <v>36</v>
      </c>
      <c r="C40" s="213">
        <v>0</v>
      </c>
      <c r="D40" s="213">
        <v>0</v>
      </c>
      <c r="E40" s="213">
        <v>0</v>
      </c>
      <c r="F40" s="214">
        <v>0</v>
      </c>
      <c r="H40" s="312"/>
      <c r="I40" s="313"/>
      <c r="J40" s="314"/>
    </row>
    <row r="41" spans="1:10" s="209" customFormat="1" ht="15" hidden="1" customHeight="1" x14ac:dyDescent="0.3">
      <c r="A41" s="206" t="s">
        <v>209</v>
      </c>
      <c r="B41" s="215">
        <v>37</v>
      </c>
      <c r="C41" s="213">
        <v>104269040.14864954</v>
      </c>
      <c r="D41" s="213">
        <v>50414842.126219384</v>
      </c>
      <c r="E41" s="213">
        <v>7986429</v>
      </c>
      <c r="F41" s="214">
        <v>17370731</v>
      </c>
      <c r="H41" s="312">
        <f t="shared" si="1"/>
        <v>-0.51649269951707388</v>
      </c>
      <c r="I41" s="313">
        <f t="shared" si="2"/>
        <v>-0.84158575801933388</v>
      </c>
      <c r="J41" s="314">
        <f t="shared" si="3"/>
        <v>1.1750310432860545</v>
      </c>
    </row>
    <row r="42" spans="1:10" s="209" customFormat="1" ht="15" hidden="1" customHeight="1" x14ac:dyDescent="0.3">
      <c r="A42" s="206" t="s">
        <v>210</v>
      </c>
      <c r="B42" s="215">
        <v>38</v>
      </c>
      <c r="C42" s="213">
        <v>449930.05507996544</v>
      </c>
      <c r="D42" s="213">
        <v>44950157.276527971</v>
      </c>
      <c r="E42" s="213">
        <v>363583</v>
      </c>
      <c r="F42" s="214">
        <v>336793</v>
      </c>
      <c r="H42" s="312">
        <f t="shared" si="1"/>
        <v>98.904766905467213</v>
      </c>
      <c r="I42" s="313">
        <f t="shared" si="2"/>
        <v>-0.99191141873512745</v>
      </c>
      <c r="J42" s="314">
        <f t="shared" si="3"/>
        <v>-7.3683313026186595E-2</v>
      </c>
    </row>
    <row r="43" spans="1:10" s="209" customFormat="1" ht="15" hidden="1" customHeight="1" x14ac:dyDescent="0.3">
      <c r="A43" s="396" t="s">
        <v>621</v>
      </c>
      <c r="B43" s="324">
        <v>39</v>
      </c>
      <c r="C43" s="325">
        <v>104718970.20372951</v>
      </c>
      <c r="D43" s="325">
        <v>95364999.402747363</v>
      </c>
      <c r="E43" s="325">
        <v>8350012</v>
      </c>
      <c r="F43" s="326">
        <v>17707524</v>
      </c>
      <c r="H43" s="327">
        <f t="shared" si="1"/>
        <v>-8.9324510953307776E-2</v>
      </c>
      <c r="I43" s="328">
        <f t="shared" si="2"/>
        <v>-0.91244154509207243</v>
      </c>
      <c r="J43" s="329">
        <f t="shared" si="3"/>
        <v>1.1206585092332801</v>
      </c>
    </row>
    <row r="44" spans="1:10" s="209" customFormat="1" ht="15" hidden="1" customHeight="1" x14ac:dyDescent="0.3">
      <c r="A44" s="206" t="s">
        <v>211</v>
      </c>
      <c r="B44" s="215">
        <v>40</v>
      </c>
      <c r="C44" s="213">
        <v>-6110410.5116464263</v>
      </c>
      <c r="D44" s="213">
        <v>-95312899.064304203</v>
      </c>
      <c r="E44" s="213">
        <v>-76386728</v>
      </c>
      <c r="F44" s="214">
        <v>-69465794</v>
      </c>
      <c r="H44" s="312">
        <f t="shared" si="1"/>
        <v>14.598444471551964</v>
      </c>
      <c r="I44" s="313">
        <f t="shared" si="2"/>
        <v>-0.19856883223681396</v>
      </c>
      <c r="J44" s="314">
        <f t="shared" si="3"/>
        <v>-9.060388082076247E-2</v>
      </c>
    </row>
    <row r="45" spans="1:10" s="209" customFormat="1" ht="15" hidden="1" customHeight="1" x14ac:dyDescent="0.3">
      <c r="A45" s="206" t="s">
        <v>212</v>
      </c>
      <c r="B45" s="215">
        <v>41</v>
      </c>
      <c r="C45" s="213">
        <v>0</v>
      </c>
      <c r="D45" s="213">
        <v>0</v>
      </c>
      <c r="E45" s="213">
        <v>-25088855</v>
      </c>
      <c r="F45" s="214">
        <v>-26912708</v>
      </c>
      <c r="H45" s="312"/>
      <c r="I45" s="313"/>
      <c r="J45" s="314"/>
    </row>
    <row r="46" spans="1:10" s="209" customFormat="1" ht="15" hidden="1" customHeight="1" x14ac:dyDescent="0.3">
      <c r="A46" s="206" t="s">
        <v>213</v>
      </c>
      <c r="B46" s="215">
        <v>42</v>
      </c>
      <c r="C46" s="213">
        <v>-9595.8590483774624</v>
      </c>
      <c r="D46" s="213">
        <v>-10192.315349392793</v>
      </c>
      <c r="E46" s="213">
        <v>-5050</v>
      </c>
      <c r="F46" s="214">
        <v>-5470</v>
      </c>
      <c r="H46" s="312">
        <f t="shared" si="1"/>
        <v>6.2157676348547845E-2</v>
      </c>
      <c r="I46" s="313">
        <f t="shared" si="2"/>
        <v>-0.50452867411516522</v>
      </c>
      <c r="J46" s="314">
        <f t="shared" si="3"/>
        <v>8.3168316831683173E-2</v>
      </c>
    </row>
    <row r="47" spans="1:10" s="209" customFormat="1" ht="15" hidden="1" customHeight="1" x14ac:dyDescent="0.3">
      <c r="A47" s="206" t="s">
        <v>214</v>
      </c>
      <c r="B47" s="215">
        <v>43</v>
      </c>
      <c r="C47" s="213">
        <v>0</v>
      </c>
      <c r="D47" s="213">
        <v>0</v>
      </c>
      <c r="E47" s="213">
        <v>0</v>
      </c>
      <c r="F47" s="214">
        <v>-1772315</v>
      </c>
      <c r="H47" s="312"/>
      <c r="I47" s="313"/>
      <c r="J47" s="314"/>
    </row>
    <row r="48" spans="1:10" s="209" customFormat="1" ht="15" hidden="1" customHeight="1" x14ac:dyDescent="0.3">
      <c r="A48" s="206" t="s">
        <v>215</v>
      </c>
      <c r="B48" s="215">
        <v>44</v>
      </c>
      <c r="C48" s="213">
        <v>-487952.21978897072</v>
      </c>
      <c r="D48" s="213">
        <v>-511875.90417413227</v>
      </c>
      <c r="E48" s="213">
        <v>-613056</v>
      </c>
      <c r="F48" s="214">
        <v>-703661</v>
      </c>
      <c r="H48" s="312">
        <f t="shared" si="1"/>
        <v>4.9028743829689012E-2</v>
      </c>
      <c r="I48" s="313">
        <f t="shared" si="2"/>
        <v>0.19766528371581216</v>
      </c>
      <c r="J48" s="314">
        <f t="shared" si="3"/>
        <v>0.14779237133312453</v>
      </c>
    </row>
    <row r="49" spans="1:10" s="209" customFormat="1" ht="15" hidden="1" customHeight="1" x14ac:dyDescent="0.3">
      <c r="A49" s="396" t="s">
        <v>622</v>
      </c>
      <c r="B49" s="324">
        <v>45</v>
      </c>
      <c r="C49" s="325">
        <v>-6607958.5904837744</v>
      </c>
      <c r="D49" s="325">
        <v>-95834967.283827722</v>
      </c>
      <c r="E49" s="325">
        <v>-102093689</v>
      </c>
      <c r="F49" s="326">
        <v>-98859948</v>
      </c>
      <c r="H49" s="327">
        <f t="shared" si="1"/>
        <v>13.502961235538185</v>
      </c>
      <c r="I49" s="328">
        <f t="shared" si="2"/>
        <v>6.5307287032678366E-2</v>
      </c>
      <c r="J49" s="329">
        <f t="shared" si="3"/>
        <v>-3.1674249717825356E-2</v>
      </c>
    </row>
    <row r="50" spans="1:10" s="209" customFormat="1" ht="15" customHeight="1" x14ac:dyDescent="0.3">
      <c r="A50" s="220" t="s">
        <v>596</v>
      </c>
      <c r="B50" s="221">
        <v>46</v>
      </c>
      <c r="C50" s="222">
        <v>98111011.613245726</v>
      </c>
      <c r="D50" s="222">
        <v>-469967.88108036364</v>
      </c>
      <c r="E50" s="222">
        <v>-93743677</v>
      </c>
      <c r="F50" s="223">
        <v>-81152424</v>
      </c>
      <c r="H50" s="315">
        <f t="shared" si="1"/>
        <v>-1.0047901644611819</v>
      </c>
      <c r="I50" s="316">
        <f t="shared" si="2"/>
        <v>198.46826320237406</v>
      </c>
      <c r="J50" s="317">
        <f t="shared" si="3"/>
        <v>-0.13431575763771247</v>
      </c>
    </row>
    <row r="51" spans="1:10" s="209" customFormat="1" ht="15" customHeight="1" x14ac:dyDescent="0.3">
      <c r="A51" s="206" t="s">
        <v>216</v>
      </c>
      <c r="B51" s="215">
        <v>47</v>
      </c>
      <c r="C51" s="213">
        <v>0</v>
      </c>
      <c r="D51" s="213">
        <v>0</v>
      </c>
      <c r="E51" s="213">
        <v>0</v>
      </c>
      <c r="F51" s="214">
        <v>0</v>
      </c>
      <c r="H51" s="312"/>
      <c r="I51" s="313"/>
      <c r="J51" s="314"/>
    </row>
    <row r="52" spans="1:10" s="209" customFormat="1" ht="15" customHeight="1" x14ac:dyDescent="0.3">
      <c r="A52" s="228" t="s">
        <v>598</v>
      </c>
      <c r="B52" s="229">
        <v>48</v>
      </c>
      <c r="C52" s="230">
        <v>15368008.759705355</v>
      </c>
      <c r="D52" s="230">
        <v>59635665.803968407</v>
      </c>
      <c r="E52" s="230">
        <v>-58720569</v>
      </c>
      <c r="F52" s="231">
        <v>-34114223</v>
      </c>
      <c r="H52" s="318">
        <f t="shared" si="1"/>
        <v>2.8805070153481469</v>
      </c>
      <c r="I52" s="319">
        <f t="shared" si="2"/>
        <v>-1.9846552094014263</v>
      </c>
      <c r="J52" s="320">
        <f t="shared" si="3"/>
        <v>-0.41904134137392302</v>
      </c>
    </row>
    <row r="53" spans="1:10" s="209" customFormat="1" ht="15" customHeight="1" x14ac:dyDescent="0.3">
      <c r="A53" s="207" t="s">
        <v>217</v>
      </c>
      <c r="B53" s="215">
        <v>49</v>
      </c>
      <c r="C53" s="213">
        <v>73016475.943990976</v>
      </c>
      <c r="D53" s="213">
        <v>88384484.703696325</v>
      </c>
      <c r="E53" s="213">
        <v>148020151</v>
      </c>
      <c r="F53" s="214">
        <v>89299582</v>
      </c>
      <c r="H53" s="312">
        <f t="shared" si="1"/>
        <v>0.21047316459772375</v>
      </c>
      <c r="I53" s="313">
        <f t="shared" si="2"/>
        <v>0.67473003317526448</v>
      </c>
      <c r="J53" s="314">
        <f t="shared" si="3"/>
        <v>-0.39670658760508898</v>
      </c>
    </row>
    <row r="54" spans="1:10" s="209" customFormat="1" ht="15" customHeight="1" thickBot="1" x14ac:dyDescent="0.35">
      <c r="A54" s="224" t="s">
        <v>597</v>
      </c>
      <c r="B54" s="225">
        <v>50</v>
      </c>
      <c r="C54" s="226">
        <v>88384484.703696325</v>
      </c>
      <c r="D54" s="226">
        <v>148020150.50766474</v>
      </c>
      <c r="E54" s="226">
        <v>89299582</v>
      </c>
      <c r="F54" s="227">
        <v>55185359</v>
      </c>
      <c r="H54" s="321">
        <f t="shared" si="1"/>
        <v>0.67473002760488343</v>
      </c>
      <c r="I54" s="322">
        <f t="shared" si="2"/>
        <v>-0.39670658559845262</v>
      </c>
      <c r="J54" s="323">
        <f t="shared" si="3"/>
        <v>-0.38201996287059886</v>
      </c>
    </row>
    <row r="55" spans="1:10" ht="15" customHeight="1" thickTop="1" x14ac:dyDescent="0.3"/>
  </sheetData>
  <mergeCells count="3">
    <mergeCell ref="A2:F2"/>
    <mergeCell ref="A23:F23"/>
    <mergeCell ref="A38:F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73A61-EA7C-43BD-AC3A-62F4D36B50E9}">
  <dimension ref="A1:AC63"/>
  <sheetViews>
    <sheetView topLeftCell="A45" workbookViewId="0">
      <selection activeCell="G14" sqref="G14"/>
    </sheetView>
  </sheetViews>
  <sheetFormatPr defaultRowHeight="13.2" x14ac:dyDescent="0.25"/>
  <cols>
    <col min="1" max="4" width="8.88671875" style="1"/>
    <col min="5" max="5" width="10.109375" style="1" bestFit="1" customWidth="1"/>
    <col min="6" max="6" width="8.88671875" style="1"/>
    <col min="7" max="7" width="10.109375" style="1" bestFit="1" customWidth="1"/>
    <col min="8" max="25" width="13.44140625" style="5" customWidth="1"/>
    <col min="26" max="26" width="13.44140625" style="6" customWidth="1"/>
    <col min="27" max="29" width="8.88671875" style="6"/>
    <col min="30" max="261" width="8.88671875" style="1"/>
    <col min="262" max="262" width="10.109375" style="1" bestFit="1" customWidth="1"/>
    <col min="263" max="266" width="8.88671875" style="1"/>
    <col min="267" max="268" width="9.88671875" style="1" bestFit="1" customWidth="1"/>
    <col min="269" max="517" width="8.88671875" style="1"/>
    <col min="518" max="518" width="10.109375" style="1" bestFit="1" customWidth="1"/>
    <col min="519" max="522" width="8.88671875" style="1"/>
    <col min="523" max="524" width="9.88671875" style="1" bestFit="1" customWidth="1"/>
    <col min="525" max="773" width="8.88671875" style="1"/>
    <col min="774" max="774" width="10.109375" style="1" bestFit="1" customWidth="1"/>
    <col min="775" max="778" width="8.88671875" style="1"/>
    <col min="779" max="780" width="9.88671875" style="1" bestFit="1" customWidth="1"/>
    <col min="781" max="1029" width="8.88671875" style="1"/>
    <col min="1030" max="1030" width="10.109375" style="1" bestFit="1" customWidth="1"/>
    <col min="1031" max="1034" width="8.88671875" style="1"/>
    <col min="1035" max="1036" width="9.88671875" style="1" bestFit="1" customWidth="1"/>
    <col min="1037" max="1285" width="8.88671875" style="1"/>
    <col min="1286" max="1286" width="10.109375" style="1" bestFit="1" customWidth="1"/>
    <col min="1287" max="1290" width="8.88671875" style="1"/>
    <col min="1291" max="1292" width="9.88671875" style="1" bestFit="1" customWidth="1"/>
    <col min="1293" max="1541" width="8.88671875" style="1"/>
    <col min="1542" max="1542" width="10.109375" style="1" bestFit="1" customWidth="1"/>
    <col min="1543" max="1546" width="8.88671875" style="1"/>
    <col min="1547" max="1548" width="9.88671875" style="1" bestFit="1" customWidth="1"/>
    <col min="1549" max="1797" width="8.88671875" style="1"/>
    <col min="1798" max="1798" width="10.109375" style="1" bestFit="1" customWidth="1"/>
    <col min="1799" max="1802" width="8.88671875" style="1"/>
    <col min="1803" max="1804" width="9.88671875" style="1" bestFit="1" customWidth="1"/>
    <col min="1805" max="2053" width="8.88671875" style="1"/>
    <col min="2054" max="2054" width="10.109375" style="1" bestFit="1" customWidth="1"/>
    <col min="2055" max="2058" width="8.88671875" style="1"/>
    <col min="2059" max="2060" width="9.88671875" style="1" bestFit="1" customWidth="1"/>
    <col min="2061" max="2309" width="8.88671875" style="1"/>
    <col min="2310" max="2310" width="10.109375" style="1" bestFit="1" customWidth="1"/>
    <col min="2311" max="2314" width="8.88671875" style="1"/>
    <col min="2315" max="2316" width="9.88671875" style="1" bestFit="1" customWidth="1"/>
    <col min="2317" max="2565" width="8.88671875" style="1"/>
    <col min="2566" max="2566" width="10.109375" style="1" bestFit="1" customWidth="1"/>
    <col min="2567" max="2570" width="8.88671875" style="1"/>
    <col min="2571" max="2572" width="9.88671875" style="1" bestFit="1" customWidth="1"/>
    <col min="2573" max="2821" width="8.88671875" style="1"/>
    <col min="2822" max="2822" width="10.109375" style="1" bestFit="1" customWidth="1"/>
    <col min="2823" max="2826" width="8.88671875" style="1"/>
    <col min="2827" max="2828" width="9.88671875" style="1" bestFit="1" customWidth="1"/>
    <col min="2829" max="3077" width="8.88671875" style="1"/>
    <col min="3078" max="3078" width="10.109375" style="1" bestFit="1" customWidth="1"/>
    <col min="3079" max="3082" width="8.88671875" style="1"/>
    <col min="3083" max="3084" width="9.88671875" style="1" bestFit="1" customWidth="1"/>
    <col min="3085" max="3333" width="8.88671875" style="1"/>
    <col min="3334" max="3334" width="10.109375" style="1" bestFit="1" customWidth="1"/>
    <col min="3335" max="3338" width="8.88671875" style="1"/>
    <col min="3339" max="3340" width="9.88671875" style="1" bestFit="1" customWidth="1"/>
    <col min="3341" max="3589" width="8.88671875" style="1"/>
    <col min="3590" max="3590" width="10.109375" style="1" bestFit="1" customWidth="1"/>
    <col min="3591" max="3594" width="8.88671875" style="1"/>
    <col min="3595" max="3596" width="9.88671875" style="1" bestFit="1" customWidth="1"/>
    <col min="3597" max="3845" width="8.88671875" style="1"/>
    <col min="3846" max="3846" width="10.109375" style="1" bestFit="1" customWidth="1"/>
    <col min="3847" max="3850" width="8.88671875" style="1"/>
    <col min="3851" max="3852" width="9.88671875" style="1" bestFit="1" customWidth="1"/>
    <col min="3853" max="4101" width="8.88671875" style="1"/>
    <col min="4102" max="4102" width="10.109375" style="1" bestFit="1" customWidth="1"/>
    <col min="4103" max="4106" width="8.88671875" style="1"/>
    <col min="4107" max="4108" width="9.88671875" style="1" bestFit="1" customWidth="1"/>
    <col min="4109" max="4357" width="8.88671875" style="1"/>
    <col min="4358" max="4358" width="10.109375" style="1" bestFit="1" customWidth="1"/>
    <col min="4359" max="4362" width="8.88671875" style="1"/>
    <col min="4363" max="4364" width="9.88671875" style="1" bestFit="1" customWidth="1"/>
    <col min="4365" max="4613" width="8.88671875" style="1"/>
    <col min="4614" max="4614" width="10.109375" style="1" bestFit="1" customWidth="1"/>
    <col min="4615" max="4618" width="8.88671875" style="1"/>
    <col min="4619" max="4620" width="9.88671875" style="1" bestFit="1" customWidth="1"/>
    <col min="4621" max="4869" width="8.88671875" style="1"/>
    <col min="4870" max="4870" width="10.109375" style="1" bestFit="1" customWidth="1"/>
    <col min="4871" max="4874" width="8.88671875" style="1"/>
    <col min="4875" max="4876" width="9.88671875" style="1" bestFit="1" customWidth="1"/>
    <col min="4877" max="5125" width="8.88671875" style="1"/>
    <col min="5126" max="5126" width="10.109375" style="1" bestFit="1" customWidth="1"/>
    <col min="5127" max="5130" width="8.88671875" style="1"/>
    <col min="5131" max="5132" width="9.88671875" style="1" bestFit="1" customWidth="1"/>
    <col min="5133" max="5381" width="8.88671875" style="1"/>
    <col min="5382" max="5382" width="10.109375" style="1" bestFit="1" customWidth="1"/>
    <col min="5383" max="5386" width="8.88671875" style="1"/>
    <col min="5387" max="5388" width="9.88671875" style="1" bestFit="1" customWidth="1"/>
    <col min="5389" max="5637" width="8.88671875" style="1"/>
    <col min="5638" max="5638" width="10.109375" style="1" bestFit="1" customWidth="1"/>
    <col min="5639" max="5642" width="8.88671875" style="1"/>
    <col min="5643" max="5644" width="9.88671875" style="1" bestFit="1" customWidth="1"/>
    <col min="5645" max="5893" width="8.88671875" style="1"/>
    <col min="5894" max="5894" width="10.109375" style="1" bestFit="1" customWidth="1"/>
    <col min="5895" max="5898" width="8.88671875" style="1"/>
    <col min="5899" max="5900" width="9.88671875" style="1" bestFit="1" customWidth="1"/>
    <col min="5901" max="6149" width="8.88671875" style="1"/>
    <col min="6150" max="6150" width="10.109375" style="1" bestFit="1" customWidth="1"/>
    <col min="6151" max="6154" width="8.88671875" style="1"/>
    <col min="6155" max="6156" width="9.88671875" style="1" bestFit="1" customWidth="1"/>
    <col min="6157" max="6405" width="8.88671875" style="1"/>
    <col min="6406" max="6406" width="10.109375" style="1" bestFit="1" customWidth="1"/>
    <col min="6407" max="6410" width="8.88671875" style="1"/>
    <col min="6411" max="6412" width="9.88671875" style="1" bestFit="1" customWidth="1"/>
    <col min="6413" max="6661" width="8.88671875" style="1"/>
    <col min="6662" max="6662" width="10.109375" style="1" bestFit="1" customWidth="1"/>
    <col min="6663" max="6666" width="8.88671875" style="1"/>
    <col min="6667" max="6668" width="9.88671875" style="1" bestFit="1" customWidth="1"/>
    <col min="6669" max="6917" width="8.88671875" style="1"/>
    <col min="6918" max="6918" width="10.109375" style="1" bestFit="1" customWidth="1"/>
    <col min="6919" max="6922" width="8.88671875" style="1"/>
    <col min="6923" max="6924" width="9.88671875" style="1" bestFit="1" customWidth="1"/>
    <col min="6925" max="7173" width="8.88671875" style="1"/>
    <col min="7174" max="7174" width="10.109375" style="1" bestFit="1" customWidth="1"/>
    <col min="7175" max="7178" width="8.88671875" style="1"/>
    <col min="7179" max="7180" width="9.88671875" style="1" bestFit="1" customWidth="1"/>
    <col min="7181" max="7429" width="8.88671875" style="1"/>
    <col min="7430" max="7430" width="10.109375" style="1" bestFit="1" customWidth="1"/>
    <col min="7431" max="7434" width="8.88671875" style="1"/>
    <col min="7435" max="7436" width="9.88671875" style="1" bestFit="1" customWidth="1"/>
    <col min="7437" max="7685" width="8.88671875" style="1"/>
    <col min="7686" max="7686" width="10.109375" style="1" bestFit="1" customWidth="1"/>
    <col min="7687" max="7690" width="8.88671875" style="1"/>
    <col min="7691" max="7692" width="9.88671875" style="1" bestFit="1" customWidth="1"/>
    <col min="7693" max="7941" width="8.88671875" style="1"/>
    <col min="7942" max="7942" width="10.109375" style="1" bestFit="1" customWidth="1"/>
    <col min="7943" max="7946" width="8.88671875" style="1"/>
    <col min="7947" max="7948" width="9.88671875" style="1" bestFit="1" customWidth="1"/>
    <col min="7949" max="8197" width="8.88671875" style="1"/>
    <col min="8198" max="8198" width="10.109375" style="1" bestFit="1" customWidth="1"/>
    <col min="8199" max="8202" width="8.88671875" style="1"/>
    <col min="8203" max="8204" width="9.88671875" style="1" bestFit="1" customWidth="1"/>
    <col min="8205" max="8453" width="8.88671875" style="1"/>
    <col min="8454" max="8454" width="10.109375" style="1" bestFit="1" customWidth="1"/>
    <col min="8455" max="8458" width="8.88671875" style="1"/>
    <col min="8459" max="8460" width="9.88671875" style="1" bestFit="1" customWidth="1"/>
    <col min="8461" max="8709" width="8.88671875" style="1"/>
    <col min="8710" max="8710" width="10.109375" style="1" bestFit="1" customWidth="1"/>
    <col min="8711" max="8714" width="8.88671875" style="1"/>
    <col min="8715" max="8716" width="9.88671875" style="1" bestFit="1" customWidth="1"/>
    <col min="8717" max="8965" width="8.88671875" style="1"/>
    <col min="8966" max="8966" width="10.109375" style="1" bestFit="1" customWidth="1"/>
    <col min="8967" max="8970" width="8.88671875" style="1"/>
    <col min="8971" max="8972" width="9.88671875" style="1" bestFit="1" customWidth="1"/>
    <col min="8973" max="9221" width="8.88671875" style="1"/>
    <col min="9222" max="9222" width="10.109375" style="1" bestFit="1" customWidth="1"/>
    <col min="9223" max="9226" width="8.88671875" style="1"/>
    <col min="9227" max="9228" width="9.88671875" style="1" bestFit="1" customWidth="1"/>
    <col min="9229" max="9477" width="8.88671875" style="1"/>
    <col min="9478" max="9478" width="10.109375" style="1" bestFit="1" customWidth="1"/>
    <col min="9479" max="9482" width="8.88671875" style="1"/>
    <col min="9483" max="9484" width="9.88671875" style="1" bestFit="1" customWidth="1"/>
    <col min="9485" max="9733" width="8.88671875" style="1"/>
    <col min="9734" max="9734" width="10.109375" style="1" bestFit="1" customWidth="1"/>
    <col min="9735" max="9738" width="8.88671875" style="1"/>
    <col min="9739" max="9740" width="9.88671875" style="1" bestFit="1" customWidth="1"/>
    <col min="9741" max="9989" width="8.88671875" style="1"/>
    <col min="9990" max="9990" width="10.109375" style="1" bestFit="1" customWidth="1"/>
    <col min="9991" max="9994" width="8.88671875" style="1"/>
    <col min="9995" max="9996" width="9.88671875" style="1" bestFit="1" customWidth="1"/>
    <col min="9997" max="10245" width="8.88671875" style="1"/>
    <col min="10246" max="10246" width="10.109375" style="1" bestFit="1" customWidth="1"/>
    <col min="10247" max="10250" width="8.88671875" style="1"/>
    <col min="10251" max="10252" width="9.88671875" style="1" bestFit="1" customWidth="1"/>
    <col min="10253" max="10501" width="8.88671875" style="1"/>
    <col min="10502" max="10502" width="10.109375" style="1" bestFit="1" customWidth="1"/>
    <col min="10503" max="10506" width="8.88671875" style="1"/>
    <col min="10507" max="10508" width="9.88671875" style="1" bestFit="1" customWidth="1"/>
    <col min="10509" max="10757" width="8.88671875" style="1"/>
    <col min="10758" max="10758" width="10.109375" style="1" bestFit="1" customWidth="1"/>
    <col min="10759" max="10762" width="8.88671875" style="1"/>
    <col min="10763" max="10764" width="9.88671875" style="1" bestFit="1" customWidth="1"/>
    <col min="10765" max="11013" width="8.88671875" style="1"/>
    <col min="11014" max="11014" width="10.109375" style="1" bestFit="1" customWidth="1"/>
    <col min="11015" max="11018" width="8.88671875" style="1"/>
    <col min="11019" max="11020" width="9.88671875" style="1" bestFit="1" customWidth="1"/>
    <col min="11021" max="11269" width="8.88671875" style="1"/>
    <col min="11270" max="11270" width="10.109375" style="1" bestFit="1" customWidth="1"/>
    <col min="11271" max="11274" width="8.88671875" style="1"/>
    <col min="11275" max="11276" width="9.88671875" style="1" bestFit="1" customWidth="1"/>
    <col min="11277" max="11525" width="8.88671875" style="1"/>
    <col min="11526" max="11526" width="10.109375" style="1" bestFit="1" customWidth="1"/>
    <col min="11527" max="11530" width="8.88671875" style="1"/>
    <col min="11531" max="11532" width="9.88671875" style="1" bestFit="1" customWidth="1"/>
    <col min="11533" max="11781" width="8.88671875" style="1"/>
    <col min="11782" max="11782" width="10.109375" style="1" bestFit="1" customWidth="1"/>
    <col min="11783" max="11786" width="8.88671875" style="1"/>
    <col min="11787" max="11788" width="9.88671875" style="1" bestFit="1" customWidth="1"/>
    <col min="11789" max="12037" width="8.88671875" style="1"/>
    <col min="12038" max="12038" width="10.109375" style="1" bestFit="1" customWidth="1"/>
    <col min="12039" max="12042" width="8.88671875" style="1"/>
    <col min="12043" max="12044" width="9.88671875" style="1" bestFit="1" customWidth="1"/>
    <col min="12045" max="12293" width="8.88671875" style="1"/>
    <col min="12294" max="12294" width="10.109375" style="1" bestFit="1" customWidth="1"/>
    <col min="12295" max="12298" width="8.88671875" style="1"/>
    <col min="12299" max="12300" width="9.88671875" style="1" bestFit="1" customWidth="1"/>
    <col min="12301" max="12549" width="8.88671875" style="1"/>
    <col min="12550" max="12550" width="10.109375" style="1" bestFit="1" customWidth="1"/>
    <col min="12551" max="12554" width="8.88671875" style="1"/>
    <col min="12555" max="12556" width="9.88671875" style="1" bestFit="1" customWidth="1"/>
    <col min="12557" max="12805" width="8.88671875" style="1"/>
    <col min="12806" max="12806" width="10.109375" style="1" bestFit="1" customWidth="1"/>
    <col min="12807" max="12810" width="8.88671875" style="1"/>
    <col min="12811" max="12812" width="9.88671875" style="1" bestFit="1" customWidth="1"/>
    <col min="12813" max="13061" width="8.88671875" style="1"/>
    <col min="13062" max="13062" width="10.109375" style="1" bestFit="1" customWidth="1"/>
    <col min="13063" max="13066" width="8.88671875" style="1"/>
    <col min="13067" max="13068" width="9.88671875" style="1" bestFit="1" customWidth="1"/>
    <col min="13069" max="13317" width="8.88671875" style="1"/>
    <col min="13318" max="13318" width="10.109375" style="1" bestFit="1" customWidth="1"/>
    <col min="13319" max="13322" width="8.88671875" style="1"/>
    <col min="13323" max="13324" width="9.88671875" style="1" bestFit="1" customWidth="1"/>
    <col min="13325" max="13573" width="8.88671875" style="1"/>
    <col min="13574" max="13574" width="10.109375" style="1" bestFit="1" customWidth="1"/>
    <col min="13575" max="13578" width="8.88671875" style="1"/>
    <col min="13579" max="13580" width="9.88671875" style="1" bestFit="1" customWidth="1"/>
    <col min="13581" max="13829" width="8.88671875" style="1"/>
    <col min="13830" max="13830" width="10.109375" style="1" bestFit="1" customWidth="1"/>
    <col min="13831" max="13834" width="8.88671875" style="1"/>
    <col min="13835" max="13836" width="9.88671875" style="1" bestFit="1" customWidth="1"/>
    <col min="13837" max="14085" width="8.88671875" style="1"/>
    <col min="14086" max="14086" width="10.109375" style="1" bestFit="1" customWidth="1"/>
    <col min="14087" max="14090" width="8.88671875" style="1"/>
    <col min="14091" max="14092" width="9.88671875" style="1" bestFit="1" customWidth="1"/>
    <col min="14093" max="14341" width="8.88671875" style="1"/>
    <col min="14342" max="14342" width="10.109375" style="1" bestFit="1" customWidth="1"/>
    <col min="14343" max="14346" width="8.88671875" style="1"/>
    <col min="14347" max="14348" width="9.88671875" style="1" bestFit="1" customWidth="1"/>
    <col min="14349" max="14597" width="8.88671875" style="1"/>
    <col min="14598" max="14598" width="10.109375" style="1" bestFit="1" customWidth="1"/>
    <col min="14599" max="14602" width="8.88671875" style="1"/>
    <col min="14603" max="14604" width="9.88671875" style="1" bestFit="1" customWidth="1"/>
    <col min="14605" max="14853" width="8.88671875" style="1"/>
    <col min="14854" max="14854" width="10.109375" style="1" bestFit="1" customWidth="1"/>
    <col min="14855" max="14858" width="8.88671875" style="1"/>
    <col min="14859" max="14860" width="9.88671875" style="1" bestFit="1" customWidth="1"/>
    <col min="14861" max="15109" width="8.88671875" style="1"/>
    <col min="15110" max="15110" width="10.109375" style="1" bestFit="1" customWidth="1"/>
    <col min="15111" max="15114" width="8.88671875" style="1"/>
    <col min="15115" max="15116" width="9.88671875" style="1" bestFit="1" customWidth="1"/>
    <col min="15117" max="15365" width="8.88671875" style="1"/>
    <col min="15366" max="15366" width="10.109375" style="1" bestFit="1" customWidth="1"/>
    <col min="15367" max="15370" width="8.88671875" style="1"/>
    <col min="15371" max="15372" width="9.88671875" style="1" bestFit="1" customWidth="1"/>
    <col min="15373" max="15621" width="8.88671875" style="1"/>
    <col min="15622" max="15622" width="10.109375" style="1" bestFit="1" customWidth="1"/>
    <col min="15623" max="15626" width="8.88671875" style="1"/>
    <col min="15627" max="15628" width="9.88671875" style="1" bestFit="1" customWidth="1"/>
    <col min="15629" max="15877" width="8.88671875" style="1"/>
    <col min="15878" max="15878" width="10.109375" style="1" bestFit="1" customWidth="1"/>
    <col min="15879" max="15882" width="8.88671875" style="1"/>
    <col min="15883" max="15884" width="9.88671875" style="1" bestFit="1" customWidth="1"/>
    <col min="15885" max="16133" width="8.88671875" style="1"/>
    <col min="16134" max="16134" width="10.109375" style="1" bestFit="1" customWidth="1"/>
    <col min="16135" max="16138" width="8.88671875" style="1"/>
    <col min="16139" max="16140" width="9.88671875" style="1" bestFit="1" customWidth="1"/>
    <col min="16141" max="16384" width="8.88671875" style="1"/>
  </cols>
  <sheetData>
    <row r="1" spans="1:25" x14ac:dyDescent="0.25">
      <c r="A1" s="495" t="s">
        <v>218</v>
      </c>
      <c r="B1" s="496"/>
      <c r="C1" s="496"/>
      <c r="D1" s="496"/>
      <c r="E1" s="496"/>
      <c r="F1" s="496"/>
      <c r="G1" s="496"/>
      <c r="H1" s="496"/>
      <c r="I1" s="496"/>
      <c r="J1" s="496"/>
      <c r="K1" s="4"/>
    </row>
    <row r="2" spans="1:25" ht="15.6" x14ac:dyDescent="0.25">
      <c r="A2" s="2"/>
      <c r="B2" s="3"/>
      <c r="C2" s="497" t="s">
        <v>219</v>
      </c>
      <c r="D2" s="497"/>
      <c r="E2" s="8">
        <v>44197</v>
      </c>
      <c r="F2" s="7" t="s">
        <v>220</v>
      </c>
      <c r="G2" s="8">
        <v>44561</v>
      </c>
      <c r="H2" s="9"/>
      <c r="I2" s="9"/>
      <c r="J2" s="9"/>
      <c r="K2" s="4"/>
      <c r="X2" s="5" t="s">
        <v>221</v>
      </c>
    </row>
    <row r="3" spans="1:25" ht="13.5" customHeight="1" thickBot="1" x14ac:dyDescent="0.3">
      <c r="A3" s="498" t="s">
        <v>222</v>
      </c>
      <c r="B3" s="499"/>
      <c r="C3" s="499"/>
      <c r="D3" s="499"/>
      <c r="E3" s="499"/>
      <c r="F3" s="499"/>
      <c r="G3" s="502" t="s">
        <v>223</v>
      </c>
      <c r="H3" s="493" t="s">
        <v>224</v>
      </c>
      <c r="I3" s="493"/>
      <c r="J3" s="493"/>
      <c r="K3" s="493"/>
      <c r="L3" s="493"/>
      <c r="M3" s="493"/>
      <c r="N3" s="493"/>
      <c r="O3" s="493"/>
      <c r="P3" s="493"/>
      <c r="Q3" s="493"/>
      <c r="R3" s="493"/>
      <c r="S3" s="493"/>
      <c r="T3" s="493"/>
      <c r="U3" s="493"/>
      <c r="V3" s="493"/>
      <c r="W3" s="493"/>
      <c r="X3" s="493" t="s">
        <v>225</v>
      </c>
      <c r="Y3" s="486" t="s">
        <v>226</v>
      </c>
    </row>
    <row r="4" spans="1:25" ht="72" thickBot="1" x14ac:dyDescent="0.3">
      <c r="A4" s="500"/>
      <c r="B4" s="501"/>
      <c r="C4" s="501"/>
      <c r="D4" s="501"/>
      <c r="E4" s="501"/>
      <c r="F4" s="501"/>
      <c r="G4" s="503"/>
      <c r="H4" s="10" t="s">
        <v>227</v>
      </c>
      <c r="I4" s="10" t="s">
        <v>228</v>
      </c>
      <c r="J4" s="10" t="s">
        <v>229</v>
      </c>
      <c r="K4" s="10" t="s">
        <v>230</v>
      </c>
      <c r="L4" s="10" t="s">
        <v>231</v>
      </c>
      <c r="M4" s="10" t="s">
        <v>232</v>
      </c>
      <c r="N4" s="10" t="s">
        <v>233</v>
      </c>
      <c r="O4" s="10" t="s">
        <v>234</v>
      </c>
      <c r="P4" s="11" t="s">
        <v>235</v>
      </c>
      <c r="Q4" s="10" t="s">
        <v>236</v>
      </c>
      <c r="R4" s="10" t="s">
        <v>237</v>
      </c>
      <c r="S4" s="11" t="s">
        <v>238</v>
      </c>
      <c r="T4" s="11" t="s">
        <v>239</v>
      </c>
      <c r="U4" s="10" t="s">
        <v>240</v>
      </c>
      <c r="V4" s="10" t="s">
        <v>241</v>
      </c>
      <c r="W4" s="10" t="s">
        <v>242</v>
      </c>
      <c r="X4" s="494"/>
      <c r="Y4" s="487"/>
    </row>
    <row r="5" spans="1:25" ht="20.399999999999999" x14ac:dyDescent="0.25">
      <c r="A5" s="488">
        <v>1</v>
      </c>
      <c r="B5" s="489"/>
      <c r="C5" s="489"/>
      <c r="D5" s="489"/>
      <c r="E5" s="489"/>
      <c r="F5" s="489"/>
      <c r="G5" s="12">
        <v>2</v>
      </c>
      <c r="H5" s="13" t="s">
        <v>243</v>
      </c>
      <c r="I5" s="14" t="s">
        <v>244</v>
      </c>
      <c r="J5" s="13" t="s">
        <v>245</v>
      </c>
      <c r="K5" s="14" t="s">
        <v>246</v>
      </c>
      <c r="L5" s="13" t="s">
        <v>247</v>
      </c>
      <c r="M5" s="14" t="s">
        <v>248</v>
      </c>
      <c r="N5" s="13" t="s">
        <v>249</v>
      </c>
      <c r="O5" s="14" t="s">
        <v>250</v>
      </c>
      <c r="P5" s="13" t="s">
        <v>251</v>
      </c>
      <c r="Q5" s="14" t="s">
        <v>252</v>
      </c>
      <c r="R5" s="13" t="s">
        <v>253</v>
      </c>
      <c r="S5" s="13" t="s">
        <v>254</v>
      </c>
      <c r="T5" s="13" t="s">
        <v>255</v>
      </c>
      <c r="U5" s="13" t="s">
        <v>256</v>
      </c>
      <c r="V5" s="13" t="s">
        <v>257</v>
      </c>
      <c r="W5" s="13" t="s">
        <v>258</v>
      </c>
      <c r="X5" s="13">
        <v>19</v>
      </c>
      <c r="Y5" s="15" t="s">
        <v>259</v>
      </c>
    </row>
    <row r="6" spans="1:25" x14ac:dyDescent="0.25">
      <c r="A6" s="490" t="s">
        <v>260</v>
      </c>
      <c r="B6" s="490"/>
      <c r="C6" s="490"/>
      <c r="D6" s="490"/>
      <c r="E6" s="490"/>
      <c r="F6" s="490"/>
      <c r="G6" s="490"/>
      <c r="H6" s="490"/>
      <c r="I6" s="490"/>
      <c r="J6" s="490"/>
      <c r="K6" s="490"/>
      <c r="L6" s="490"/>
      <c r="M6" s="490"/>
      <c r="N6" s="491"/>
      <c r="O6" s="491"/>
      <c r="P6" s="491"/>
      <c r="Q6" s="491"/>
      <c r="R6" s="491"/>
      <c r="S6" s="491"/>
      <c r="T6" s="491"/>
      <c r="U6" s="491"/>
      <c r="V6" s="491"/>
      <c r="W6" s="491"/>
      <c r="X6" s="491"/>
      <c r="Y6" s="492"/>
    </row>
    <row r="7" spans="1:25" x14ac:dyDescent="0.25">
      <c r="A7" s="485" t="s">
        <v>261</v>
      </c>
      <c r="B7" s="485"/>
      <c r="C7" s="485"/>
      <c r="D7" s="485"/>
      <c r="E7" s="485"/>
      <c r="F7" s="485"/>
      <c r="G7" s="16">
        <v>1</v>
      </c>
      <c r="H7" s="17">
        <v>1672021210</v>
      </c>
      <c r="I7" s="17">
        <v>5223432</v>
      </c>
      <c r="J7" s="17">
        <v>83601061</v>
      </c>
      <c r="K7" s="17">
        <v>136815284</v>
      </c>
      <c r="L7" s="17">
        <v>124418267</v>
      </c>
      <c r="M7" s="17">
        <v>0</v>
      </c>
      <c r="N7" s="17">
        <v>0</v>
      </c>
      <c r="O7" s="17">
        <v>0</v>
      </c>
      <c r="P7" s="17">
        <v>61474</v>
      </c>
      <c r="Q7" s="17">
        <v>0</v>
      </c>
      <c r="R7" s="17">
        <v>0</v>
      </c>
      <c r="S7" s="17">
        <v>0</v>
      </c>
      <c r="T7" s="17">
        <v>0</v>
      </c>
      <c r="U7" s="17">
        <v>430206412</v>
      </c>
      <c r="V7" s="17">
        <v>284535940</v>
      </c>
      <c r="W7" s="18">
        <f>H7+I7+J7+K7-L7+M7+N7+O7+P7+Q7+R7+U7+V7+S7+T7</f>
        <v>2488046546</v>
      </c>
      <c r="X7" s="17">
        <v>731023213</v>
      </c>
      <c r="Y7" s="18">
        <f>W7+X7</f>
        <v>3219069759</v>
      </c>
    </row>
    <row r="8" spans="1:25" x14ac:dyDescent="0.25">
      <c r="A8" s="478" t="s">
        <v>262</v>
      </c>
      <c r="B8" s="478"/>
      <c r="C8" s="478"/>
      <c r="D8" s="478"/>
      <c r="E8" s="478"/>
      <c r="F8" s="478"/>
      <c r="G8" s="16">
        <v>2</v>
      </c>
      <c r="H8" s="17">
        <v>0</v>
      </c>
      <c r="I8" s="17">
        <v>0</v>
      </c>
      <c r="J8" s="17">
        <v>0</v>
      </c>
      <c r="K8" s="17">
        <v>0</v>
      </c>
      <c r="L8" s="17">
        <v>0</v>
      </c>
      <c r="M8" s="17">
        <v>0</v>
      </c>
      <c r="N8" s="17">
        <v>0</v>
      </c>
      <c r="O8" s="17">
        <v>0</v>
      </c>
      <c r="P8" s="17">
        <v>0</v>
      </c>
      <c r="Q8" s="17">
        <v>0</v>
      </c>
      <c r="R8" s="17">
        <v>0</v>
      </c>
      <c r="S8" s="17">
        <v>0</v>
      </c>
      <c r="T8" s="17">
        <v>0</v>
      </c>
      <c r="U8" s="17">
        <v>0</v>
      </c>
      <c r="V8" s="17">
        <v>0</v>
      </c>
      <c r="W8" s="18">
        <f t="shared" ref="W8:W29" si="0">H8+I8+J8+K8-L8+M8+N8+O8+P8+Q8+R8+U8+V8+S8+T8</f>
        <v>0</v>
      </c>
      <c r="X8" s="17">
        <v>0</v>
      </c>
      <c r="Y8" s="18">
        <f t="shared" ref="Y8:Y9" si="1">W8+X8</f>
        <v>0</v>
      </c>
    </row>
    <row r="9" spans="1:25" x14ac:dyDescent="0.25">
      <c r="A9" s="478" t="s">
        <v>263</v>
      </c>
      <c r="B9" s="478"/>
      <c r="C9" s="478"/>
      <c r="D9" s="478"/>
      <c r="E9" s="478"/>
      <c r="F9" s="478"/>
      <c r="G9" s="16">
        <v>3</v>
      </c>
      <c r="H9" s="17">
        <v>0</v>
      </c>
      <c r="I9" s="17">
        <v>0</v>
      </c>
      <c r="J9" s="17">
        <v>0</v>
      </c>
      <c r="K9" s="17">
        <v>0</v>
      </c>
      <c r="L9" s="17">
        <v>0</v>
      </c>
      <c r="M9" s="17">
        <v>0</v>
      </c>
      <c r="N9" s="17">
        <v>0</v>
      </c>
      <c r="O9" s="17">
        <v>0</v>
      </c>
      <c r="P9" s="17">
        <v>0</v>
      </c>
      <c r="Q9" s="17">
        <v>0</v>
      </c>
      <c r="R9" s="17">
        <v>0</v>
      </c>
      <c r="S9" s="17">
        <v>0</v>
      </c>
      <c r="T9" s="17">
        <v>0</v>
      </c>
      <c r="U9" s="17">
        <v>0</v>
      </c>
      <c r="V9" s="17">
        <v>0</v>
      </c>
      <c r="W9" s="18">
        <f t="shared" si="0"/>
        <v>0</v>
      </c>
      <c r="X9" s="17">
        <v>0</v>
      </c>
      <c r="Y9" s="18">
        <f t="shared" si="1"/>
        <v>0</v>
      </c>
    </row>
    <row r="10" spans="1:25" ht="22.5" customHeight="1" x14ac:dyDescent="0.25">
      <c r="A10" s="483" t="s">
        <v>264</v>
      </c>
      <c r="B10" s="483"/>
      <c r="C10" s="483"/>
      <c r="D10" s="483"/>
      <c r="E10" s="483"/>
      <c r="F10" s="483"/>
      <c r="G10" s="19">
        <v>4</v>
      </c>
      <c r="H10" s="20">
        <f>H7+H8+H9</f>
        <v>1672021210</v>
      </c>
      <c r="I10" s="20">
        <f t="shared" ref="I10:Y10" si="2">I7+I8+I9</f>
        <v>5223432</v>
      </c>
      <c r="J10" s="20">
        <f t="shared" si="2"/>
        <v>83601061</v>
      </c>
      <c r="K10" s="20">
        <f t="shared" si="2"/>
        <v>136815284</v>
      </c>
      <c r="L10" s="20">
        <f t="shared" si="2"/>
        <v>124418267</v>
      </c>
      <c r="M10" s="20">
        <f t="shared" si="2"/>
        <v>0</v>
      </c>
      <c r="N10" s="20">
        <f t="shared" si="2"/>
        <v>0</v>
      </c>
      <c r="O10" s="20">
        <f t="shared" si="2"/>
        <v>0</v>
      </c>
      <c r="P10" s="20">
        <f t="shared" si="2"/>
        <v>61474</v>
      </c>
      <c r="Q10" s="20">
        <f t="shared" si="2"/>
        <v>0</v>
      </c>
      <c r="R10" s="20">
        <f t="shared" si="2"/>
        <v>0</v>
      </c>
      <c r="S10" s="20">
        <f t="shared" si="2"/>
        <v>0</v>
      </c>
      <c r="T10" s="20">
        <f t="shared" si="2"/>
        <v>0</v>
      </c>
      <c r="U10" s="20">
        <f t="shared" si="2"/>
        <v>430206412</v>
      </c>
      <c r="V10" s="20">
        <f t="shared" si="2"/>
        <v>284535940</v>
      </c>
      <c r="W10" s="20">
        <f t="shared" si="0"/>
        <v>2488046546</v>
      </c>
      <c r="X10" s="20">
        <f t="shared" si="2"/>
        <v>731023213</v>
      </c>
      <c r="Y10" s="20">
        <f t="shared" si="2"/>
        <v>3219069759</v>
      </c>
    </row>
    <row r="11" spans="1:25" x14ac:dyDescent="0.25">
      <c r="A11" s="478" t="s">
        <v>265</v>
      </c>
      <c r="B11" s="478"/>
      <c r="C11" s="478"/>
      <c r="D11" s="478"/>
      <c r="E11" s="478"/>
      <c r="F11" s="478"/>
      <c r="G11" s="16">
        <v>5</v>
      </c>
      <c r="H11" s="21">
        <v>0</v>
      </c>
      <c r="I11" s="21">
        <v>0</v>
      </c>
      <c r="J11" s="21">
        <v>0</v>
      </c>
      <c r="K11" s="21">
        <v>0</v>
      </c>
      <c r="L11" s="21">
        <v>0</v>
      </c>
      <c r="M11" s="21">
        <v>0</v>
      </c>
      <c r="N11" s="21">
        <v>0</v>
      </c>
      <c r="O11" s="21">
        <v>0</v>
      </c>
      <c r="P11" s="21">
        <v>0</v>
      </c>
      <c r="Q11" s="21">
        <v>0</v>
      </c>
      <c r="R11" s="21">
        <v>0</v>
      </c>
      <c r="S11" s="17">
        <v>0</v>
      </c>
      <c r="T11" s="17">
        <v>0</v>
      </c>
      <c r="U11" s="21">
        <v>0</v>
      </c>
      <c r="V11" s="17">
        <v>-329593506</v>
      </c>
      <c r="W11" s="18">
        <f t="shared" si="0"/>
        <v>-329593506</v>
      </c>
      <c r="X11" s="17">
        <v>-29212285</v>
      </c>
      <c r="Y11" s="18">
        <f t="shared" ref="Y11:Y29" si="3">W11+X11</f>
        <v>-358805791</v>
      </c>
    </row>
    <row r="12" spans="1:25" x14ac:dyDescent="0.25">
      <c r="A12" s="478" t="s">
        <v>266</v>
      </c>
      <c r="B12" s="478"/>
      <c r="C12" s="478"/>
      <c r="D12" s="478"/>
      <c r="E12" s="478"/>
      <c r="F12" s="478"/>
      <c r="G12" s="16">
        <v>6</v>
      </c>
      <c r="H12" s="21">
        <v>0</v>
      </c>
      <c r="I12" s="21">
        <v>0</v>
      </c>
      <c r="J12" s="21">
        <v>0</v>
      </c>
      <c r="K12" s="21">
        <v>0</v>
      </c>
      <c r="L12" s="21">
        <v>0</v>
      </c>
      <c r="M12" s="21">
        <v>0</v>
      </c>
      <c r="N12" s="17">
        <v>263962</v>
      </c>
      <c r="O12" s="21">
        <v>0</v>
      </c>
      <c r="P12" s="21">
        <v>0</v>
      </c>
      <c r="Q12" s="21">
        <v>0</v>
      </c>
      <c r="R12" s="21">
        <v>0</v>
      </c>
      <c r="S12" s="17">
        <v>0</v>
      </c>
      <c r="T12" s="17">
        <v>0</v>
      </c>
      <c r="U12" s="21">
        <v>0</v>
      </c>
      <c r="V12" s="21">
        <v>0</v>
      </c>
      <c r="W12" s="18">
        <f t="shared" si="0"/>
        <v>263962</v>
      </c>
      <c r="X12" s="17">
        <v>0</v>
      </c>
      <c r="Y12" s="18">
        <f t="shared" si="3"/>
        <v>263962</v>
      </c>
    </row>
    <row r="13" spans="1:25" ht="26.25" customHeight="1" x14ac:dyDescent="0.25">
      <c r="A13" s="478" t="s">
        <v>267</v>
      </c>
      <c r="B13" s="478"/>
      <c r="C13" s="478"/>
      <c r="D13" s="478"/>
      <c r="E13" s="478"/>
      <c r="F13" s="478"/>
      <c r="G13" s="16">
        <v>7</v>
      </c>
      <c r="H13" s="21">
        <v>0</v>
      </c>
      <c r="I13" s="21">
        <v>0</v>
      </c>
      <c r="J13" s="21">
        <v>0</v>
      </c>
      <c r="K13" s="21">
        <v>0</v>
      </c>
      <c r="L13" s="21">
        <v>0</v>
      </c>
      <c r="M13" s="21">
        <v>0</v>
      </c>
      <c r="N13" s="21">
        <v>0</v>
      </c>
      <c r="O13" s="17">
        <v>0</v>
      </c>
      <c r="P13" s="21">
        <v>0</v>
      </c>
      <c r="Q13" s="21">
        <v>0</v>
      </c>
      <c r="R13" s="21">
        <v>0</v>
      </c>
      <c r="S13" s="17">
        <v>0</v>
      </c>
      <c r="T13" s="17">
        <v>0</v>
      </c>
      <c r="U13" s="17">
        <v>0</v>
      </c>
      <c r="V13" s="17">
        <v>0</v>
      </c>
      <c r="W13" s="18">
        <f t="shared" si="0"/>
        <v>0</v>
      </c>
      <c r="X13" s="17">
        <v>0</v>
      </c>
      <c r="Y13" s="18">
        <f t="shared" si="3"/>
        <v>0</v>
      </c>
    </row>
    <row r="14" spans="1:25" ht="40.5" customHeight="1" x14ac:dyDescent="0.25">
      <c r="A14" s="478" t="s">
        <v>268</v>
      </c>
      <c r="B14" s="478"/>
      <c r="C14" s="478"/>
      <c r="D14" s="478"/>
      <c r="E14" s="478"/>
      <c r="F14" s="478"/>
      <c r="G14" s="16">
        <v>8</v>
      </c>
      <c r="H14" s="21">
        <v>0</v>
      </c>
      <c r="I14" s="21">
        <v>0</v>
      </c>
      <c r="J14" s="21">
        <v>0</v>
      </c>
      <c r="K14" s="21">
        <v>0</v>
      </c>
      <c r="L14" s="21">
        <v>0</v>
      </c>
      <c r="M14" s="21">
        <v>0</v>
      </c>
      <c r="N14" s="21">
        <v>0</v>
      </c>
      <c r="O14" s="21">
        <v>0</v>
      </c>
      <c r="P14" s="17">
        <v>-73904</v>
      </c>
      <c r="Q14" s="21">
        <v>0</v>
      </c>
      <c r="R14" s="21">
        <v>0</v>
      </c>
      <c r="S14" s="17">
        <v>0</v>
      </c>
      <c r="T14" s="17">
        <v>0</v>
      </c>
      <c r="U14" s="17">
        <v>0</v>
      </c>
      <c r="V14" s="17">
        <v>0</v>
      </c>
      <c r="W14" s="18">
        <f t="shared" si="0"/>
        <v>-73904</v>
      </c>
      <c r="X14" s="17">
        <v>0</v>
      </c>
      <c r="Y14" s="18">
        <f t="shared" si="3"/>
        <v>-73904</v>
      </c>
    </row>
    <row r="15" spans="1:25" x14ac:dyDescent="0.25">
      <c r="A15" s="478" t="s">
        <v>269</v>
      </c>
      <c r="B15" s="478"/>
      <c r="C15" s="478"/>
      <c r="D15" s="478"/>
      <c r="E15" s="478"/>
      <c r="F15" s="478"/>
      <c r="G15" s="16">
        <v>9</v>
      </c>
      <c r="H15" s="21">
        <v>0</v>
      </c>
      <c r="I15" s="21">
        <v>0</v>
      </c>
      <c r="J15" s="21">
        <v>0</v>
      </c>
      <c r="K15" s="21">
        <v>0</v>
      </c>
      <c r="L15" s="21">
        <v>0</v>
      </c>
      <c r="M15" s="21">
        <v>0</v>
      </c>
      <c r="N15" s="21">
        <v>0</v>
      </c>
      <c r="O15" s="21">
        <v>0</v>
      </c>
      <c r="P15" s="21">
        <v>0</v>
      </c>
      <c r="Q15" s="17">
        <v>0</v>
      </c>
      <c r="R15" s="21">
        <v>0</v>
      </c>
      <c r="S15" s="17">
        <v>0</v>
      </c>
      <c r="T15" s="17">
        <v>0</v>
      </c>
      <c r="U15" s="17">
        <v>0</v>
      </c>
      <c r="V15" s="17">
        <v>0</v>
      </c>
      <c r="W15" s="18">
        <f t="shared" si="0"/>
        <v>0</v>
      </c>
      <c r="X15" s="17">
        <v>0</v>
      </c>
      <c r="Y15" s="18">
        <f t="shared" si="3"/>
        <v>0</v>
      </c>
    </row>
    <row r="16" spans="1:25" ht="28.5" customHeight="1" x14ac:dyDescent="0.25">
      <c r="A16" s="478" t="s">
        <v>270</v>
      </c>
      <c r="B16" s="478"/>
      <c r="C16" s="478"/>
      <c r="D16" s="478"/>
      <c r="E16" s="478"/>
      <c r="F16" s="478"/>
      <c r="G16" s="16">
        <v>10</v>
      </c>
      <c r="H16" s="21">
        <v>0</v>
      </c>
      <c r="I16" s="21">
        <v>0</v>
      </c>
      <c r="J16" s="21">
        <v>0</v>
      </c>
      <c r="K16" s="21">
        <v>0</v>
      </c>
      <c r="L16" s="21">
        <v>0</v>
      </c>
      <c r="M16" s="21">
        <v>0</v>
      </c>
      <c r="N16" s="21">
        <v>0</v>
      </c>
      <c r="O16" s="21">
        <v>0</v>
      </c>
      <c r="P16" s="21">
        <v>0</v>
      </c>
      <c r="Q16" s="21">
        <v>0</v>
      </c>
      <c r="R16" s="17">
        <v>0</v>
      </c>
      <c r="S16" s="17">
        <v>0</v>
      </c>
      <c r="T16" s="17">
        <v>0</v>
      </c>
      <c r="U16" s="17">
        <v>0</v>
      </c>
      <c r="V16" s="17">
        <v>0</v>
      </c>
      <c r="W16" s="18">
        <f t="shared" si="0"/>
        <v>0</v>
      </c>
      <c r="X16" s="17">
        <v>0</v>
      </c>
      <c r="Y16" s="18">
        <f t="shared" si="3"/>
        <v>0</v>
      </c>
    </row>
    <row r="17" spans="1:25" ht="23.25" customHeight="1" x14ac:dyDescent="0.25">
      <c r="A17" s="478" t="s">
        <v>271</v>
      </c>
      <c r="B17" s="478"/>
      <c r="C17" s="478"/>
      <c r="D17" s="478"/>
      <c r="E17" s="478"/>
      <c r="F17" s="478"/>
      <c r="G17" s="16">
        <v>11</v>
      </c>
      <c r="H17" s="21">
        <v>0</v>
      </c>
      <c r="I17" s="21">
        <v>0</v>
      </c>
      <c r="J17" s="21">
        <v>0</v>
      </c>
      <c r="K17" s="21">
        <v>0</v>
      </c>
      <c r="L17" s="21">
        <v>0</v>
      </c>
      <c r="M17" s="21">
        <v>0</v>
      </c>
      <c r="N17" s="17">
        <v>0</v>
      </c>
      <c r="O17" s="17">
        <v>0</v>
      </c>
      <c r="P17" s="17">
        <v>0</v>
      </c>
      <c r="Q17" s="17">
        <v>0</v>
      </c>
      <c r="R17" s="17">
        <v>0</v>
      </c>
      <c r="S17" s="17">
        <v>0</v>
      </c>
      <c r="T17" s="17">
        <v>0</v>
      </c>
      <c r="U17" s="17">
        <v>0</v>
      </c>
      <c r="V17" s="17">
        <v>0</v>
      </c>
      <c r="W17" s="18">
        <f t="shared" si="0"/>
        <v>0</v>
      </c>
      <c r="X17" s="17">
        <v>0</v>
      </c>
      <c r="Y17" s="18">
        <f t="shared" si="3"/>
        <v>0</v>
      </c>
    </row>
    <row r="18" spans="1:25" x14ac:dyDescent="0.25">
      <c r="A18" s="478" t="s">
        <v>272</v>
      </c>
      <c r="B18" s="478"/>
      <c r="C18" s="478"/>
      <c r="D18" s="478"/>
      <c r="E18" s="478"/>
      <c r="F18" s="478"/>
      <c r="G18" s="16">
        <v>12</v>
      </c>
      <c r="H18" s="21">
        <v>0</v>
      </c>
      <c r="I18" s="21">
        <v>0</v>
      </c>
      <c r="J18" s="21">
        <v>0</v>
      </c>
      <c r="K18" s="21">
        <v>0</v>
      </c>
      <c r="L18" s="21">
        <v>0</v>
      </c>
      <c r="M18" s="21">
        <v>0</v>
      </c>
      <c r="N18" s="17">
        <v>0</v>
      </c>
      <c r="O18" s="17">
        <v>0</v>
      </c>
      <c r="P18" s="17">
        <v>0</v>
      </c>
      <c r="Q18" s="17">
        <v>0</v>
      </c>
      <c r="R18" s="17">
        <v>0</v>
      </c>
      <c r="S18" s="17">
        <v>0</v>
      </c>
      <c r="T18" s="17">
        <v>0</v>
      </c>
      <c r="U18" s="17">
        <v>0</v>
      </c>
      <c r="V18" s="17">
        <v>0</v>
      </c>
      <c r="W18" s="18">
        <f t="shared" si="0"/>
        <v>0</v>
      </c>
      <c r="X18" s="17">
        <v>0</v>
      </c>
      <c r="Y18" s="18">
        <f t="shared" si="3"/>
        <v>0</v>
      </c>
    </row>
    <row r="19" spans="1:25" x14ac:dyDescent="0.25">
      <c r="A19" s="478" t="s">
        <v>273</v>
      </c>
      <c r="B19" s="478"/>
      <c r="C19" s="478"/>
      <c r="D19" s="478"/>
      <c r="E19" s="478"/>
      <c r="F19" s="478"/>
      <c r="G19" s="16">
        <v>13</v>
      </c>
      <c r="H19" s="17">
        <v>0</v>
      </c>
      <c r="I19" s="17">
        <v>0</v>
      </c>
      <c r="J19" s="17">
        <v>0</v>
      </c>
      <c r="K19" s="17">
        <v>0</v>
      </c>
      <c r="L19" s="17">
        <v>0</v>
      </c>
      <c r="M19" s="17">
        <v>0</v>
      </c>
      <c r="N19" s="17">
        <v>0</v>
      </c>
      <c r="O19" s="17">
        <v>0</v>
      </c>
      <c r="P19" s="17">
        <v>0</v>
      </c>
      <c r="Q19" s="17">
        <v>0</v>
      </c>
      <c r="R19" s="17">
        <v>0</v>
      </c>
      <c r="S19" s="17">
        <v>0</v>
      </c>
      <c r="T19" s="17">
        <v>0</v>
      </c>
      <c r="U19" s="17">
        <v>0</v>
      </c>
      <c r="V19" s="17">
        <v>0</v>
      </c>
      <c r="W19" s="18">
        <f t="shared" si="0"/>
        <v>0</v>
      </c>
      <c r="X19" s="17">
        <v>0</v>
      </c>
      <c r="Y19" s="18">
        <f t="shared" si="3"/>
        <v>0</v>
      </c>
    </row>
    <row r="20" spans="1:25" x14ac:dyDescent="0.25">
      <c r="A20" s="478" t="s">
        <v>274</v>
      </c>
      <c r="B20" s="478"/>
      <c r="C20" s="478"/>
      <c r="D20" s="478"/>
      <c r="E20" s="478"/>
      <c r="F20" s="478"/>
      <c r="G20" s="16">
        <v>14</v>
      </c>
      <c r="H20" s="21">
        <v>0</v>
      </c>
      <c r="I20" s="21">
        <v>0</v>
      </c>
      <c r="J20" s="21">
        <v>0</v>
      </c>
      <c r="K20" s="21">
        <v>0</v>
      </c>
      <c r="L20" s="21">
        <v>0</v>
      </c>
      <c r="M20" s="21">
        <v>0</v>
      </c>
      <c r="N20" s="17">
        <v>0</v>
      </c>
      <c r="O20" s="17">
        <v>0</v>
      </c>
      <c r="P20" s="17">
        <v>13302</v>
      </c>
      <c r="Q20" s="17">
        <v>0</v>
      </c>
      <c r="R20" s="17">
        <v>0</v>
      </c>
      <c r="S20" s="17">
        <v>0</v>
      </c>
      <c r="T20" s="17">
        <v>0</v>
      </c>
      <c r="U20" s="17">
        <v>0</v>
      </c>
      <c r="V20" s="17">
        <v>0</v>
      </c>
      <c r="W20" s="18">
        <f t="shared" si="0"/>
        <v>13302</v>
      </c>
      <c r="X20" s="17">
        <v>0</v>
      </c>
      <c r="Y20" s="18">
        <f t="shared" si="3"/>
        <v>13302</v>
      </c>
    </row>
    <row r="21" spans="1:25" ht="30.75" customHeight="1" x14ac:dyDescent="0.25">
      <c r="A21" s="478" t="s">
        <v>275</v>
      </c>
      <c r="B21" s="478"/>
      <c r="C21" s="478"/>
      <c r="D21" s="478"/>
      <c r="E21" s="478"/>
      <c r="F21" s="478"/>
      <c r="G21" s="16">
        <v>15</v>
      </c>
      <c r="H21" s="17">
        <v>0</v>
      </c>
      <c r="I21" s="17">
        <v>0</v>
      </c>
      <c r="J21" s="17">
        <v>0</v>
      </c>
      <c r="K21" s="17">
        <v>0</v>
      </c>
      <c r="L21" s="17">
        <v>0</v>
      </c>
      <c r="M21" s="17">
        <v>0</v>
      </c>
      <c r="N21" s="17">
        <v>0</v>
      </c>
      <c r="O21" s="17">
        <v>0</v>
      </c>
      <c r="P21" s="17">
        <v>0</v>
      </c>
      <c r="Q21" s="17">
        <v>0</v>
      </c>
      <c r="R21" s="17">
        <v>0</v>
      </c>
      <c r="S21" s="17">
        <v>0</v>
      </c>
      <c r="T21" s="17">
        <v>0</v>
      </c>
      <c r="U21" s="17">
        <v>0</v>
      </c>
      <c r="V21" s="17">
        <v>0</v>
      </c>
      <c r="W21" s="18">
        <f t="shared" si="0"/>
        <v>0</v>
      </c>
      <c r="X21" s="17">
        <v>0</v>
      </c>
      <c r="Y21" s="18">
        <f t="shared" si="3"/>
        <v>0</v>
      </c>
    </row>
    <row r="22" spans="1:25" ht="28.5" customHeight="1" x14ac:dyDescent="0.25">
      <c r="A22" s="478" t="s">
        <v>276</v>
      </c>
      <c r="B22" s="478"/>
      <c r="C22" s="478"/>
      <c r="D22" s="478"/>
      <c r="E22" s="478"/>
      <c r="F22" s="478"/>
      <c r="G22" s="16">
        <v>16</v>
      </c>
      <c r="H22" s="17">
        <v>0</v>
      </c>
      <c r="I22" s="17">
        <v>0</v>
      </c>
      <c r="J22" s="17">
        <v>0</v>
      </c>
      <c r="K22" s="17">
        <v>0</v>
      </c>
      <c r="L22" s="17">
        <v>0</v>
      </c>
      <c r="M22" s="17">
        <v>0</v>
      </c>
      <c r="N22" s="17">
        <v>0</v>
      </c>
      <c r="O22" s="17">
        <v>0</v>
      </c>
      <c r="P22" s="17">
        <v>0</v>
      </c>
      <c r="Q22" s="17">
        <v>0</v>
      </c>
      <c r="R22" s="17">
        <v>0</v>
      </c>
      <c r="S22" s="17">
        <v>0</v>
      </c>
      <c r="T22" s="17">
        <v>0</v>
      </c>
      <c r="U22" s="17">
        <v>0</v>
      </c>
      <c r="V22" s="17">
        <v>0</v>
      </c>
      <c r="W22" s="18">
        <f t="shared" si="0"/>
        <v>0</v>
      </c>
      <c r="X22" s="17">
        <v>0</v>
      </c>
      <c r="Y22" s="18">
        <f t="shared" si="3"/>
        <v>0</v>
      </c>
    </row>
    <row r="23" spans="1:25" ht="26.25" customHeight="1" x14ac:dyDescent="0.25">
      <c r="A23" s="478" t="s">
        <v>277</v>
      </c>
      <c r="B23" s="478"/>
      <c r="C23" s="478"/>
      <c r="D23" s="478"/>
      <c r="E23" s="478"/>
      <c r="F23" s="478"/>
      <c r="G23" s="16">
        <v>17</v>
      </c>
      <c r="H23" s="17">
        <v>0</v>
      </c>
      <c r="I23" s="17">
        <v>0</v>
      </c>
      <c r="J23" s="17">
        <v>0</v>
      </c>
      <c r="K23" s="17">
        <v>0</v>
      </c>
      <c r="L23" s="17">
        <v>0</v>
      </c>
      <c r="M23" s="17">
        <v>0</v>
      </c>
      <c r="N23" s="17">
        <v>0</v>
      </c>
      <c r="O23" s="17">
        <v>0</v>
      </c>
      <c r="P23" s="17">
        <v>0</v>
      </c>
      <c r="Q23" s="17">
        <v>0</v>
      </c>
      <c r="R23" s="17">
        <v>0</v>
      </c>
      <c r="S23" s="17">
        <v>0</v>
      </c>
      <c r="T23" s="17">
        <v>0</v>
      </c>
      <c r="U23" s="17">
        <v>0</v>
      </c>
      <c r="V23" s="17">
        <v>0</v>
      </c>
      <c r="W23" s="18">
        <f t="shared" si="0"/>
        <v>0</v>
      </c>
      <c r="X23" s="17">
        <v>0</v>
      </c>
      <c r="Y23" s="18">
        <f t="shared" si="3"/>
        <v>0</v>
      </c>
    </row>
    <row r="24" spans="1:25" x14ac:dyDescent="0.25">
      <c r="A24" s="478" t="s">
        <v>278</v>
      </c>
      <c r="B24" s="478"/>
      <c r="C24" s="478"/>
      <c r="D24" s="478"/>
      <c r="E24" s="478"/>
      <c r="F24" s="478"/>
      <c r="G24" s="16">
        <v>18</v>
      </c>
      <c r="H24" s="17">
        <v>0</v>
      </c>
      <c r="I24" s="17">
        <v>0</v>
      </c>
      <c r="J24" s="17">
        <v>0</v>
      </c>
      <c r="K24" s="17">
        <v>0</v>
      </c>
      <c r="L24" s="17">
        <v>0</v>
      </c>
      <c r="M24" s="17">
        <v>0</v>
      </c>
      <c r="N24" s="17">
        <v>0</v>
      </c>
      <c r="O24" s="17">
        <v>0</v>
      </c>
      <c r="P24" s="17">
        <v>0</v>
      </c>
      <c r="Q24" s="17">
        <v>0</v>
      </c>
      <c r="R24" s="17">
        <v>0</v>
      </c>
      <c r="S24" s="17">
        <v>0</v>
      </c>
      <c r="T24" s="17">
        <v>0</v>
      </c>
      <c r="U24" s="17">
        <v>0</v>
      </c>
      <c r="V24" s="17">
        <v>0</v>
      </c>
      <c r="W24" s="18">
        <f t="shared" si="0"/>
        <v>0</v>
      </c>
      <c r="X24" s="17">
        <v>0</v>
      </c>
      <c r="Y24" s="18">
        <f t="shared" si="3"/>
        <v>0</v>
      </c>
    </row>
    <row r="25" spans="1:25" x14ac:dyDescent="0.25">
      <c r="A25" s="478" t="s">
        <v>279</v>
      </c>
      <c r="B25" s="478"/>
      <c r="C25" s="478"/>
      <c r="D25" s="478"/>
      <c r="E25" s="478"/>
      <c r="F25" s="478"/>
      <c r="G25" s="16">
        <v>19</v>
      </c>
      <c r="H25" s="17">
        <v>0</v>
      </c>
      <c r="I25" s="17">
        <v>0</v>
      </c>
      <c r="J25" s="17">
        <v>0</v>
      </c>
      <c r="K25" s="17">
        <v>0</v>
      </c>
      <c r="L25" s="17">
        <v>0</v>
      </c>
      <c r="M25" s="17">
        <v>0</v>
      </c>
      <c r="N25" s="17">
        <v>0</v>
      </c>
      <c r="O25" s="17">
        <v>0</v>
      </c>
      <c r="P25" s="17">
        <v>0</v>
      </c>
      <c r="Q25" s="17">
        <v>0</v>
      </c>
      <c r="R25" s="17">
        <v>0</v>
      </c>
      <c r="S25" s="17">
        <v>0</v>
      </c>
      <c r="T25" s="17">
        <v>0</v>
      </c>
      <c r="U25" s="17">
        <v>0</v>
      </c>
      <c r="V25" s="17">
        <v>0</v>
      </c>
      <c r="W25" s="18">
        <f t="shared" si="0"/>
        <v>0</v>
      </c>
      <c r="X25" s="17">
        <v>0</v>
      </c>
      <c r="Y25" s="18">
        <f t="shared" si="3"/>
        <v>0</v>
      </c>
    </row>
    <row r="26" spans="1:25" x14ac:dyDescent="0.25">
      <c r="A26" s="478" t="s">
        <v>280</v>
      </c>
      <c r="B26" s="478"/>
      <c r="C26" s="478"/>
      <c r="D26" s="478"/>
      <c r="E26" s="478"/>
      <c r="F26" s="478"/>
      <c r="G26" s="16">
        <v>20</v>
      </c>
      <c r="H26" s="17">
        <v>0</v>
      </c>
      <c r="I26" s="17">
        <v>0</v>
      </c>
      <c r="J26" s="17">
        <v>0</v>
      </c>
      <c r="K26" s="17">
        <v>0</v>
      </c>
      <c r="L26" s="17">
        <v>0</v>
      </c>
      <c r="M26" s="17">
        <v>0</v>
      </c>
      <c r="N26" s="17">
        <v>0</v>
      </c>
      <c r="O26" s="17">
        <v>0</v>
      </c>
      <c r="P26" s="17">
        <v>0</v>
      </c>
      <c r="Q26" s="17">
        <v>0</v>
      </c>
      <c r="R26" s="17">
        <v>0</v>
      </c>
      <c r="S26" s="17">
        <v>0</v>
      </c>
      <c r="T26" s="17">
        <v>0</v>
      </c>
      <c r="U26" s="17">
        <v>0</v>
      </c>
      <c r="V26" s="17">
        <v>0</v>
      </c>
      <c r="W26" s="18">
        <f t="shared" si="0"/>
        <v>0</v>
      </c>
      <c r="X26" s="17">
        <v>0</v>
      </c>
      <c r="Y26" s="18">
        <f t="shared" si="3"/>
        <v>0</v>
      </c>
    </row>
    <row r="27" spans="1:25" x14ac:dyDescent="0.25">
      <c r="A27" s="478" t="s">
        <v>281</v>
      </c>
      <c r="B27" s="478"/>
      <c r="C27" s="478"/>
      <c r="D27" s="478"/>
      <c r="E27" s="478"/>
      <c r="F27" s="478"/>
      <c r="G27" s="16">
        <v>21</v>
      </c>
      <c r="H27" s="17">
        <v>0</v>
      </c>
      <c r="I27" s="17">
        <v>0</v>
      </c>
      <c r="J27" s="17">
        <v>0</v>
      </c>
      <c r="K27" s="17">
        <v>0</v>
      </c>
      <c r="L27" s="17">
        <v>0</v>
      </c>
      <c r="M27" s="17">
        <v>0</v>
      </c>
      <c r="N27" s="17">
        <v>2249472</v>
      </c>
      <c r="O27" s="17">
        <v>0</v>
      </c>
      <c r="P27" s="17">
        <v>0</v>
      </c>
      <c r="Q27" s="17">
        <v>0</v>
      </c>
      <c r="R27" s="17">
        <v>0</v>
      </c>
      <c r="S27" s="17">
        <v>0</v>
      </c>
      <c r="T27" s="17">
        <v>0</v>
      </c>
      <c r="U27" s="17">
        <v>1140526</v>
      </c>
      <c r="V27" s="17">
        <v>0</v>
      </c>
      <c r="W27" s="18">
        <f t="shared" si="0"/>
        <v>3389998</v>
      </c>
      <c r="X27" s="17">
        <v>0</v>
      </c>
      <c r="Y27" s="18">
        <f t="shared" si="3"/>
        <v>3389998</v>
      </c>
    </row>
    <row r="28" spans="1:25" x14ac:dyDescent="0.25">
      <c r="A28" s="478" t="s">
        <v>282</v>
      </c>
      <c r="B28" s="478"/>
      <c r="C28" s="478"/>
      <c r="D28" s="478"/>
      <c r="E28" s="478"/>
      <c r="F28" s="478"/>
      <c r="G28" s="16">
        <v>22</v>
      </c>
      <c r="H28" s="17">
        <v>0</v>
      </c>
      <c r="I28" s="17">
        <v>0</v>
      </c>
      <c r="J28" s="17">
        <v>0</v>
      </c>
      <c r="K28" s="17">
        <v>0</v>
      </c>
      <c r="L28" s="17">
        <v>0</v>
      </c>
      <c r="M28" s="17">
        <v>0</v>
      </c>
      <c r="N28" s="17">
        <v>0</v>
      </c>
      <c r="O28" s="17">
        <v>0</v>
      </c>
      <c r="P28" s="17">
        <v>0</v>
      </c>
      <c r="Q28" s="17">
        <v>0</v>
      </c>
      <c r="R28" s="17">
        <v>0</v>
      </c>
      <c r="S28" s="17">
        <v>0</v>
      </c>
      <c r="T28" s="17">
        <v>0</v>
      </c>
      <c r="U28" s="17">
        <v>284535940</v>
      </c>
      <c r="V28" s="17">
        <v>-284535940</v>
      </c>
      <c r="W28" s="18">
        <f t="shared" si="0"/>
        <v>0</v>
      </c>
      <c r="X28" s="17">
        <v>0</v>
      </c>
      <c r="Y28" s="18">
        <f t="shared" si="3"/>
        <v>0</v>
      </c>
    </row>
    <row r="29" spans="1:25" x14ac:dyDescent="0.25">
      <c r="A29" s="478" t="s">
        <v>283</v>
      </c>
      <c r="B29" s="478"/>
      <c r="C29" s="478"/>
      <c r="D29" s="478"/>
      <c r="E29" s="478"/>
      <c r="F29" s="478"/>
      <c r="G29" s="16">
        <v>23</v>
      </c>
      <c r="H29" s="17">
        <v>0</v>
      </c>
      <c r="I29" s="17">
        <v>0</v>
      </c>
      <c r="J29" s="17">
        <v>0</v>
      </c>
      <c r="K29" s="17">
        <v>0</v>
      </c>
      <c r="L29" s="17">
        <v>0</v>
      </c>
      <c r="M29" s="17">
        <v>0</v>
      </c>
      <c r="N29" s="17">
        <v>0</v>
      </c>
      <c r="O29" s="17">
        <v>0</v>
      </c>
      <c r="P29" s="17">
        <v>0</v>
      </c>
      <c r="Q29" s="17">
        <v>0</v>
      </c>
      <c r="R29" s="17">
        <v>0</v>
      </c>
      <c r="S29" s="17">
        <v>0</v>
      </c>
      <c r="T29" s="17">
        <v>0</v>
      </c>
      <c r="U29" s="17">
        <v>0</v>
      </c>
      <c r="V29" s="17">
        <v>0</v>
      </c>
      <c r="W29" s="18">
        <f t="shared" si="0"/>
        <v>0</v>
      </c>
      <c r="X29" s="17">
        <v>0</v>
      </c>
      <c r="Y29" s="18">
        <f t="shared" si="3"/>
        <v>0</v>
      </c>
    </row>
    <row r="30" spans="1:25" ht="27.75" customHeight="1" x14ac:dyDescent="0.25">
      <c r="A30" s="479" t="s">
        <v>284</v>
      </c>
      <c r="B30" s="479"/>
      <c r="C30" s="479"/>
      <c r="D30" s="479"/>
      <c r="E30" s="479"/>
      <c r="F30" s="479"/>
      <c r="G30" s="22">
        <v>24</v>
      </c>
      <c r="H30" s="23">
        <f>SUM(H10:H29)</f>
        <v>1672021210</v>
      </c>
      <c r="I30" s="23">
        <f t="shared" ref="I30:Y30" si="4">SUM(I10:I29)</f>
        <v>5223432</v>
      </c>
      <c r="J30" s="23">
        <f t="shared" si="4"/>
        <v>83601061</v>
      </c>
      <c r="K30" s="23">
        <f t="shared" si="4"/>
        <v>136815284</v>
      </c>
      <c r="L30" s="23">
        <f t="shared" si="4"/>
        <v>124418267</v>
      </c>
      <c r="M30" s="23">
        <f t="shared" si="4"/>
        <v>0</v>
      </c>
      <c r="N30" s="23">
        <f t="shared" si="4"/>
        <v>2513434</v>
      </c>
      <c r="O30" s="23">
        <f t="shared" si="4"/>
        <v>0</v>
      </c>
      <c r="P30" s="23">
        <f t="shared" si="4"/>
        <v>872</v>
      </c>
      <c r="Q30" s="23">
        <f t="shared" si="4"/>
        <v>0</v>
      </c>
      <c r="R30" s="23">
        <f t="shared" si="4"/>
        <v>0</v>
      </c>
      <c r="S30" s="23">
        <f t="shared" si="4"/>
        <v>0</v>
      </c>
      <c r="T30" s="23">
        <f t="shared" si="4"/>
        <v>0</v>
      </c>
      <c r="U30" s="23">
        <f t="shared" si="4"/>
        <v>715882878</v>
      </c>
      <c r="V30" s="23">
        <f t="shared" si="4"/>
        <v>-329593506</v>
      </c>
      <c r="W30" s="23">
        <f t="shared" si="4"/>
        <v>2162046398</v>
      </c>
      <c r="X30" s="23">
        <f t="shared" si="4"/>
        <v>701810928</v>
      </c>
      <c r="Y30" s="23">
        <f t="shared" si="4"/>
        <v>2863857326</v>
      </c>
    </row>
    <row r="31" spans="1:25" x14ac:dyDescent="0.25">
      <c r="A31" s="480" t="s">
        <v>285</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row>
    <row r="32" spans="1:25" ht="36.75" customHeight="1" x14ac:dyDescent="0.25">
      <c r="A32" s="482" t="s">
        <v>286</v>
      </c>
      <c r="B32" s="482"/>
      <c r="C32" s="482"/>
      <c r="D32" s="482"/>
      <c r="E32" s="482"/>
      <c r="F32" s="482"/>
      <c r="G32" s="19">
        <v>25</v>
      </c>
      <c r="H32" s="20">
        <f>SUM(H12:H20)</f>
        <v>0</v>
      </c>
      <c r="I32" s="20">
        <f t="shared" ref="I32:Y32" si="5">SUM(I12:I20)</f>
        <v>0</v>
      </c>
      <c r="J32" s="20">
        <f t="shared" si="5"/>
        <v>0</v>
      </c>
      <c r="K32" s="20">
        <f t="shared" si="5"/>
        <v>0</v>
      </c>
      <c r="L32" s="20">
        <f t="shared" si="5"/>
        <v>0</v>
      </c>
      <c r="M32" s="20">
        <f t="shared" si="5"/>
        <v>0</v>
      </c>
      <c r="N32" s="20">
        <f t="shared" si="5"/>
        <v>263962</v>
      </c>
      <c r="O32" s="20">
        <f t="shared" si="5"/>
        <v>0</v>
      </c>
      <c r="P32" s="20">
        <f t="shared" si="5"/>
        <v>-60602</v>
      </c>
      <c r="Q32" s="20">
        <f t="shared" si="5"/>
        <v>0</v>
      </c>
      <c r="R32" s="20">
        <f t="shared" si="5"/>
        <v>0</v>
      </c>
      <c r="S32" s="20">
        <f t="shared" si="5"/>
        <v>0</v>
      </c>
      <c r="T32" s="20">
        <f t="shared" si="5"/>
        <v>0</v>
      </c>
      <c r="U32" s="20">
        <f t="shared" si="5"/>
        <v>0</v>
      </c>
      <c r="V32" s="20">
        <f t="shared" si="5"/>
        <v>0</v>
      </c>
      <c r="W32" s="20">
        <f t="shared" si="5"/>
        <v>203360</v>
      </c>
      <c r="X32" s="20">
        <f t="shared" si="5"/>
        <v>0</v>
      </c>
      <c r="Y32" s="20">
        <f t="shared" si="5"/>
        <v>203360</v>
      </c>
    </row>
    <row r="33" spans="1:25" ht="31.5" customHeight="1" x14ac:dyDescent="0.25">
      <c r="A33" s="482" t="s">
        <v>287</v>
      </c>
      <c r="B33" s="482"/>
      <c r="C33" s="482"/>
      <c r="D33" s="482"/>
      <c r="E33" s="482"/>
      <c r="F33" s="482"/>
      <c r="G33" s="19">
        <v>26</v>
      </c>
      <c r="H33" s="20">
        <f>H11+H32</f>
        <v>0</v>
      </c>
      <c r="I33" s="20">
        <f t="shared" ref="I33:Y33" si="6">I11+I32</f>
        <v>0</v>
      </c>
      <c r="J33" s="20">
        <f t="shared" si="6"/>
        <v>0</v>
      </c>
      <c r="K33" s="20">
        <f t="shared" si="6"/>
        <v>0</v>
      </c>
      <c r="L33" s="20">
        <f t="shared" si="6"/>
        <v>0</v>
      </c>
      <c r="M33" s="20">
        <f t="shared" si="6"/>
        <v>0</v>
      </c>
      <c r="N33" s="20">
        <f t="shared" si="6"/>
        <v>263962</v>
      </c>
      <c r="O33" s="20">
        <f t="shared" si="6"/>
        <v>0</v>
      </c>
      <c r="P33" s="20">
        <f t="shared" si="6"/>
        <v>-60602</v>
      </c>
      <c r="Q33" s="20">
        <f t="shared" si="6"/>
        <v>0</v>
      </c>
      <c r="R33" s="20">
        <f t="shared" si="6"/>
        <v>0</v>
      </c>
      <c r="S33" s="20">
        <f t="shared" si="6"/>
        <v>0</v>
      </c>
      <c r="T33" s="20">
        <f t="shared" si="6"/>
        <v>0</v>
      </c>
      <c r="U33" s="20">
        <f t="shared" si="6"/>
        <v>0</v>
      </c>
      <c r="V33" s="20">
        <f t="shared" si="6"/>
        <v>-329593506</v>
      </c>
      <c r="W33" s="20">
        <f t="shared" si="6"/>
        <v>-329390146</v>
      </c>
      <c r="X33" s="20">
        <f t="shared" si="6"/>
        <v>-29212285</v>
      </c>
      <c r="Y33" s="20">
        <f t="shared" si="6"/>
        <v>-358602431</v>
      </c>
    </row>
    <row r="34" spans="1:25" ht="30.75" customHeight="1" x14ac:dyDescent="0.25">
      <c r="A34" s="477" t="s">
        <v>288</v>
      </c>
      <c r="B34" s="477"/>
      <c r="C34" s="477"/>
      <c r="D34" s="477"/>
      <c r="E34" s="477"/>
      <c r="F34" s="477"/>
      <c r="G34" s="22">
        <v>27</v>
      </c>
      <c r="H34" s="23">
        <f>SUM(H21:H29)</f>
        <v>0</v>
      </c>
      <c r="I34" s="23">
        <f t="shared" ref="I34:Y34" si="7">SUM(I21:I29)</f>
        <v>0</v>
      </c>
      <c r="J34" s="23">
        <f t="shared" si="7"/>
        <v>0</v>
      </c>
      <c r="K34" s="23">
        <f t="shared" si="7"/>
        <v>0</v>
      </c>
      <c r="L34" s="23">
        <f t="shared" si="7"/>
        <v>0</v>
      </c>
      <c r="M34" s="23">
        <f t="shared" si="7"/>
        <v>0</v>
      </c>
      <c r="N34" s="23">
        <f t="shared" si="7"/>
        <v>2249472</v>
      </c>
      <c r="O34" s="23">
        <f t="shared" si="7"/>
        <v>0</v>
      </c>
      <c r="P34" s="23">
        <f t="shared" si="7"/>
        <v>0</v>
      </c>
      <c r="Q34" s="23">
        <f t="shared" si="7"/>
        <v>0</v>
      </c>
      <c r="R34" s="23">
        <f t="shared" si="7"/>
        <v>0</v>
      </c>
      <c r="S34" s="23">
        <f t="shared" si="7"/>
        <v>0</v>
      </c>
      <c r="T34" s="23">
        <f t="shared" si="7"/>
        <v>0</v>
      </c>
      <c r="U34" s="23">
        <f t="shared" si="7"/>
        <v>285676466</v>
      </c>
      <c r="V34" s="23">
        <f t="shared" si="7"/>
        <v>-284535940</v>
      </c>
      <c r="W34" s="23">
        <f t="shared" si="7"/>
        <v>3389998</v>
      </c>
      <c r="X34" s="23">
        <f t="shared" si="7"/>
        <v>0</v>
      </c>
      <c r="Y34" s="23">
        <f t="shared" si="7"/>
        <v>3389998</v>
      </c>
    </row>
    <row r="35" spans="1:25" x14ac:dyDescent="0.25">
      <c r="A35" s="480" t="s">
        <v>289</v>
      </c>
      <c r="B35" s="484"/>
      <c r="C35" s="484"/>
      <c r="D35" s="484"/>
      <c r="E35" s="484"/>
      <c r="F35" s="484"/>
      <c r="G35" s="484"/>
      <c r="H35" s="484"/>
      <c r="I35" s="484"/>
      <c r="J35" s="484"/>
      <c r="K35" s="484"/>
      <c r="L35" s="484"/>
      <c r="M35" s="484"/>
      <c r="N35" s="484"/>
      <c r="O35" s="484"/>
      <c r="P35" s="484"/>
      <c r="Q35" s="484"/>
      <c r="R35" s="484"/>
      <c r="S35" s="484"/>
      <c r="T35" s="484"/>
      <c r="U35" s="484"/>
      <c r="V35" s="484"/>
      <c r="W35" s="484"/>
      <c r="X35" s="484"/>
      <c r="Y35" s="484"/>
    </row>
    <row r="36" spans="1:25" x14ac:dyDescent="0.25">
      <c r="A36" s="485" t="s">
        <v>290</v>
      </c>
      <c r="B36" s="485"/>
      <c r="C36" s="485"/>
      <c r="D36" s="485"/>
      <c r="E36" s="485"/>
      <c r="F36" s="485"/>
      <c r="G36" s="16">
        <v>28</v>
      </c>
      <c r="H36" s="17">
        <f>+H30</f>
        <v>1672021210</v>
      </c>
      <c r="I36" s="17">
        <f t="shared" ref="I36:V36" si="8">+I30</f>
        <v>5223432</v>
      </c>
      <c r="J36" s="17">
        <f t="shared" si="8"/>
        <v>83601061</v>
      </c>
      <c r="K36" s="17">
        <f t="shared" si="8"/>
        <v>136815284</v>
      </c>
      <c r="L36" s="17">
        <f t="shared" si="8"/>
        <v>124418267</v>
      </c>
      <c r="M36" s="17">
        <f t="shared" si="8"/>
        <v>0</v>
      </c>
      <c r="N36" s="17">
        <f t="shared" si="8"/>
        <v>2513434</v>
      </c>
      <c r="O36" s="17">
        <f t="shared" si="8"/>
        <v>0</v>
      </c>
      <c r="P36" s="17">
        <f t="shared" si="8"/>
        <v>872</v>
      </c>
      <c r="Q36" s="17">
        <f t="shared" si="8"/>
        <v>0</v>
      </c>
      <c r="R36" s="17">
        <f t="shared" si="8"/>
        <v>0</v>
      </c>
      <c r="S36" s="17">
        <f t="shared" si="8"/>
        <v>0</v>
      </c>
      <c r="T36" s="17">
        <f t="shared" si="8"/>
        <v>0</v>
      </c>
      <c r="U36" s="17">
        <f t="shared" si="8"/>
        <v>715882878</v>
      </c>
      <c r="V36" s="17">
        <f t="shared" si="8"/>
        <v>-329593506</v>
      </c>
      <c r="W36" s="18">
        <f>H36+I36+J36+K36-L36+M36+N36+O36+P36+Q36+R36+U36+V36+S36+T36</f>
        <v>2162046398</v>
      </c>
      <c r="X36" s="17">
        <f>+X30</f>
        <v>701810928</v>
      </c>
      <c r="Y36" s="18">
        <f t="shared" ref="Y36:Y38" si="9">W36+X36</f>
        <v>2863857326</v>
      </c>
    </row>
    <row r="37" spans="1:25" x14ac:dyDescent="0.25">
      <c r="A37" s="478" t="s">
        <v>262</v>
      </c>
      <c r="B37" s="478"/>
      <c r="C37" s="478"/>
      <c r="D37" s="478"/>
      <c r="E37" s="478"/>
      <c r="F37" s="478"/>
      <c r="G37" s="16">
        <v>29</v>
      </c>
      <c r="H37" s="17">
        <v>0</v>
      </c>
      <c r="I37" s="17">
        <v>0</v>
      </c>
      <c r="J37" s="17">
        <v>0</v>
      </c>
      <c r="K37" s="17">
        <v>0</v>
      </c>
      <c r="L37" s="17">
        <v>0</v>
      </c>
      <c r="M37" s="17">
        <v>0</v>
      </c>
      <c r="N37" s="17">
        <v>0</v>
      </c>
      <c r="O37" s="17">
        <v>0</v>
      </c>
      <c r="P37" s="17">
        <v>0</v>
      </c>
      <c r="Q37" s="17">
        <v>0</v>
      </c>
      <c r="R37" s="17">
        <v>0</v>
      </c>
      <c r="S37" s="17">
        <v>0</v>
      </c>
      <c r="T37" s="17">
        <v>0</v>
      </c>
      <c r="U37" s="17">
        <v>0</v>
      </c>
      <c r="V37" s="17">
        <v>0</v>
      </c>
      <c r="W37" s="18">
        <f t="shared" ref="W37:W58" si="10">H37+I37+J37+K37-L37+M37+N37+O37+P37+Q37+R37+U37+V37+S37+T37</f>
        <v>0</v>
      </c>
      <c r="X37" s="17">
        <v>0</v>
      </c>
      <c r="Y37" s="18">
        <f t="shared" si="9"/>
        <v>0</v>
      </c>
    </row>
    <row r="38" spans="1:25" x14ac:dyDescent="0.25">
      <c r="A38" s="478" t="s">
        <v>263</v>
      </c>
      <c r="B38" s="478"/>
      <c r="C38" s="478"/>
      <c r="D38" s="478"/>
      <c r="E38" s="478"/>
      <c r="F38" s="478"/>
      <c r="G38" s="16">
        <v>30</v>
      </c>
      <c r="H38" s="17">
        <v>0</v>
      </c>
      <c r="I38" s="17">
        <v>0</v>
      </c>
      <c r="J38" s="17">
        <v>0</v>
      </c>
      <c r="K38" s="17">
        <v>0</v>
      </c>
      <c r="L38" s="17">
        <v>0</v>
      </c>
      <c r="M38" s="17">
        <v>0</v>
      </c>
      <c r="N38" s="17">
        <v>0</v>
      </c>
      <c r="O38" s="17">
        <v>0</v>
      </c>
      <c r="P38" s="17">
        <v>0</v>
      </c>
      <c r="Q38" s="17">
        <v>0</v>
      </c>
      <c r="R38" s="17">
        <v>0</v>
      </c>
      <c r="S38" s="17">
        <v>0</v>
      </c>
      <c r="T38" s="17">
        <v>0</v>
      </c>
      <c r="U38" s="17">
        <v>0</v>
      </c>
      <c r="V38" s="17">
        <v>0</v>
      </c>
      <c r="W38" s="18">
        <f t="shared" si="10"/>
        <v>0</v>
      </c>
      <c r="X38" s="17">
        <v>0</v>
      </c>
      <c r="Y38" s="18">
        <f t="shared" si="9"/>
        <v>0</v>
      </c>
    </row>
    <row r="39" spans="1:25" ht="25.5" customHeight="1" x14ac:dyDescent="0.25">
      <c r="A39" s="483" t="s">
        <v>291</v>
      </c>
      <c r="B39" s="483"/>
      <c r="C39" s="483"/>
      <c r="D39" s="483"/>
      <c r="E39" s="483"/>
      <c r="F39" s="483"/>
      <c r="G39" s="19">
        <v>31</v>
      </c>
      <c r="H39" s="20">
        <f>H36+H37+H38</f>
        <v>1672021210</v>
      </c>
      <c r="I39" s="20">
        <f t="shared" ref="I39:Y39" si="11">I36+I37+I38</f>
        <v>5223432</v>
      </c>
      <c r="J39" s="20">
        <f t="shared" si="11"/>
        <v>83601061</v>
      </c>
      <c r="K39" s="20">
        <f t="shared" si="11"/>
        <v>136815284</v>
      </c>
      <c r="L39" s="20">
        <f t="shared" si="11"/>
        <v>124418267</v>
      </c>
      <c r="M39" s="20">
        <f t="shared" si="11"/>
        <v>0</v>
      </c>
      <c r="N39" s="20">
        <f t="shared" si="11"/>
        <v>2513434</v>
      </c>
      <c r="O39" s="20">
        <f t="shared" si="11"/>
        <v>0</v>
      </c>
      <c r="P39" s="20">
        <f t="shared" si="11"/>
        <v>872</v>
      </c>
      <c r="Q39" s="20">
        <f t="shared" si="11"/>
        <v>0</v>
      </c>
      <c r="R39" s="20">
        <f t="shared" si="11"/>
        <v>0</v>
      </c>
      <c r="S39" s="20">
        <f t="shared" si="11"/>
        <v>0</v>
      </c>
      <c r="T39" s="20">
        <f t="shared" si="11"/>
        <v>0</v>
      </c>
      <c r="U39" s="20">
        <f t="shared" si="11"/>
        <v>715882878</v>
      </c>
      <c r="V39" s="20">
        <f t="shared" si="11"/>
        <v>-329593506</v>
      </c>
      <c r="W39" s="20">
        <f t="shared" si="11"/>
        <v>2162046398</v>
      </c>
      <c r="X39" s="20">
        <f t="shared" si="11"/>
        <v>701810928</v>
      </c>
      <c r="Y39" s="20">
        <f t="shared" si="11"/>
        <v>2863857326</v>
      </c>
    </row>
    <row r="40" spans="1:25" x14ac:dyDescent="0.25">
      <c r="A40" s="478" t="s">
        <v>265</v>
      </c>
      <c r="B40" s="478"/>
      <c r="C40" s="478"/>
      <c r="D40" s="478"/>
      <c r="E40" s="478"/>
      <c r="F40" s="478"/>
      <c r="G40" s="16">
        <v>32</v>
      </c>
      <c r="H40" s="21">
        <v>0</v>
      </c>
      <c r="I40" s="21">
        <v>0</v>
      </c>
      <c r="J40" s="21">
        <v>0</v>
      </c>
      <c r="K40" s="21">
        <v>0</v>
      </c>
      <c r="L40" s="21">
        <v>0</v>
      </c>
      <c r="M40" s="21">
        <v>0</v>
      </c>
      <c r="N40" s="21">
        <v>0</v>
      </c>
      <c r="O40" s="21">
        <v>0</v>
      </c>
      <c r="P40" s="21">
        <v>0</v>
      </c>
      <c r="Q40" s="21">
        <v>0</v>
      </c>
      <c r="R40" s="21">
        <v>0</v>
      </c>
      <c r="S40" s="17">
        <v>0</v>
      </c>
      <c r="T40" s="17">
        <v>0</v>
      </c>
      <c r="U40" s="21">
        <v>0</v>
      </c>
      <c r="V40" s="17">
        <v>104374607</v>
      </c>
      <c r="W40" s="18">
        <f t="shared" si="10"/>
        <v>104374607</v>
      </c>
      <c r="X40" s="17">
        <v>4332639</v>
      </c>
      <c r="Y40" s="18">
        <f t="shared" ref="Y40:Y58" si="12">W40+X40</f>
        <v>108707246</v>
      </c>
    </row>
    <row r="41" spans="1:25" x14ac:dyDescent="0.25">
      <c r="A41" s="478" t="s">
        <v>266</v>
      </c>
      <c r="B41" s="478"/>
      <c r="C41" s="478"/>
      <c r="D41" s="478"/>
      <c r="E41" s="478"/>
      <c r="F41" s="478"/>
      <c r="G41" s="16">
        <v>33</v>
      </c>
      <c r="H41" s="21">
        <v>0</v>
      </c>
      <c r="I41" s="21">
        <v>0</v>
      </c>
      <c r="J41" s="21">
        <v>0</v>
      </c>
      <c r="K41" s="21">
        <v>0</v>
      </c>
      <c r="L41" s="21">
        <v>0</v>
      </c>
      <c r="M41" s="21">
        <v>0</v>
      </c>
      <c r="N41" s="17">
        <v>-263962</v>
      </c>
      <c r="O41" s="21">
        <v>0</v>
      </c>
      <c r="P41" s="21">
        <v>0</v>
      </c>
      <c r="Q41" s="21">
        <v>0</v>
      </c>
      <c r="R41" s="21">
        <v>0</v>
      </c>
      <c r="S41" s="17">
        <v>0</v>
      </c>
      <c r="T41" s="17">
        <v>0</v>
      </c>
      <c r="U41" s="21">
        <v>0</v>
      </c>
      <c r="V41" s="21">
        <v>0</v>
      </c>
      <c r="W41" s="18">
        <f t="shared" si="10"/>
        <v>-263962</v>
      </c>
      <c r="X41" s="17">
        <v>0</v>
      </c>
      <c r="Y41" s="18">
        <f t="shared" si="12"/>
        <v>-263962</v>
      </c>
    </row>
    <row r="42" spans="1:25" ht="27" customHeight="1" x14ac:dyDescent="0.25">
      <c r="A42" s="478" t="s">
        <v>292</v>
      </c>
      <c r="B42" s="478"/>
      <c r="C42" s="478"/>
      <c r="D42" s="478"/>
      <c r="E42" s="478"/>
      <c r="F42" s="478"/>
      <c r="G42" s="16">
        <v>34</v>
      </c>
      <c r="H42" s="21">
        <v>0</v>
      </c>
      <c r="I42" s="21">
        <v>0</v>
      </c>
      <c r="J42" s="21">
        <v>0</v>
      </c>
      <c r="K42" s="21">
        <v>0</v>
      </c>
      <c r="L42" s="21">
        <v>0</v>
      </c>
      <c r="M42" s="21">
        <v>0</v>
      </c>
      <c r="N42" s="21">
        <v>0</v>
      </c>
      <c r="O42" s="17">
        <v>0</v>
      </c>
      <c r="P42" s="21">
        <v>0</v>
      </c>
      <c r="Q42" s="21">
        <v>0</v>
      </c>
      <c r="R42" s="21">
        <v>0</v>
      </c>
      <c r="S42" s="17">
        <v>0</v>
      </c>
      <c r="T42" s="17">
        <v>0</v>
      </c>
      <c r="U42" s="17">
        <v>0</v>
      </c>
      <c r="V42" s="17">
        <v>0</v>
      </c>
      <c r="W42" s="18">
        <f t="shared" si="10"/>
        <v>0</v>
      </c>
      <c r="X42" s="17">
        <v>0</v>
      </c>
      <c r="Y42" s="18">
        <f t="shared" si="12"/>
        <v>0</v>
      </c>
    </row>
    <row r="43" spans="1:25" ht="37.5" customHeight="1" x14ac:dyDescent="0.25">
      <c r="A43" s="478" t="s">
        <v>268</v>
      </c>
      <c r="B43" s="478"/>
      <c r="C43" s="478"/>
      <c r="D43" s="478"/>
      <c r="E43" s="478"/>
      <c r="F43" s="478"/>
      <c r="G43" s="16">
        <v>35</v>
      </c>
      <c r="H43" s="21">
        <v>0</v>
      </c>
      <c r="I43" s="21">
        <v>0</v>
      </c>
      <c r="J43" s="21">
        <v>0</v>
      </c>
      <c r="K43" s="21">
        <v>0</v>
      </c>
      <c r="L43" s="21">
        <v>0</v>
      </c>
      <c r="M43" s="21">
        <v>0</v>
      </c>
      <c r="N43" s="21">
        <v>0</v>
      </c>
      <c r="O43" s="21">
        <v>0</v>
      </c>
      <c r="P43" s="17">
        <v>97850</v>
      </c>
      <c r="Q43" s="21">
        <v>0</v>
      </c>
      <c r="R43" s="21">
        <v>0</v>
      </c>
      <c r="S43" s="17">
        <v>0</v>
      </c>
      <c r="T43" s="17">
        <v>0</v>
      </c>
      <c r="U43" s="17">
        <v>0</v>
      </c>
      <c r="V43" s="17">
        <v>0</v>
      </c>
      <c r="W43" s="18">
        <f t="shared" si="10"/>
        <v>97850</v>
      </c>
      <c r="X43" s="17">
        <v>0</v>
      </c>
      <c r="Y43" s="18">
        <f t="shared" si="12"/>
        <v>97850</v>
      </c>
    </row>
    <row r="44" spans="1:25" ht="21" customHeight="1" x14ac:dyDescent="0.25">
      <c r="A44" s="478" t="s">
        <v>269</v>
      </c>
      <c r="B44" s="478"/>
      <c r="C44" s="478"/>
      <c r="D44" s="478"/>
      <c r="E44" s="478"/>
      <c r="F44" s="478"/>
      <c r="G44" s="16">
        <v>36</v>
      </c>
      <c r="H44" s="21">
        <v>0</v>
      </c>
      <c r="I44" s="21">
        <v>0</v>
      </c>
      <c r="J44" s="21">
        <v>0</v>
      </c>
      <c r="K44" s="21">
        <v>0</v>
      </c>
      <c r="L44" s="21">
        <v>0</v>
      </c>
      <c r="M44" s="21">
        <v>0</v>
      </c>
      <c r="N44" s="21">
        <v>0</v>
      </c>
      <c r="O44" s="21">
        <v>0</v>
      </c>
      <c r="P44" s="21">
        <v>0</v>
      </c>
      <c r="Q44" s="17">
        <v>0</v>
      </c>
      <c r="R44" s="21">
        <v>0</v>
      </c>
      <c r="S44" s="17">
        <v>0</v>
      </c>
      <c r="T44" s="17">
        <v>0</v>
      </c>
      <c r="U44" s="17">
        <v>0</v>
      </c>
      <c r="V44" s="17">
        <v>0</v>
      </c>
      <c r="W44" s="18">
        <f t="shared" si="10"/>
        <v>0</v>
      </c>
      <c r="X44" s="17">
        <v>0</v>
      </c>
      <c r="Y44" s="18">
        <f t="shared" si="12"/>
        <v>0</v>
      </c>
    </row>
    <row r="45" spans="1:25" ht="29.25" customHeight="1" x14ac:dyDescent="0.25">
      <c r="A45" s="478" t="s">
        <v>270</v>
      </c>
      <c r="B45" s="478"/>
      <c r="C45" s="478"/>
      <c r="D45" s="478"/>
      <c r="E45" s="478"/>
      <c r="F45" s="478"/>
      <c r="G45" s="16">
        <v>37</v>
      </c>
      <c r="H45" s="21">
        <v>0</v>
      </c>
      <c r="I45" s="21">
        <v>0</v>
      </c>
      <c r="J45" s="21">
        <v>0</v>
      </c>
      <c r="K45" s="21">
        <v>0</v>
      </c>
      <c r="L45" s="21">
        <v>0</v>
      </c>
      <c r="M45" s="21">
        <v>0</v>
      </c>
      <c r="N45" s="21">
        <v>0</v>
      </c>
      <c r="O45" s="21">
        <v>0</v>
      </c>
      <c r="P45" s="21">
        <v>0</v>
      </c>
      <c r="Q45" s="21">
        <v>0</v>
      </c>
      <c r="R45" s="17">
        <v>0</v>
      </c>
      <c r="S45" s="17">
        <v>0</v>
      </c>
      <c r="T45" s="17">
        <v>0</v>
      </c>
      <c r="U45" s="17">
        <v>0</v>
      </c>
      <c r="V45" s="17">
        <v>0</v>
      </c>
      <c r="W45" s="18">
        <f t="shared" si="10"/>
        <v>0</v>
      </c>
      <c r="X45" s="17">
        <v>0</v>
      </c>
      <c r="Y45" s="18">
        <f t="shared" si="12"/>
        <v>0</v>
      </c>
    </row>
    <row r="46" spans="1:25" ht="21" customHeight="1" x14ac:dyDescent="0.25">
      <c r="A46" s="478" t="s">
        <v>293</v>
      </c>
      <c r="B46" s="478"/>
      <c r="C46" s="478"/>
      <c r="D46" s="478"/>
      <c r="E46" s="478"/>
      <c r="F46" s="478"/>
      <c r="G46" s="16">
        <v>38</v>
      </c>
      <c r="H46" s="21">
        <v>0</v>
      </c>
      <c r="I46" s="21">
        <v>0</v>
      </c>
      <c r="J46" s="21">
        <v>0</v>
      </c>
      <c r="K46" s="21">
        <v>0</v>
      </c>
      <c r="L46" s="21">
        <v>0</v>
      </c>
      <c r="M46" s="21">
        <v>0</v>
      </c>
      <c r="N46" s="17">
        <v>0</v>
      </c>
      <c r="O46" s="17">
        <v>0</v>
      </c>
      <c r="P46" s="17">
        <v>0</v>
      </c>
      <c r="Q46" s="17">
        <v>0</v>
      </c>
      <c r="R46" s="17">
        <v>0</v>
      </c>
      <c r="S46" s="17">
        <v>0</v>
      </c>
      <c r="T46" s="17">
        <v>0</v>
      </c>
      <c r="U46" s="17">
        <v>0</v>
      </c>
      <c r="V46" s="17">
        <v>0</v>
      </c>
      <c r="W46" s="18">
        <f t="shared" si="10"/>
        <v>0</v>
      </c>
      <c r="X46" s="17">
        <v>0</v>
      </c>
      <c r="Y46" s="18">
        <f t="shared" si="12"/>
        <v>0</v>
      </c>
    </row>
    <row r="47" spans="1:25" x14ac:dyDescent="0.25">
      <c r="A47" s="478" t="s">
        <v>272</v>
      </c>
      <c r="B47" s="478"/>
      <c r="C47" s="478"/>
      <c r="D47" s="478"/>
      <c r="E47" s="478"/>
      <c r="F47" s="478"/>
      <c r="G47" s="16">
        <v>39</v>
      </c>
      <c r="H47" s="21">
        <v>0</v>
      </c>
      <c r="I47" s="21">
        <v>0</v>
      </c>
      <c r="J47" s="21">
        <v>0</v>
      </c>
      <c r="K47" s="21">
        <v>0</v>
      </c>
      <c r="L47" s="21">
        <v>0</v>
      </c>
      <c r="M47" s="21">
        <v>0</v>
      </c>
      <c r="N47" s="17">
        <v>0</v>
      </c>
      <c r="O47" s="17">
        <v>0</v>
      </c>
      <c r="P47" s="17">
        <v>0</v>
      </c>
      <c r="Q47" s="17">
        <v>0</v>
      </c>
      <c r="R47" s="17">
        <v>0</v>
      </c>
      <c r="S47" s="17">
        <v>0</v>
      </c>
      <c r="T47" s="17">
        <v>0</v>
      </c>
      <c r="U47" s="17">
        <v>0</v>
      </c>
      <c r="V47" s="17">
        <v>0</v>
      </c>
      <c r="W47" s="18">
        <f t="shared" si="10"/>
        <v>0</v>
      </c>
      <c r="X47" s="17">
        <v>0</v>
      </c>
      <c r="Y47" s="18">
        <f t="shared" si="12"/>
        <v>0</v>
      </c>
    </row>
    <row r="48" spans="1:25" x14ac:dyDescent="0.25">
      <c r="A48" s="478" t="s">
        <v>273</v>
      </c>
      <c r="B48" s="478"/>
      <c r="C48" s="478"/>
      <c r="D48" s="478"/>
      <c r="E48" s="478"/>
      <c r="F48" s="478"/>
      <c r="G48" s="16">
        <v>40</v>
      </c>
      <c r="H48" s="17">
        <v>0</v>
      </c>
      <c r="I48" s="17">
        <v>0</v>
      </c>
      <c r="J48" s="17">
        <v>0</v>
      </c>
      <c r="K48" s="17">
        <v>0</v>
      </c>
      <c r="L48" s="17">
        <v>0</v>
      </c>
      <c r="M48" s="17">
        <v>0</v>
      </c>
      <c r="N48" s="17">
        <v>0</v>
      </c>
      <c r="O48" s="17">
        <v>0</v>
      </c>
      <c r="P48" s="17">
        <v>0</v>
      </c>
      <c r="Q48" s="17">
        <v>0</v>
      </c>
      <c r="R48" s="17">
        <v>0</v>
      </c>
      <c r="S48" s="17">
        <v>0</v>
      </c>
      <c r="T48" s="17">
        <v>0</v>
      </c>
      <c r="U48" s="17">
        <v>0</v>
      </c>
      <c r="V48" s="17">
        <v>0</v>
      </c>
      <c r="W48" s="18">
        <f t="shared" si="10"/>
        <v>0</v>
      </c>
      <c r="X48" s="17">
        <v>0</v>
      </c>
      <c r="Y48" s="18">
        <f t="shared" si="12"/>
        <v>0</v>
      </c>
    </row>
    <row r="49" spans="1:25" x14ac:dyDescent="0.25">
      <c r="A49" s="478" t="s">
        <v>274</v>
      </c>
      <c r="B49" s="478"/>
      <c r="C49" s="478"/>
      <c r="D49" s="478"/>
      <c r="E49" s="478"/>
      <c r="F49" s="478"/>
      <c r="G49" s="16">
        <v>41</v>
      </c>
      <c r="H49" s="21">
        <v>0</v>
      </c>
      <c r="I49" s="21">
        <v>0</v>
      </c>
      <c r="J49" s="21">
        <v>0</v>
      </c>
      <c r="K49" s="21">
        <v>0</v>
      </c>
      <c r="L49" s="21">
        <v>0</v>
      </c>
      <c r="M49" s="21">
        <v>0</v>
      </c>
      <c r="N49" s="17">
        <v>0</v>
      </c>
      <c r="O49" s="17">
        <v>0</v>
      </c>
      <c r="P49" s="17">
        <v>-17613</v>
      </c>
      <c r="Q49" s="17">
        <v>0</v>
      </c>
      <c r="R49" s="17">
        <v>0</v>
      </c>
      <c r="S49" s="17">
        <v>0</v>
      </c>
      <c r="T49" s="17">
        <v>0</v>
      </c>
      <c r="U49" s="17">
        <v>0</v>
      </c>
      <c r="V49" s="17">
        <v>0</v>
      </c>
      <c r="W49" s="18">
        <f t="shared" si="10"/>
        <v>-17613</v>
      </c>
      <c r="X49" s="17">
        <v>0</v>
      </c>
      <c r="Y49" s="18">
        <f t="shared" si="12"/>
        <v>-17613</v>
      </c>
    </row>
    <row r="50" spans="1:25" ht="24" customHeight="1" x14ac:dyDescent="0.25">
      <c r="A50" s="478" t="s">
        <v>275</v>
      </c>
      <c r="B50" s="478"/>
      <c r="C50" s="478"/>
      <c r="D50" s="478"/>
      <c r="E50" s="478"/>
      <c r="F50" s="478"/>
      <c r="G50" s="16">
        <v>42</v>
      </c>
      <c r="H50" s="17">
        <v>0</v>
      </c>
      <c r="I50" s="17">
        <v>0</v>
      </c>
      <c r="J50" s="17">
        <v>0</v>
      </c>
      <c r="K50" s="17">
        <v>0</v>
      </c>
      <c r="L50" s="17">
        <v>0</v>
      </c>
      <c r="M50" s="17">
        <v>0</v>
      </c>
      <c r="N50" s="17">
        <v>0</v>
      </c>
      <c r="O50" s="17">
        <v>0</v>
      </c>
      <c r="P50" s="17">
        <v>0</v>
      </c>
      <c r="Q50" s="17">
        <v>0</v>
      </c>
      <c r="R50" s="17">
        <v>0</v>
      </c>
      <c r="S50" s="17">
        <v>0</v>
      </c>
      <c r="T50" s="17">
        <v>0</v>
      </c>
      <c r="U50" s="17">
        <v>0</v>
      </c>
      <c r="V50" s="17">
        <v>0</v>
      </c>
      <c r="W50" s="18">
        <f t="shared" si="10"/>
        <v>0</v>
      </c>
      <c r="X50" s="17">
        <v>0</v>
      </c>
      <c r="Y50" s="18">
        <f t="shared" si="12"/>
        <v>0</v>
      </c>
    </row>
    <row r="51" spans="1:25" ht="26.25" customHeight="1" x14ac:dyDescent="0.25">
      <c r="A51" s="478" t="s">
        <v>276</v>
      </c>
      <c r="B51" s="478"/>
      <c r="C51" s="478"/>
      <c r="D51" s="478"/>
      <c r="E51" s="478"/>
      <c r="F51" s="478"/>
      <c r="G51" s="16">
        <v>43</v>
      </c>
      <c r="H51" s="17">
        <v>0</v>
      </c>
      <c r="I51" s="17">
        <v>0</v>
      </c>
      <c r="J51" s="17">
        <v>0</v>
      </c>
      <c r="K51" s="17">
        <v>0</v>
      </c>
      <c r="L51" s="17">
        <v>0</v>
      </c>
      <c r="M51" s="17">
        <v>0</v>
      </c>
      <c r="N51" s="17">
        <v>0</v>
      </c>
      <c r="O51" s="17">
        <v>0</v>
      </c>
      <c r="P51" s="17">
        <v>0</v>
      </c>
      <c r="Q51" s="17">
        <v>0</v>
      </c>
      <c r="R51" s="17">
        <v>0</v>
      </c>
      <c r="S51" s="17">
        <v>0</v>
      </c>
      <c r="T51" s="17">
        <v>0</v>
      </c>
      <c r="U51" s="17">
        <v>0</v>
      </c>
      <c r="V51" s="17">
        <v>0</v>
      </c>
      <c r="W51" s="18">
        <f t="shared" si="10"/>
        <v>0</v>
      </c>
      <c r="X51" s="17">
        <v>0</v>
      </c>
      <c r="Y51" s="18">
        <f t="shared" si="12"/>
        <v>0</v>
      </c>
    </row>
    <row r="52" spans="1:25" ht="22.5" customHeight="1" x14ac:dyDescent="0.25">
      <c r="A52" s="478" t="s">
        <v>277</v>
      </c>
      <c r="B52" s="478"/>
      <c r="C52" s="478"/>
      <c r="D52" s="478"/>
      <c r="E52" s="478"/>
      <c r="F52" s="478"/>
      <c r="G52" s="16">
        <v>44</v>
      </c>
      <c r="H52" s="17">
        <v>0</v>
      </c>
      <c r="I52" s="17">
        <v>0</v>
      </c>
      <c r="J52" s="17">
        <v>0</v>
      </c>
      <c r="K52" s="17">
        <v>0</v>
      </c>
      <c r="L52" s="17">
        <v>0</v>
      </c>
      <c r="M52" s="17">
        <v>0</v>
      </c>
      <c r="N52" s="17">
        <v>0</v>
      </c>
      <c r="O52" s="17">
        <v>0</v>
      </c>
      <c r="P52" s="17">
        <v>0</v>
      </c>
      <c r="Q52" s="17">
        <v>0</v>
      </c>
      <c r="R52" s="17">
        <v>0</v>
      </c>
      <c r="S52" s="17">
        <v>0</v>
      </c>
      <c r="T52" s="17">
        <v>0</v>
      </c>
      <c r="U52" s="17">
        <v>0</v>
      </c>
      <c r="V52" s="17">
        <v>0</v>
      </c>
      <c r="W52" s="18">
        <f t="shared" si="10"/>
        <v>0</v>
      </c>
      <c r="X52" s="17">
        <v>0</v>
      </c>
      <c r="Y52" s="18">
        <f t="shared" si="12"/>
        <v>0</v>
      </c>
    </row>
    <row r="53" spans="1:25" x14ac:dyDescent="0.25">
      <c r="A53" s="478" t="s">
        <v>278</v>
      </c>
      <c r="B53" s="478"/>
      <c r="C53" s="478"/>
      <c r="D53" s="478"/>
      <c r="E53" s="478"/>
      <c r="F53" s="478"/>
      <c r="G53" s="16">
        <v>45</v>
      </c>
      <c r="H53" s="17">
        <v>0</v>
      </c>
      <c r="I53" s="17">
        <v>0</v>
      </c>
      <c r="J53" s="17">
        <v>0</v>
      </c>
      <c r="K53" s="17">
        <v>0</v>
      </c>
      <c r="L53" s="17">
        <v>0</v>
      </c>
      <c r="M53" s="17">
        <v>0</v>
      </c>
      <c r="N53" s="17">
        <v>0</v>
      </c>
      <c r="O53" s="17">
        <v>0</v>
      </c>
      <c r="P53" s="17">
        <v>0</v>
      </c>
      <c r="Q53" s="17">
        <v>0</v>
      </c>
      <c r="R53" s="17">
        <v>0</v>
      </c>
      <c r="S53" s="17">
        <v>0</v>
      </c>
      <c r="T53" s="17">
        <v>0</v>
      </c>
      <c r="U53" s="17">
        <v>0</v>
      </c>
      <c r="V53" s="17">
        <v>0</v>
      </c>
      <c r="W53" s="18">
        <f t="shared" si="10"/>
        <v>0</v>
      </c>
      <c r="X53" s="17">
        <v>0</v>
      </c>
      <c r="Y53" s="18">
        <f t="shared" si="12"/>
        <v>0</v>
      </c>
    </row>
    <row r="54" spans="1:25" x14ac:dyDescent="0.25">
      <c r="A54" s="478" t="s">
        <v>279</v>
      </c>
      <c r="B54" s="478"/>
      <c r="C54" s="478"/>
      <c r="D54" s="478"/>
      <c r="E54" s="478"/>
      <c r="F54" s="478"/>
      <c r="G54" s="16">
        <v>46</v>
      </c>
      <c r="H54" s="17">
        <v>0</v>
      </c>
      <c r="I54" s="17">
        <v>0</v>
      </c>
      <c r="J54" s="17">
        <v>0</v>
      </c>
      <c r="K54" s="17">
        <v>0</v>
      </c>
      <c r="L54" s="17">
        <v>0</v>
      </c>
      <c r="M54" s="17">
        <v>0</v>
      </c>
      <c r="N54" s="17">
        <v>0</v>
      </c>
      <c r="O54" s="17">
        <v>0</v>
      </c>
      <c r="P54" s="17">
        <v>0</v>
      </c>
      <c r="Q54" s="17">
        <v>0</v>
      </c>
      <c r="R54" s="17">
        <v>0</v>
      </c>
      <c r="S54" s="17">
        <v>0</v>
      </c>
      <c r="T54" s="17">
        <v>0</v>
      </c>
      <c r="U54" s="17">
        <v>0</v>
      </c>
      <c r="V54" s="17">
        <v>0</v>
      </c>
      <c r="W54" s="18">
        <f t="shared" si="10"/>
        <v>0</v>
      </c>
      <c r="X54" s="17">
        <v>336920926</v>
      </c>
      <c r="Y54" s="18">
        <f t="shared" si="12"/>
        <v>336920926</v>
      </c>
    </row>
    <row r="55" spans="1:25" x14ac:dyDescent="0.25">
      <c r="A55" s="478" t="s">
        <v>294</v>
      </c>
      <c r="B55" s="478"/>
      <c r="C55" s="478"/>
      <c r="D55" s="478"/>
      <c r="E55" s="478"/>
      <c r="F55" s="478"/>
      <c r="G55" s="16">
        <v>47</v>
      </c>
      <c r="H55" s="17">
        <v>0</v>
      </c>
      <c r="I55" s="17">
        <v>0</v>
      </c>
      <c r="J55" s="17">
        <v>0</v>
      </c>
      <c r="K55" s="17">
        <v>0</v>
      </c>
      <c r="L55" s="17">
        <v>0</v>
      </c>
      <c r="M55" s="17">
        <v>0</v>
      </c>
      <c r="N55" s="17">
        <v>0</v>
      </c>
      <c r="O55" s="17">
        <v>0</v>
      </c>
      <c r="P55" s="17">
        <v>0</v>
      </c>
      <c r="Q55" s="17">
        <v>0</v>
      </c>
      <c r="R55" s="17">
        <v>0</v>
      </c>
      <c r="S55" s="17">
        <v>0</v>
      </c>
      <c r="T55" s="17">
        <v>0</v>
      </c>
      <c r="U55" s="17">
        <v>0</v>
      </c>
      <c r="V55" s="17">
        <v>0</v>
      </c>
      <c r="W55" s="18">
        <f t="shared" si="10"/>
        <v>0</v>
      </c>
      <c r="X55" s="17">
        <v>0</v>
      </c>
      <c r="Y55" s="18">
        <f t="shared" si="12"/>
        <v>0</v>
      </c>
    </row>
    <row r="56" spans="1:25" x14ac:dyDescent="0.25">
      <c r="A56" s="478" t="s">
        <v>281</v>
      </c>
      <c r="B56" s="478"/>
      <c r="C56" s="478"/>
      <c r="D56" s="478"/>
      <c r="E56" s="478"/>
      <c r="F56" s="478"/>
      <c r="G56" s="16">
        <v>48</v>
      </c>
      <c r="H56" s="17">
        <v>0</v>
      </c>
      <c r="I56" s="17">
        <v>0</v>
      </c>
      <c r="J56" s="17">
        <v>0</v>
      </c>
      <c r="K56" s="17">
        <v>0</v>
      </c>
      <c r="L56" s="17">
        <v>0</v>
      </c>
      <c r="M56" s="17">
        <v>0</v>
      </c>
      <c r="N56" s="17">
        <v>0</v>
      </c>
      <c r="O56" s="17">
        <v>0</v>
      </c>
      <c r="P56" s="17">
        <v>0</v>
      </c>
      <c r="Q56" s="17">
        <v>0</v>
      </c>
      <c r="R56" s="17">
        <v>0</v>
      </c>
      <c r="S56" s="17">
        <v>0</v>
      </c>
      <c r="T56" s="17">
        <v>0</v>
      </c>
      <c r="U56" s="17">
        <v>1756034</v>
      </c>
      <c r="V56" s="17">
        <v>0</v>
      </c>
      <c r="W56" s="18">
        <f t="shared" si="10"/>
        <v>1756034</v>
      </c>
      <c r="X56" s="17">
        <v>0</v>
      </c>
      <c r="Y56" s="18">
        <f t="shared" si="12"/>
        <v>1756034</v>
      </c>
    </row>
    <row r="57" spans="1:25" x14ac:dyDescent="0.25">
      <c r="A57" s="478" t="s">
        <v>295</v>
      </c>
      <c r="B57" s="478"/>
      <c r="C57" s="478"/>
      <c r="D57" s="478"/>
      <c r="E57" s="478"/>
      <c r="F57" s="478"/>
      <c r="G57" s="16">
        <v>49</v>
      </c>
      <c r="H57" s="17">
        <v>0</v>
      </c>
      <c r="I57" s="17">
        <v>0</v>
      </c>
      <c r="J57" s="17">
        <v>0</v>
      </c>
      <c r="K57" s="17">
        <v>0</v>
      </c>
      <c r="L57" s="17">
        <v>0</v>
      </c>
      <c r="M57" s="17">
        <v>0</v>
      </c>
      <c r="N57" s="17">
        <v>0</v>
      </c>
      <c r="O57" s="17">
        <v>0</v>
      </c>
      <c r="P57" s="17">
        <v>0</v>
      </c>
      <c r="Q57" s="17">
        <v>0</v>
      </c>
      <c r="R57" s="17">
        <v>0</v>
      </c>
      <c r="S57" s="17">
        <v>0</v>
      </c>
      <c r="T57" s="17">
        <v>0</v>
      </c>
      <c r="U57" s="17">
        <v>-329593506</v>
      </c>
      <c r="V57" s="17">
        <v>329593506</v>
      </c>
      <c r="W57" s="18">
        <f t="shared" si="10"/>
        <v>0</v>
      </c>
      <c r="X57" s="17">
        <v>0</v>
      </c>
      <c r="Y57" s="18">
        <f t="shared" si="12"/>
        <v>0</v>
      </c>
    </row>
    <row r="58" spans="1:25" x14ac:dyDescent="0.25">
      <c r="A58" s="478" t="s">
        <v>283</v>
      </c>
      <c r="B58" s="478"/>
      <c r="C58" s="478"/>
      <c r="D58" s="478"/>
      <c r="E58" s="478"/>
      <c r="F58" s="478"/>
      <c r="G58" s="16">
        <v>50</v>
      </c>
      <c r="H58" s="17">
        <v>0</v>
      </c>
      <c r="I58" s="17">
        <v>0</v>
      </c>
      <c r="J58" s="17">
        <v>0</v>
      </c>
      <c r="K58" s="17">
        <v>0</v>
      </c>
      <c r="L58" s="17">
        <v>0</v>
      </c>
      <c r="M58" s="17">
        <v>0</v>
      </c>
      <c r="N58" s="17">
        <v>0</v>
      </c>
      <c r="O58" s="17">
        <v>0</v>
      </c>
      <c r="P58" s="17">
        <v>0</v>
      </c>
      <c r="Q58" s="17">
        <v>0</v>
      </c>
      <c r="R58" s="17">
        <v>0</v>
      </c>
      <c r="S58" s="17">
        <v>0</v>
      </c>
      <c r="T58" s="17">
        <v>0</v>
      </c>
      <c r="U58" s="17">
        <v>0</v>
      </c>
      <c r="V58" s="17">
        <v>0</v>
      </c>
      <c r="W58" s="18">
        <f t="shared" si="10"/>
        <v>0</v>
      </c>
      <c r="X58" s="17">
        <v>0</v>
      </c>
      <c r="Y58" s="18">
        <f t="shared" si="12"/>
        <v>0</v>
      </c>
    </row>
    <row r="59" spans="1:25" ht="24" customHeight="1" x14ac:dyDescent="0.25">
      <c r="A59" s="479" t="s">
        <v>296</v>
      </c>
      <c r="B59" s="479"/>
      <c r="C59" s="479"/>
      <c r="D59" s="479"/>
      <c r="E59" s="479"/>
      <c r="F59" s="479"/>
      <c r="G59" s="22">
        <v>51</v>
      </c>
      <c r="H59" s="23">
        <f>SUM(H39:H58)</f>
        <v>1672021210</v>
      </c>
      <c r="I59" s="23">
        <f t="shared" ref="I59:Y59" si="13">SUM(I39:I58)</f>
        <v>5223432</v>
      </c>
      <c r="J59" s="23">
        <f t="shared" si="13"/>
        <v>83601061</v>
      </c>
      <c r="K59" s="23">
        <f t="shared" si="13"/>
        <v>136815284</v>
      </c>
      <c r="L59" s="23">
        <f t="shared" si="13"/>
        <v>124418267</v>
      </c>
      <c r="M59" s="23">
        <f t="shared" si="13"/>
        <v>0</v>
      </c>
      <c r="N59" s="23">
        <f t="shared" si="13"/>
        <v>2249472</v>
      </c>
      <c r="O59" s="23">
        <f t="shared" si="13"/>
        <v>0</v>
      </c>
      <c r="P59" s="23">
        <f t="shared" si="13"/>
        <v>81109</v>
      </c>
      <c r="Q59" s="23">
        <f t="shared" si="13"/>
        <v>0</v>
      </c>
      <c r="R59" s="23">
        <f t="shared" si="13"/>
        <v>0</v>
      </c>
      <c r="S59" s="23">
        <f t="shared" si="13"/>
        <v>0</v>
      </c>
      <c r="T59" s="23">
        <f t="shared" si="13"/>
        <v>0</v>
      </c>
      <c r="U59" s="23">
        <f t="shared" si="13"/>
        <v>388045406</v>
      </c>
      <c r="V59" s="23">
        <f t="shared" si="13"/>
        <v>104374607</v>
      </c>
      <c r="W59" s="23">
        <f t="shared" si="13"/>
        <v>2267993314</v>
      </c>
      <c r="X59" s="23">
        <f t="shared" si="13"/>
        <v>1043064493</v>
      </c>
      <c r="Y59" s="23">
        <f t="shared" si="13"/>
        <v>3311057807</v>
      </c>
    </row>
    <row r="60" spans="1:25" x14ac:dyDescent="0.25">
      <c r="A60" s="480" t="s">
        <v>285</v>
      </c>
      <c r="B60" s="481"/>
      <c r="C60" s="481"/>
      <c r="D60" s="481"/>
      <c r="E60" s="481"/>
      <c r="F60" s="481"/>
      <c r="G60" s="481"/>
      <c r="H60" s="481"/>
      <c r="I60" s="481"/>
      <c r="J60" s="481"/>
      <c r="K60" s="481"/>
      <c r="L60" s="481"/>
      <c r="M60" s="481"/>
      <c r="N60" s="481"/>
      <c r="O60" s="481"/>
      <c r="P60" s="481"/>
      <c r="Q60" s="481"/>
      <c r="R60" s="481"/>
      <c r="S60" s="481"/>
      <c r="T60" s="481"/>
      <c r="U60" s="481"/>
      <c r="V60" s="481"/>
      <c r="W60" s="481"/>
      <c r="X60" s="481"/>
      <c r="Y60" s="481"/>
    </row>
    <row r="61" spans="1:25" ht="31.5" customHeight="1" x14ac:dyDescent="0.25">
      <c r="A61" s="482" t="s">
        <v>297</v>
      </c>
      <c r="B61" s="482"/>
      <c r="C61" s="482"/>
      <c r="D61" s="482"/>
      <c r="E61" s="482"/>
      <c r="F61" s="482"/>
      <c r="G61" s="19">
        <v>52</v>
      </c>
      <c r="H61" s="20">
        <f>SUM(H41:H49)</f>
        <v>0</v>
      </c>
      <c r="I61" s="20">
        <f t="shared" ref="I61:Y61" si="14">SUM(I41:I49)</f>
        <v>0</v>
      </c>
      <c r="J61" s="20">
        <f t="shared" si="14"/>
        <v>0</v>
      </c>
      <c r="K61" s="20">
        <f t="shared" si="14"/>
        <v>0</v>
      </c>
      <c r="L61" s="20">
        <f t="shared" si="14"/>
        <v>0</v>
      </c>
      <c r="M61" s="20">
        <f t="shared" si="14"/>
        <v>0</v>
      </c>
      <c r="N61" s="20">
        <f t="shared" si="14"/>
        <v>-263962</v>
      </c>
      <c r="O61" s="20">
        <f t="shared" si="14"/>
        <v>0</v>
      </c>
      <c r="P61" s="20">
        <f t="shared" si="14"/>
        <v>80237</v>
      </c>
      <c r="Q61" s="20">
        <f t="shared" si="14"/>
        <v>0</v>
      </c>
      <c r="R61" s="20">
        <f t="shared" si="14"/>
        <v>0</v>
      </c>
      <c r="S61" s="20">
        <f t="shared" si="14"/>
        <v>0</v>
      </c>
      <c r="T61" s="20">
        <f t="shared" si="14"/>
        <v>0</v>
      </c>
      <c r="U61" s="20">
        <f t="shared" si="14"/>
        <v>0</v>
      </c>
      <c r="V61" s="20">
        <f t="shared" si="14"/>
        <v>0</v>
      </c>
      <c r="W61" s="20">
        <f t="shared" si="14"/>
        <v>-183725</v>
      </c>
      <c r="X61" s="20">
        <f t="shared" si="14"/>
        <v>0</v>
      </c>
      <c r="Y61" s="20">
        <f t="shared" si="14"/>
        <v>-183725</v>
      </c>
    </row>
    <row r="62" spans="1:25" ht="27.75" customHeight="1" x14ac:dyDescent="0.25">
      <c r="A62" s="482" t="s">
        <v>298</v>
      </c>
      <c r="B62" s="482"/>
      <c r="C62" s="482"/>
      <c r="D62" s="482"/>
      <c r="E62" s="482"/>
      <c r="F62" s="482"/>
      <c r="G62" s="19">
        <v>53</v>
      </c>
      <c r="H62" s="20">
        <f>H40+H61</f>
        <v>0</v>
      </c>
      <c r="I62" s="20">
        <f t="shared" ref="I62:Y62" si="15">I40+I61</f>
        <v>0</v>
      </c>
      <c r="J62" s="20">
        <f t="shared" si="15"/>
        <v>0</v>
      </c>
      <c r="K62" s="20">
        <f t="shared" si="15"/>
        <v>0</v>
      </c>
      <c r="L62" s="20">
        <f t="shared" si="15"/>
        <v>0</v>
      </c>
      <c r="M62" s="20">
        <f t="shared" si="15"/>
        <v>0</v>
      </c>
      <c r="N62" s="20">
        <f t="shared" si="15"/>
        <v>-263962</v>
      </c>
      <c r="O62" s="20">
        <f t="shared" si="15"/>
        <v>0</v>
      </c>
      <c r="P62" s="20">
        <f t="shared" si="15"/>
        <v>80237</v>
      </c>
      <c r="Q62" s="20">
        <f t="shared" si="15"/>
        <v>0</v>
      </c>
      <c r="R62" s="20">
        <f t="shared" si="15"/>
        <v>0</v>
      </c>
      <c r="S62" s="20">
        <f t="shared" si="15"/>
        <v>0</v>
      </c>
      <c r="T62" s="20">
        <f t="shared" si="15"/>
        <v>0</v>
      </c>
      <c r="U62" s="20">
        <f t="shared" si="15"/>
        <v>0</v>
      </c>
      <c r="V62" s="20">
        <f t="shared" si="15"/>
        <v>104374607</v>
      </c>
      <c r="W62" s="20">
        <f t="shared" si="15"/>
        <v>104190882</v>
      </c>
      <c r="X62" s="20">
        <f t="shared" si="15"/>
        <v>4332639</v>
      </c>
      <c r="Y62" s="20">
        <f t="shared" si="15"/>
        <v>108523521</v>
      </c>
    </row>
    <row r="63" spans="1:25" ht="29.25" customHeight="1" x14ac:dyDescent="0.25">
      <c r="A63" s="477" t="s">
        <v>299</v>
      </c>
      <c r="B63" s="477"/>
      <c r="C63" s="477"/>
      <c r="D63" s="477"/>
      <c r="E63" s="477"/>
      <c r="F63" s="477"/>
      <c r="G63" s="22">
        <v>54</v>
      </c>
      <c r="H63" s="23">
        <f>SUM(H50:H58)</f>
        <v>0</v>
      </c>
      <c r="I63" s="23">
        <f t="shared" ref="I63:Y63" si="16">SUM(I50:I58)</f>
        <v>0</v>
      </c>
      <c r="J63" s="23">
        <f t="shared" si="16"/>
        <v>0</v>
      </c>
      <c r="K63" s="23">
        <f t="shared" si="16"/>
        <v>0</v>
      </c>
      <c r="L63" s="23">
        <f t="shared" si="16"/>
        <v>0</v>
      </c>
      <c r="M63" s="23">
        <f t="shared" si="16"/>
        <v>0</v>
      </c>
      <c r="N63" s="23">
        <f t="shared" si="16"/>
        <v>0</v>
      </c>
      <c r="O63" s="23">
        <f t="shared" si="16"/>
        <v>0</v>
      </c>
      <c r="P63" s="23">
        <f t="shared" si="16"/>
        <v>0</v>
      </c>
      <c r="Q63" s="23">
        <f t="shared" si="16"/>
        <v>0</v>
      </c>
      <c r="R63" s="23">
        <f t="shared" si="16"/>
        <v>0</v>
      </c>
      <c r="S63" s="23">
        <f t="shared" si="16"/>
        <v>0</v>
      </c>
      <c r="T63" s="23">
        <f t="shared" si="16"/>
        <v>0</v>
      </c>
      <c r="U63" s="23">
        <f t="shared" si="16"/>
        <v>-327837472</v>
      </c>
      <c r="V63" s="23">
        <f t="shared" si="16"/>
        <v>329593506</v>
      </c>
      <c r="W63" s="23">
        <f t="shared" si="16"/>
        <v>1756034</v>
      </c>
      <c r="X63" s="23">
        <f t="shared" si="16"/>
        <v>336920926</v>
      </c>
      <c r="Y63" s="23">
        <f t="shared" si="16"/>
        <v>338676960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7:Y30 H61:Y63 H32:Y34 H36:Y59" xr:uid="{AFD4753A-848C-4832-A987-0F00D0B42F08}">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985B4749-314B-40EC-A9F6-A45A2BFF8104}">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D627260F-F5E5-436C-9772-B83ADDBA2032}">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A0DABC48-A499-4DA4-A20A-F7BF9BAA9CA7}">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A62A5A23-E93F-4679-8909-FDCC384F71ED}">
      <formula1>39448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A9DF6-A9F4-4B9F-BAF6-072679F96514}">
  <dimension ref="A1:AC63"/>
  <sheetViews>
    <sheetView workbookViewId="0">
      <selection activeCell="J7" sqref="J7"/>
    </sheetView>
  </sheetViews>
  <sheetFormatPr defaultRowHeight="13.2" x14ac:dyDescent="0.25"/>
  <cols>
    <col min="1" max="4" width="8.88671875" style="1"/>
    <col min="5" max="5" width="10.109375" style="1" bestFit="1" customWidth="1"/>
    <col min="6" max="6" width="8.88671875" style="1"/>
    <col min="7" max="7" width="10.88671875" style="1" bestFit="1" customWidth="1"/>
    <col min="8" max="25" width="13.44140625" style="5" customWidth="1"/>
    <col min="26" max="26" width="13.44140625" style="6" customWidth="1"/>
    <col min="27" max="29" width="8.88671875" style="6"/>
    <col min="30" max="261" width="8.88671875" style="1"/>
    <col min="262" max="262" width="10.109375" style="1" bestFit="1" customWidth="1"/>
    <col min="263" max="266" width="8.88671875" style="1"/>
    <col min="267" max="268" width="9.88671875" style="1" bestFit="1" customWidth="1"/>
    <col min="269" max="517" width="8.88671875" style="1"/>
    <col min="518" max="518" width="10.109375" style="1" bestFit="1" customWidth="1"/>
    <col min="519" max="522" width="8.88671875" style="1"/>
    <col min="523" max="524" width="9.88671875" style="1" bestFit="1" customWidth="1"/>
    <col min="525" max="773" width="8.88671875" style="1"/>
    <col min="774" max="774" width="10.109375" style="1" bestFit="1" customWidth="1"/>
    <col min="775" max="778" width="8.88671875" style="1"/>
    <col min="779" max="780" width="9.88671875" style="1" bestFit="1" customWidth="1"/>
    <col min="781" max="1029" width="8.88671875" style="1"/>
    <col min="1030" max="1030" width="10.109375" style="1" bestFit="1" customWidth="1"/>
    <col min="1031" max="1034" width="8.88671875" style="1"/>
    <col min="1035" max="1036" width="9.88671875" style="1" bestFit="1" customWidth="1"/>
    <col min="1037" max="1285" width="8.88671875" style="1"/>
    <col min="1286" max="1286" width="10.109375" style="1" bestFit="1" customWidth="1"/>
    <col min="1287" max="1290" width="8.88671875" style="1"/>
    <col min="1291" max="1292" width="9.88671875" style="1" bestFit="1" customWidth="1"/>
    <col min="1293" max="1541" width="8.88671875" style="1"/>
    <col min="1542" max="1542" width="10.109375" style="1" bestFit="1" customWidth="1"/>
    <col min="1543" max="1546" width="8.88671875" style="1"/>
    <col min="1547" max="1548" width="9.88671875" style="1" bestFit="1" customWidth="1"/>
    <col min="1549" max="1797" width="8.88671875" style="1"/>
    <col min="1798" max="1798" width="10.109375" style="1" bestFit="1" customWidth="1"/>
    <col min="1799" max="1802" width="8.88671875" style="1"/>
    <col min="1803" max="1804" width="9.88671875" style="1" bestFit="1" customWidth="1"/>
    <col min="1805" max="2053" width="8.88671875" style="1"/>
    <col min="2054" max="2054" width="10.109375" style="1" bestFit="1" customWidth="1"/>
    <col min="2055" max="2058" width="8.88671875" style="1"/>
    <col min="2059" max="2060" width="9.88671875" style="1" bestFit="1" customWidth="1"/>
    <col min="2061" max="2309" width="8.88671875" style="1"/>
    <col min="2310" max="2310" width="10.109375" style="1" bestFit="1" customWidth="1"/>
    <col min="2311" max="2314" width="8.88671875" style="1"/>
    <col min="2315" max="2316" width="9.88671875" style="1" bestFit="1" customWidth="1"/>
    <col min="2317" max="2565" width="8.88671875" style="1"/>
    <col min="2566" max="2566" width="10.109375" style="1" bestFit="1" customWidth="1"/>
    <col min="2567" max="2570" width="8.88671875" style="1"/>
    <col min="2571" max="2572" width="9.88671875" style="1" bestFit="1" customWidth="1"/>
    <col min="2573" max="2821" width="8.88671875" style="1"/>
    <col min="2822" max="2822" width="10.109375" style="1" bestFit="1" customWidth="1"/>
    <col min="2823" max="2826" width="8.88671875" style="1"/>
    <col min="2827" max="2828" width="9.88671875" style="1" bestFit="1" customWidth="1"/>
    <col min="2829" max="3077" width="8.88671875" style="1"/>
    <col min="3078" max="3078" width="10.109375" style="1" bestFit="1" customWidth="1"/>
    <col min="3079" max="3082" width="8.88671875" style="1"/>
    <col min="3083" max="3084" width="9.88671875" style="1" bestFit="1" customWidth="1"/>
    <col min="3085" max="3333" width="8.88671875" style="1"/>
    <col min="3334" max="3334" width="10.109375" style="1" bestFit="1" customWidth="1"/>
    <col min="3335" max="3338" width="8.88671875" style="1"/>
    <col min="3339" max="3340" width="9.88671875" style="1" bestFit="1" customWidth="1"/>
    <col min="3341" max="3589" width="8.88671875" style="1"/>
    <col min="3590" max="3590" width="10.109375" style="1" bestFit="1" customWidth="1"/>
    <col min="3591" max="3594" width="8.88671875" style="1"/>
    <col min="3595" max="3596" width="9.88671875" style="1" bestFit="1" customWidth="1"/>
    <col min="3597" max="3845" width="8.88671875" style="1"/>
    <col min="3846" max="3846" width="10.109375" style="1" bestFit="1" customWidth="1"/>
    <col min="3847" max="3850" width="8.88671875" style="1"/>
    <col min="3851" max="3852" width="9.88671875" style="1" bestFit="1" customWidth="1"/>
    <col min="3853" max="4101" width="8.88671875" style="1"/>
    <col min="4102" max="4102" width="10.109375" style="1" bestFit="1" customWidth="1"/>
    <col min="4103" max="4106" width="8.88671875" style="1"/>
    <col min="4107" max="4108" width="9.88671875" style="1" bestFit="1" customWidth="1"/>
    <col min="4109" max="4357" width="8.88671875" style="1"/>
    <col min="4358" max="4358" width="10.109375" style="1" bestFit="1" customWidth="1"/>
    <col min="4359" max="4362" width="8.88671875" style="1"/>
    <col min="4363" max="4364" width="9.88671875" style="1" bestFit="1" customWidth="1"/>
    <col min="4365" max="4613" width="8.88671875" style="1"/>
    <col min="4614" max="4614" width="10.109375" style="1" bestFit="1" customWidth="1"/>
    <col min="4615" max="4618" width="8.88671875" style="1"/>
    <col min="4619" max="4620" width="9.88671875" style="1" bestFit="1" customWidth="1"/>
    <col min="4621" max="4869" width="8.88671875" style="1"/>
    <col min="4870" max="4870" width="10.109375" style="1" bestFit="1" customWidth="1"/>
    <col min="4871" max="4874" width="8.88671875" style="1"/>
    <col min="4875" max="4876" width="9.88671875" style="1" bestFit="1" customWidth="1"/>
    <col min="4877" max="5125" width="8.88671875" style="1"/>
    <col min="5126" max="5126" width="10.109375" style="1" bestFit="1" customWidth="1"/>
    <col min="5127" max="5130" width="8.88671875" style="1"/>
    <col min="5131" max="5132" width="9.88671875" style="1" bestFit="1" customWidth="1"/>
    <col min="5133" max="5381" width="8.88671875" style="1"/>
    <col min="5382" max="5382" width="10.109375" style="1" bestFit="1" customWidth="1"/>
    <col min="5383" max="5386" width="8.88671875" style="1"/>
    <col min="5387" max="5388" width="9.88671875" style="1" bestFit="1" customWidth="1"/>
    <col min="5389" max="5637" width="8.88671875" style="1"/>
    <col min="5638" max="5638" width="10.109375" style="1" bestFit="1" customWidth="1"/>
    <col min="5639" max="5642" width="8.88671875" style="1"/>
    <col min="5643" max="5644" width="9.88671875" style="1" bestFit="1" customWidth="1"/>
    <col min="5645" max="5893" width="8.88671875" style="1"/>
    <col min="5894" max="5894" width="10.109375" style="1" bestFit="1" customWidth="1"/>
    <col min="5895" max="5898" width="8.88671875" style="1"/>
    <col min="5899" max="5900" width="9.88671875" style="1" bestFit="1" customWidth="1"/>
    <col min="5901" max="6149" width="8.88671875" style="1"/>
    <col min="6150" max="6150" width="10.109375" style="1" bestFit="1" customWidth="1"/>
    <col min="6151" max="6154" width="8.88671875" style="1"/>
    <col min="6155" max="6156" width="9.88671875" style="1" bestFit="1" customWidth="1"/>
    <col min="6157" max="6405" width="8.88671875" style="1"/>
    <col min="6406" max="6406" width="10.109375" style="1" bestFit="1" customWidth="1"/>
    <col min="6407" max="6410" width="8.88671875" style="1"/>
    <col min="6411" max="6412" width="9.88671875" style="1" bestFit="1" customWidth="1"/>
    <col min="6413" max="6661" width="8.88671875" style="1"/>
    <col min="6662" max="6662" width="10.109375" style="1" bestFit="1" customWidth="1"/>
    <col min="6663" max="6666" width="8.88671875" style="1"/>
    <col min="6667" max="6668" width="9.88671875" style="1" bestFit="1" customWidth="1"/>
    <col min="6669" max="6917" width="8.88671875" style="1"/>
    <col min="6918" max="6918" width="10.109375" style="1" bestFit="1" customWidth="1"/>
    <col min="6919" max="6922" width="8.88671875" style="1"/>
    <col min="6923" max="6924" width="9.88671875" style="1" bestFit="1" customWidth="1"/>
    <col min="6925" max="7173" width="8.88671875" style="1"/>
    <col min="7174" max="7174" width="10.109375" style="1" bestFit="1" customWidth="1"/>
    <col min="7175" max="7178" width="8.88671875" style="1"/>
    <col min="7179" max="7180" width="9.88671875" style="1" bestFit="1" customWidth="1"/>
    <col min="7181" max="7429" width="8.88671875" style="1"/>
    <col min="7430" max="7430" width="10.109375" style="1" bestFit="1" customWidth="1"/>
    <col min="7431" max="7434" width="8.88671875" style="1"/>
    <col min="7435" max="7436" width="9.88671875" style="1" bestFit="1" customWidth="1"/>
    <col min="7437" max="7685" width="8.88671875" style="1"/>
    <col min="7686" max="7686" width="10.109375" style="1" bestFit="1" customWidth="1"/>
    <col min="7687" max="7690" width="8.88671875" style="1"/>
    <col min="7691" max="7692" width="9.88671875" style="1" bestFit="1" customWidth="1"/>
    <col min="7693" max="7941" width="8.88671875" style="1"/>
    <col min="7942" max="7942" width="10.109375" style="1" bestFit="1" customWidth="1"/>
    <col min="7943" max="7946" width="8.88671875" style="1"/>
    <col min="7947" max="7948" width="9.88671875" style="1" bestFit="1" customWidth="1"/>
    <col min="7949" max="8197" width="8.88671875" style="1"/>
    <col min="8198" max="8198" width="10.109375" style="1" bestFit="1" customWidth="1"/>
    <col min="8199" max="8202" width="8.88671875" style="1"/>
    <col min="8203" max="8204" width="9.88671875" style="1" bestFit="1" customWidth="1"/>
    <col min="8205" max="8453" width="8.88671875" style="1"/>
    <col min="8454" max="8454" width="10.109375" style="1" bestFit="1" customWidth="1"/>
    <col min="8455" max="8458" width="8.88671875" style="1"/>
    <col min="8459" max="8460" width="9.88671875" style="1" bestFit="1" customWidth="1"/>
    <col min="8461" max="8709" width="8.88671875" style="1"/>
    <col min="8710" max="8710" width="10.109375" style="1" bestFit="1" customWidth="1"/>
    <col min="8711" max="8714" width="8.88671875" style="1"/>
    <col min="8715" max="8716" width="9.88671875" style="1" bestFit="1" customWidth="1"/>
    <col min="8717" max="8965" width="8.88671875" style="1"/>
    <col min="8966" max="8966" width="10.109375" style="1" bestFit="1" customWidth="1"/>
    <col min="8967" max="8970" width="8.88671875" style="1"/>
    <col min="8971" max="8972" width="9.88671875" style="1" bestFit="1" customWidth="1"/>
    <col min="8973" max="9221" width="8.88671875" style="1"/>
    <col min="9222" max="9222" width="10.109375" style="1" bestFit="1" customWidth="1"/>
    <col min="9223" max="9226" width="8.88671875" style="1"/>
    <col min="9227" max="9228" width="9.88671875" style="1" bestFit="1" customWidth="1"/>
    <col min="9229" max="9477" width="8.88671875" style="1"/>
    <col min="9478" max="9478" width="10.109375" style="1" bestFit="1" customWidth="1"/>
    <col min="9479" max="9482" width="8.88671875" style="1"/>
    <col min="9483" max="9484" width="9.88671875" style="1" bestFit="1" customWidth="1"/>
    <col min="9485" max="9733" width="8.88671875" style="1"/>
    <col min="9734" max="9734" width="10.109375" style="1" bestFit="1" customWidth="1"/>
    <col min="9735" max="9738" width="8.88671875" style="1"/>
    <col min="9739" max="9740" width="9.88671875" style="1" bestFit="1" customWidth="1"/>
    <col min="9741" max="9989" width="8.88671875" style="1"/>
    <col min="9990" max="9990" width="10.109375" style="1" bestFit="1" customWidth="1"/>
    <col min="9991" max="9994" width="8.88671875" style="1"/>
    <col min="9995" max="9996" width="9.88671875" style="1" bestFit="1" customWidth="1"/>
    <col min="9997" max="10245" width="8.88671875" style="1"/>
    <col min="10246" max="10246" width="10.109375" style="1" bestFit="1" customWidth="1"/>
    <col min="10247" max="10250" width="8.88671875" style="1"/>
    <col min="10251" max="10252" width="9.88671875" style="1" bestFit="1" customWidth="1"/>
    <col min="10253" max="10501" width="8.88671875" style="1"/>
    <col min="10502" max="10502" width="10.109375" style="1" bestFit="1" customWidth="1"/>
    <col min="10503" max="10506" width="8.88671875" style="1"/>
    <col min="10507" max="10508" width="9.88671875" style="1" bestFit="1" customWidth="1"/>
    <col min="10509" max="10757" width="8.88671875" style="1"/>
    <col min="10758" max="10758" width="10.109375" style="1" bestFit="1" customWidth="1"/>
    <col min="10759" max="10762" width="8.88671875" style="1"/>
    <col min="10763" max="10764" width="9.88671875" style="1" bestFit="1" customWidth="1"/>
    <col min="10765" max="11013" width="8.88671875" style="1"/>
    <col min="11014" max="11014" width="10.109375" style="1" bestFit="1" customWidth="1"/>
    <col min="11015" max="11018" width="8.88671875" style="1"/>
    <col min="11019" max="11020" width="9.88671875" style="1" bestFit="1" customWidth="1"/>
    <col min="11021" max="11269" width="8.88671875" style="1"/>
    <col min="11270" max="11270" width="10.109375" style="1" bestFit="1" customWidth="1"/>
    <col min="11271" max="11274" width="8.88671875" style="1"/>
    <col min="11275" max="11276" width="9.88671875" style="1" bestFit="1" customWidth="1"/>
    <col min="11277" max="11525" width="8.88671875" style="1"/>
    <col min="11526" max="11526" width="10.109375" style="1" bestFit="1" customWidth="1"/>
    <col min="11527" max="11530" width="8.88671875" style="1"/>
    <col min="11531" max="11532" width="9.88671875" style="1" bestFit="1" customWidth="1"/>
    <col min="11533" max="11781" width="8.88671875" style="1"/>
    <col min="11782" max="11782" width="10.109375" style="1" bestFit="1" customWidth="1"/>
    <col min="11783" max="11786" width="8.88671875" style="1"/>
    <col min="11787" max="11788" width="9.88671875" style="1" bestFit="1" customWidth="1"/>
    <col min="11789" max="12037" width="8.88671875" style="1"/>
    <col min="12038" max="12038" width="10.109375" style="1" bestFit="1" customWidth="1"/>
    <col min="12039" max="12042" width="8.88671875" style="1"/>
    <col min="12043" max="12044" width="9.88671875" style="1" bestFit="1" customWidth="1"/>
    <col min="12045" max="12293" width="8.88671875" style="1"/>
    <col min="12294" max="12294" width="10.109375" style="1" bestFit="1" customWidth="1"/>
    <col min="12295" max="12298" width="8.88671875" style="1"/>
    <col min="12299" max="12300" width="9.88671875" style="1" bestFit="1" customWidth="1"/>
    <col min="12301" max="12549" width="8.88671875" style="1"/>
    <col min="12550" max="12550" width="10.109375" style="1" bestFit="1" customWidth="1"/>
    <col min="12551" max="12554" width="8.88671875" style="1"/>
    <col min="12555" max="12556" width="9.88671875" style="1" bestFit="1" customWidth="1"/>
    <col min="12557" max="12805" width="8.88671875" style="1"/>
    <col min="12806" max="12806" width="10.109375" style="1" bestFit="1" customWidth="1"/>
    <col min="12807" max="12810" width="8.88671875" style="1"/>
    <col min="12811" max="12812" width="9.88671875" style="1" bestFit="1" customWidth="1"/>
    <col min="12813" max="13061" width="8.88671875" style="1"/>
    <col min="13062" max="13062" width="10.109375" style="1" bestFit="1" customWidth="1"/>
    <col min="13063" max="13066" width="8.88671875" style="1"/>
    <col min="13067" max="13068" width="9.88671875" style="1" bestFit="1" customWidth="1"/>
    <col min="13069" max="13317" width="8.88671875" style="1"/>
    <col min="13318" max="13318" width="10.109375" style="1" bestFit="1" customWidth="1"/>
    <col min="13319" max="13322" width="8.88671875" style="1"/>
    <col min="13323" max="13324" width="9.88671875" style="1" bestFit="1" customWidth="1"/>
    <col min="13325" max="13573" width="8.88671875" style="1"/>
    <col min="13574" max="13574" width="10.109375" style="1" bestFit="1" customWidth="1"/>
    <col min="13575" max="13578" width="8.88671875" style="1"/>
    <col min="13579" max="13580" width="9.88671875" style="1" bestFit="1" customWidth="1"/>
    <col min="13581" max="13829" width="8.88671875" style="1"/>
    <col min="13830" max="13830" width="10.109375" style="1" bestFit="1" customWidth="1"/>
    <col min="13831" max="13834" width="8.88671875" style="1"/>
    <col min="13835" max="13836" width="9.88671875" style="1" bestFit="1" customWidth="1"/>
    <col min="13837" max="14085" width="8.88671875" style="1"/>
    <col min="14086" max="14086" width="10.109375" style="1" bestFit="1" customWidth="1"/>
    <col min="14087" max="14090" width="8.88671875" style="1"/>
    <col min="14091" max="14092" width="9.88671875" style="1" bestFit="1" customWidth="1"/>
    <col min="14093" max="14341" width="8.88671875" style="1"/>
    <col min="14342" max="14342" width="10.109375" style="1" bestFit="1" customWidth="1"/>
    <col min="14343" max="14346" width="8.88671875" style="1"/>
    <col min="14347" max="14348" width="9.88671875" style="1" bestFit="1" customWidth="1"/>
    <col min="14349" max="14597" width="8.88671875" style="1"/>
    <col min="14598" max="14598" width="10.109375" style="1" bestFit="1" customWidth="1"/>
    <col min="14599" max="14602" width="8.88671875" style="1"/>
    <col min="14603" max="14604" width="9.88671875" style="1" bestFit="1" customWidth="1"/>
    <col min="14605" max="14853" width="8.88671875" style="1"/>
    <col min="14854" max="14854" width="10.109375" style="1" bestFit="1" customWidth="1"/>
    <col min="14855" max="14858" width="8.88671875" style="1"/>
    <col min="14859" max="14860" width="9.88671875" style="1" bestFit="1" customWidth="1"/>
    <col min="14861" max="15109" width="8.88671875" style="1"/>
    <col min="15110" max="15110" width="10.109375" style="1" bestFit="1" customWidth="1"/>
    <col min="15111" max="15114" width="8.88671875" style="1"/>
    <col min="15115" max="15116" width="9.88671875" style="1" bestFit="1" customWidth="1"/>
    <col min="15117" max="15365" width="8.88671875" style="1"/>
    <col min="15366" max="15366" width="10.109375" style="1" bestFit="1" customWidth="1"/>
    <col min="15367" max="15370" width="8.88671875" style="1"/>
    <col min="15371" max="15372" width="9.88671875" style="1" bestFit="1" customWidth="1"/>
    <col min="15373" max="15621" width="8.88671875" style="1"/>
    <col min="15622" max="15622" width="10.109375" style="1" bestFit="1" customWidth="1"/>
    <col min="15623" max="15626" width="8.88671875" style="1"/>
    <col min="15627" max="15628" width="9.88671875" style="1" bestFit="1" customWidth="1"/>
    <col min="15629" max="15877" width="8.88671875" style="1"/>
    <col min="15878" max="15878" width="10.109375" style="1" bestFit="1" customWidth="1"/>
    <col min="15879" max="15882" width="8.88671875" style="1"/>
    <col min="15883" max="15884" width="9.88671875" style="1" bestFit="1" customWidth="1"/>
    <col min="15885" max="16133" width="8.88671875" style="1"/>
    <col min="16134" max="16134" width="10.109375" style="1" bestFit="1" customWidth="1"/>
    <col min="16135" max="16138" width="8.88671875" style="1"/>
    <col min="16139" max="16140" width="9.88671875" style="1" bestFit="1" customWidth="1"/>
    <col min="16141" max="16384" width="8.88671875" style="1"/>
  </cols>
  <sheetData>
    <row r="1" spans="1:25" x14ac:dyDescent="0.25">
      <c r="A1" s="495" t="s">
        <v>218</v>
      </c>
      <c r="B1" s="496"/>
      <c r="C1" s="496"/>
      <c r="D1" s="496"/>
      <c r="E1" s="496"/>
      <c r="F1" s="496"/>
      <c r="G1" s="496"/>
      <c r="H1" s="496"/>
      <c r="I1" s="496"/>
      <c r="J1" s="496"/>
      <c r="K1" s="4"/>
    </row>
    <row r="2" spans="1:25" ht="15.6" x14ac:dyDescent="0.25">
      <c r="A2" s="2"/>
      <c r="B2" s="3"/>
      <c r="C2" s="497" t="s">
        <v>219</v>
      </c>
      <c r="D2" s="497"/>
      <c r="E2" s="8">
        <v>44927</v>
      </c>
      <c r="F2" s="7" t="s">
        <v>220</v>
      </c>
      <c r="G2" s="8">
        <v>45291</v>
      </c>
      <c r="H2" s="9"/>
      <c r="I2" s="9"/>
      <c r="J2" s="9"/>
      <c r="K2" s="4"/>
      <c r="X2" s="5" t="s">
        <v>591</v>
      </c>
    </row>
    <row r="3" spans="1:25" ht="13.5" customHeight="1" thickBot="1" x14ac:dyDescent="0.3">
      <c r="A3" s="498" t="s">
        <v>222</v>
      </c>
      <c r="B3" s="499"/>
      <c r="C3" s="499"/>
      <c r="D3" s="499"/>
      <c r="E3" s="499"/>
      <c r="F3" s="499"/>
      <c r="G3" s="502" t="s">
        <v>223</v>
      </c>
      <c r="H3" s="493" t="s">
        <v>224</v>
      </c>
      <c r="I3" s="493"/>
      <c r="J3" s="493"/>
      <c r="K3" s="493"/>
      <c r="L3" s="493"/>
      <c r="M3" s="493"/>
      <c r="N3" s="493"/>
      <c r="O3" s="493"/>
      <c r="P3" s="493"/>
      <c r="Q3" s="493"/>
      <c r="R3" s="493"/>
      <c r="S3" s="493"/>
      <c r="T3" s="493"/>
      <c r="U3" s="493"/>
      <c r="V3" s="493"/>
      <c r="W3" s="493"/>
      <c r="X3" s="493" t="s">
        <v>225</v>
      </c>
      <c r="Y3" s="486" t="s">
        <v>226</v>
      </c>
    </row>
    <row r="4" spans="1:25" ht="72" thickBot="1" x14ac:dyDescent="0.3">
      <c r="A4" s="500"/>
      <c r="B4" s="501"/>
      <c r="C4" s="501"/>
      <c r="D4" s="501"/>
      <c r="E4" s="501"/>
      <c r="F4" s="501"/>
      <c r="G4" s="503"/>
      <c r="H4" s="10" t="s">
        <v>227</v>
      </c>
      <c r="I4" s="10" t="s">
        <v>228</v>
      </c>
      <c r="J4" s="10" t="s">
        <v>229</v>
      </c>
      <c r="K4" s="10" t="s">
        <v>230</v>
      </c>
      <c r="L4" s="10" t="s">
        <v>231</v>
      </c>
      <c r="M4" s="10" t="s">
        <v>232</v>
      </c>
      <c r="N4" s="10" t="s">
        <v>233</v>
      </c>
      <c r="O4" s="10" t="s">
        <v>234</v>
      </c>
      <c r="P4" s="11" t="s">
        <v>235</v>
      </c>
      <c r="Q4" s="10" t="s">
        <v>236</v>
      </c>
      <c r="R4" s="10" t="s">
        <v>237</v>
      </c>
      <c r="S4" s="11" t="s">
        <v>238</v>
      </c>
      <c r="T4" s="11" t="s">
        <v>239</v>
      </c>
      <c r="U4" s="10" t="s">
        <v>240</v>
      </c>
      <c r="V4" s="10" t="s">
        <v>241</v>
      </c>
      <c r="W4" s="10" t="s">
        <v>242</v>
      </c>
      <c r="X4" s="494"/>
      <c r="Y4" s="487"/>
    </row>
    <row r="5" spans="1:25" ht="20.399999999999999" x14ac:dyDescent="0.25">
      <c r="A5" s="488">
        <v>1</v>
      </c>
      <c r="B5" s="489"/>
      <c r="C5" s="489"/>
      <c r="D5" s="489"/>
      <c r="E5" s="489"/>
      <c r="F5" s="489"/>
      <c r="G5" s="12">
        <v>2</v>
      </c>
      <c r="H5" s="13" t="s">
        <v>243</v>
      </c>
      <c r="I5" s="14" t="s">
        <v>244</v>
      </c>
      <c r="J5" s="13" t="s">
        <v>245</v>
      </c>
      <c r="K5" s="14" t="s">
        <v>246</v>
      </c>
      <c r="L5" s="13" t="s">
        <v>247</v>
      </c>
      <c r="M5" s="14" t="s">
        <v>248</v>
      </c>
      <c r="N5" s="13" t="s">
        <v>249</v>
      </c>
      <c r="O5" s="14" t="s">
        <v>250</v>
      </c>
      <c r="P5" s="13" t="s">
        <v>251</v>
      </c>
      <c r="Q5" s="14" t="s">
        <v>252</v>
      </c>
      <c r="R5" s="13" t="s">
        <v>253</v>
      </c>
      <c r="S5" s="13" t="s">
        <v>254</v>
      </c>
      <c r="T5" s="13" t="s">
        <v>255</v>
      </c>
      <c r="U5" s="13" t="s">
        <v>256</v>
      </c>
      <c r="V5" s="13" t="s">
        <v>257</v>
      </c>
      <c r="W5" s="13" t="s">
        <v>258</v>
      </c>
      <c r="X5" s="13">
        <v>19</v>
      </c>
      <c r="Y5" s="15" t="s">
        <v>259</v>
      </c>
    </row>
    <row r="6" spans="1:25" x14ac:dyDescent="0.25">
      <c r="A6" s="490" t="s">
        <v>260</v>
      </c>
      <c r="B6" s="490"/>
      <c r="C6" s="490"/>
      <c r="D6" s="490"/>
      <c r="E6" s="490"/>
      <c r="F6" s="490"/>
      <c r="G6" s="490"/>
      <c r="H6" s="490"/>
      <c r="I6" s="490"/>
      <c r="J6" s="490"/>
      <c r="K6" s="490"/>
      <c r="L6" s="490"/>
      <c r="M6" s="490"/>
      <c r="N6" s="491"/>
      <c r="O6" s="491"/>
      <c r="P6" s="491"/>
      <c r="Q6" s="491"/>
      <c r="R6" s="491"/>
      <c r="S6" s="491"/>
      <c r="T6" s="491"/>
      <c r="U6" s="491"/>
      <c r="V6" s="491"/>
      <c r="W6" s="491"/>
      <c r="X6" s="491"/>
      <c r="Y6" s="492"/>
    </row>
    <row r="7" spans="1:25" x14ac:dyDescent="0.25">
      <c r="A7" s="485" t="s">
        <v>261</v>
      </c>
      <c r="B7" s="485"/>
      <c r="C7" s="485"/>
      <c r="D7" s="485"/>
      <c r="E7" s="485"/>
      <c r="F7" s="485"/>
      <c r="G7" s="16">
        <v>1</v>
      </c>
      <c r="H7" s="17">
        <v>221915351</v>
      </c>
      <c r="I7" s="17">
        <v>693268</v>
      </c>
      <c r="J7" s="17">
        <v>11095768</v>
      </c>
      <c r="K7" s="17">
        <v>18158509</v>
      </c>
      <c r="L7" s="17">
        <v>16513142</v>
      </c>
      <c r="M7" s="17">
        <v>0</v>
      </c>
      <c r="N7" s="17">
        <v>298556</v>
      </c>
      <c r="O7" s="17">
        <v>0</v>
      </c>
      <c r="P7" s="17">
        <v>10765</v>
      </c>
      <c r="Q7" s="17">
        <v>0</v>
      </c>
      <c r="R7" s="17">
        <v>0</v>
      </c>
      <c r="S7" s="17">
        <v>0</v>
      </c>
      <c r="T7" s="17">
        <v>0</v>
      </c>
      <c r="U7" s="17">
        <v>51502476</v>
      </c>
      <c r="V7" s="17">
        <v>13852891</v>
      </c>
      <c r="W7" s="18">
        <f>H7+I7+J7+K7-L7+M7+N7+O7+P7+Q7+R7+U7+V7+S7+T7</f>
        <v>301014442</v>
      </c>
      <c r="X7" s="17">
        <v>138438449</v>
      </c>
      <c r="Y7" s="18">
        <f>W7+X7</f>
        <v>439452891</v>
      </c>
    </row>
    <row r="8" spans="1:25" x14ac:dyDescent="0.25">
      <c r="A8" s="478" t="s">
        <v>262</v>
      </c>
      <c r="B8" s="478"/>
      <c r="C8" s="478"/>
      <c r="D8" s="478"/>
      <c r="E8" s="478"/>
      <c r="F8" s="478"/>
      <c r="G8" s="16">
        <v>2</v>
      </c>
      <c r="H8" s="17">
        <v>0</v>
      </c>
      <c r="I8" s="17">
        <v>0</v>
      </c>
      <c r="J8" s="17">
        <v>0</v>
      </c>
      <c r="K8" s="17">
        <v>0</v>
      </c>
      <c r="L8" s="17">
        <v>0</v>
      </c>
      <c r="M8" s="17">
        <v>0</v>
      </c>
      <c r="N8" s="17">
        <v>0</v>
      </c>
      <c r="O8" s="17">
        <v>0</v>
      </c>
      <c r="P8" s="17">
        <v>0</v>
      </c>
      <c r="Q8" s="17">
        <v>0</v>
      </c>
      <c r="R8" s="17">
        <v>0</v>
      </c>
      <c r="S8" s="17">
        <v>0</v>
      </c>
      <c r="T8" s="17">
        <v>0</v>
      </c>
      <c r="U8" s="17">
        <v>0</v>
      </c>
      <c r="V8" s="17">
        <v>0</v>
      </c>
      <c r="W8" s="18">
        <f t="shared" ref="W8:W29" si="0">H8+I8+J8+K8-L8+M8+N8+O8+P8+Q8+R8+U8+V8+S8+T8</f>
        <v>0</v>
      </c>
      <c r="X8" s="17">
        <v>0</v>
      </c>
      <c r="Y8" s="18">
        <f t="shared" ref="Y8:Y9" si="1">W8+X8</f>
        <v>0</v>
      </c>
    </row>
    <row r="9" spans="1:25" x14ac:dyDescent="0.25">
      <c r="A9" s="478" t="s">
        <v>263</v>
      </c>
      <c r="B9" s="478"/>
      <c r="C9" s="478"/>
      <c r="D9" s="478"/>
      <c r="E9" s="478"/>
      <c r="F9" s="478"/>
      <c r="G9" s="16">
        <v>3</v>
      </c>
      <c r="H9" s="17">
        <v>0</v>
      </c>
      <c r="I9" s="17">
        <v>0</v>
      </c>
      <c r="J9" s="17">
        <v>0</v>
      </c>
      <c r="K9" s="17">
        <v>0</v>
      </c>
      <c r="L9" s="17">
        <v>0</v>
      </c>
      <c r="M9" s="17">
        <v>0</v>
      </c>
      <c r="N9" s="17">
        <v>0</v>
      </c>
      <c r="O9" s="17">
        <v>0</v>
      </c>
      <c r="P9" s="17">
        <v>0</v>
      </c>
      <c r="Q9" s="17">
        <v>0</v>
      </c>
      <c r="R9" s="17">
        <v>0</v>
      </c>
      <c r="S9" s="17">
        <v>0</v>
      </c>
      <c r="T9" s="17">
        <v>0</v>
      </c>
      <c r="U9" s="17">
        <v>0</v>
      </c>
      <c r="V9" s="17">
        <v>0</v>
      </c>
      <c r="W9" s="18">
        <f t="shared" si="0"/>
        <v>0</v>
      </c>
      <c r="X9" s="17">
        <v>0</v>
      </c>
      <c r="Y9" s="18">
        <f t="shared" si="1"/>
        <v>0</v>
      </c>
    </row>
    <row r="10" spans="1:25" ht="22.5" customHeight="1" x14ac:dyDescent="0.25">
      <c r="A10" s="483" t="s">
        <v>264</v>
      </c>
      <c r="B10" s="483"/>
      <c r="C10" s="483"/>
      <c r="D10" s="483"/>
      <c r="E10" s="483"/>
      <c r="F10" s="483"/>
      <c r="G10" s="19">
        <v>4</v>
      </c>
      <c r="H10" s="20">
        <f>H7+H8+H9</f>
        <v>221915351</v>
      </c>
      <c r="I10" s="20">
        <f t="shared" ref="I10:Y10" si="2">I7+I8+I9</f>
        <v>693268</v>
      </c>
      <c r="J10" s="20">
        <f t="shared" si="2"/>
        <v>11095768</v>
      </c>
      <c r="K10" s="20">
        <f t="shared" si="2"/>
        <v>18158509</v>
      </c>
      <c r="L10" s="20">
        <f t="shared" si="2"/>
        <v>16513142</v>
      </c>
      <c r="M10" s="20">
        <f t="shared" si="2"/>
        <v>0</v>
      </c>
      <c r="N10" s="20">
        <f t="shared" si="2"/>
        <v>298556</v>
      </c>
      <c r="O10" s="20">
        <f t="shared" si="2"/>
        <v>0</v>
      </c>
      <c r="P10" s="20">
        <f t="shared" si="2"/>
        <v>10765</v>
      </c>
      <c r="Q10" s="20">
        <f t="shared" si="2"/>
        <v>0</v>
      </c>
      <c r="R10" s="20">
        <f t="shared" si="2"/>
        <v>0</v>
      </c>
      <c r="S10" s="20">
        <f t="shared" si="2"/>
        <v>0</v>
      </c>
      <c r="T10" s="20">
        <f t="shared" si="2"/>
        <v>0</v>
      </c>
      <c r="U10" s="20">
        <f t="shared" si="2"/>
        <v>51502476</v>
      </c>
      <c r="V10" s="20">
        <f t="shared" si="2"/>
        <v>13852891</v>
      </c>
      <c r="W10" s="20">
        <f t="shared" si="0"/>
        <v>301014442</v>
      </c>
      <c r="X10" s="20">
        <f t="shared" si="2"/>
        <v>138438449</v>
      </c>
      <c r="Y10" s="20">
        <f t="shared" si="2"/>
        <v>439452891</v>
      </c>
    </row>
    <row r="11" spans="1:25" x14ac:dyDescent="0.25">
      <c r="A11" s="478" t="s">
        <v>265</v>
      </c>
      <c r="B11" s="478"/>
      <c r="C11" s="478"/>
      <c r="D11" s="478"/>
      <c r="E11" s="478"/>
      <c r="F11" s="478"/>
      <c r="G11" s="16">
        <v>5</v>
      </c>
      <c r="H11" s="21">
        <v>0</v>
      </c>
      <c r="I11" s="21">
        <v>0</v>
      </c>
      <c r="J11" s="21">
        <v>0</v>
      </c>
      <c r="K11" s="21">
        <v>0</v>
      </c>
      <c r="L11" s="21">
        <v>0</v>
      </c>
      <c r="M11" s="21">
        <v>0</v>
      </c>
      <c r="N11" s="21">
        <v>0</v>
      </c>
      <c r="O11" s="21">
        <v>0</v>
      </c>
      <c r="P11" s="21">
        <v>0</v>
      </c>
      <c r="Q11" s="21">
        <v>0</v>
      </c>
      <c r="R11" s="21">
        <v>0</v>
      </c>
      <c r="S11" s="17">
        <v>0</v>
      </c>
      <c r="T11" s="17">
        <v>0</v>
      </c>
      <c r="U11" s="21">
        <v>0</v>
      </c>
      <c r="V11" s="17">
        <v>19601100</v>
      </c>
      <c r="W11" s="18">
        <f t="shared" si="0"/>
        <v>19601100</v>
      </c>
      <c r="X11" s="17">
        <v>1686468</v>
      </c>
      <c r="Y11" s="18">
        <f t="shared" ref="Y11:Y29" si="3">W11+X11</f>
        <v>21287568</v>
      </c>
    </row>
    <row r="12" spans="1:25" x14ac:dyDescent="0.25">
      <c r="A12" s="478" t="s">
        <v>266</v>
      </c>
      <c r="B12" s="478"/>
      <c r="C12" s="478"/>
      <c r="D12" s="478"/>
      <c r="E12" s="478"/>
      <c r="F12" s="478"/>
      <c r="G12" s="16">
        <v>6</v>
      </c>
      <c r="H12" s="21">
        <v>0</v>
      </c>
      <c r="I12" s="21">
        <v>0</v>
      </c>
      <c r="J12" s="21">
        <v>0</v>
      </c>
      <c r="K12" s="21">
        <v>0</v>
      </c>
      <c r="L12" s="21">
        <v>0</v>
      </c>
      <c r="M12" s="21">
        <v>0</v>
      </c>
      <c r="N12" s="17">
        <v>0</v>
      </c>
      <c r="O12" s="21">
        <v>0</v>
      </c>
      <c r="P12" s="21">
        <v>0</v>
      </c>
      <c r="Q12" s="21">
        <v>0</v>
      </c>
      <c r="R12" s="21">
        <v>0</v>
      </c>
      <c r="S12" s="17">
        <v>0</v>
      </c>
      <c r="T12" s="17">
        <v>0</v>
      </c>
      <c r="U12" s="21">
        <v>0</v>
      </c>
      <c r="V12" s="21">
        <v>0</v>
      </c>
      <c r="W12" s="18">
        <f t="shared" si="0"/>
        <v>0</v>
      </c>
      <c r="X12" s="17">
        <v>0</v>
      </c>
      <c r="Y12" s="18">
        <f t="shared" si="3"/>
        <v>0</v>
      </c>
    </row>
    <row r="13" spans="1:25" ht="26.25" customHeight="1" x14ac:dyDescent="0.25">
      <c r="A13" s="478" t="s">
        <v>267</v>
      </c>
      <c r="B13" s="478"/>
      <c r="C13" s="478"/>
      <c r="D13" s="478"/>
      <c r="E13" s="478"/>
      <c r="F13" s="478"/>
      <c r="G13" s="16">
        <v>7</v>
      </c>
      <c r="H13" s="21">
        <v>0</v>
      </c>
      <c r="I13" s="21">
        <v>0</v>
      </c>
      <c r="J13" s="21">
        <v>0</v>
      </c>
      <c r="K13" s="21">
        <v>0</v>
      </c>
      <c r="L13" s="21">
        <v>0</v>
      </c>
      <c r="M13" s="21">
        <v>0</v>
      </c>
      <c r="N13" s="21">
        <v>0</v>
      </c>
      <c r="O13" s="17">
        <v>0</v>
      </c>
      <c r="P13" s="21">
        <v>0</v>
      </c>
      <c r="Q13" s="21">
        <v>0</v>
      </c>
      <c r="R13" s="21">
        <v>0</v>
      </c>
      <c r="S13" s="17">
        <v>0</v>
      </c>
      <c r="T13" s="17">
        <v>0</v>
      </c>
      <c r="U13" s="17">
        <v>0</v>
      </c>
      <c r="V13" s="17">
        <v>0</v>
      </c>
      <c r="W13" s="18">
        <f t="shared" si="0"/>
        <v>0</v>
      </c>
      <c r="X13" s="17">
        <v>0</v>
      </c>
      <c r="Y13" s="18">
        <f t="shared" si="3"/>
        <v>0</v>
      </c>
    </row>
    <row r="14" spans="1:25" ht="40.5" customHeight="1" x14ac:dyDescent="0.25">
      <c r="A14" s="478" t="s">
        <v>268</v>
      </c>
      <c r="B14" s="478"/>
      <c r="C14" s="478"/>
      <c r="D14" s="478"/>
      <c r="E14" s="478"/>
      <c r="F14" s="478"/>
      <c r="G14" s="16">
        <v>8</v>
      </c>
      <c r="H14" s="21">
        <v>0</v>
      </c>
      <c r="I14" s="21">
        <v>0</v>
      </c>
      <c r="J14" s="21">
        <v>0</v>
      </c>
      <c r="K14" s="21">
        <v>0</v>
      </c>
      <c r="L14" s="21">
        <v>0</v>
      </c>
      <c r="M14" s="21">
        <v>0</v>
      </c>
      <c r="N14" s="21">
        <v>0</v>
      </c>
      <c r="O14" s="21">
        <v>0</v>
      </c>
      <c r="P14" s="17">
        <v>-3561</v>
      </c>
      <c r="Q14" s="21">
        <v>0</v>
      </c>
      <c r="R14" s="21">
        <v>0</v>
      </c>
      <c r="S14" s="17">
        <v>0</v>
      </c>
      <c r="T14" s="17">
        <v>0</v>
      </c>
      <c r="U14" s="17">
        <v>0</v>
      </c>
      <c r="V14" s="17">
        <v>0</v>
      </c>
      <c r="W14" s="18">
        <f t="shared" si="0"/>
        <v>-3561</v>
      </c>
      <c r="X14" s="17">
        <v>0</v>
      </c>
      <c r="Y14" s="18">
        <f t="shared" si="3"/>
        <v>-3561</v>
      </c>
    </row>
    <row r="15" spans="1:25" x14ac:dyDescent="0.25">
      <c r="A15" s="478" t="s">
        <v>269</v>
      </c>
      <c r="B15" s="478"/>
      <c r="C15" s="478"/>
      <c r="D15" s="478"/>
      <c r="E15" s="478"/>
      <c r="F15" s="478"/>
      <c r="G15" s="16">
        <v>9</v>
      </c>
      <c r="H15" s="21">
        <v>0</v>
      </c>
      <c r="I15" s="21">
        <v>0</v>
      </c>
      <c r="J15" s="21">
        <v>0</v>
      </c>
      <c r="K15" s="21">
        <v>0</v>
      </c>
      <c r="L15" s="21">
        <v>0</v>
      </c>
      <c r="M15" s="21">
        <v>0</v>
      </c>
      <c r="N15" s="21">
        <v>0</v>
      </c>
      <c r="O15" s="21">
        <v>0</v>
      </c>
      <c r="P15" s="21">
        <v>0</v>
      </c>
      <c r="Q15" s="17">
        <v>0</v>
      </c>
      <c r="R15" s="21">
        <v>0</v>
      </c>
      <c r="S15" s="17">
        <v>0</v>
      </c>
      <c r="T15" s="17">
        <v>0</v>
      </c>
      <c r="U15" s="17">
        <v>0</v>
      </c>
      <c r="V15" s="17">
        <v>0</v>
      </c>
      <c r="W15" s="18">
        <f t="shared" si="0"/>
        <v>0</v>
      </c>
      <c r="X15" s="17">
        <v>0</v>
      </c>
      <c r="Y15" s="18">
        <f t="shared" si="3"/>
        <v>0</v>
      </c>
    </row>
    <row r="16" spans="1:25" ht="28.5" customHeight="1" x14ac:dyDescent="0.25">
      <c r="A16" s="478" t="s">
        <v>270</v>
      </c>
      <c r="B16" s="478"/>
      <c r="C16" s="478"/>
      <c r="D16" s="478"/>
      <c r="E16" s="478"/>
      <c r="F16" s="478"/>
      <c r="G16" s="16">
        <v>10</v>
      </c>
      <c r="H16" s="21">
        <v>0</v>
      </c>
      <c r="I16" s="21">
        <v>0</v>
      </c>
      <c r="J16" s="21">
        <v>0</v>
      </c>
      <c r="K16" s="21">
        <v>0</v>
      </c>
      <c r="L16" s="21">
        <v>0</v>
      </c>
      <c r="M16" s="21">
        <v>0</v>
      </c>
      <c r="N16" s="21">
        <v>0</v>
      </c>
      <c r="O16" s="21">
        <v>0</v>
      </c>
      <c r="P16" s="21">
        <v>0</v>
      </c>
      <c r="Q16" s="21">
        <v>0</v>
      </c>
      <c r="R16" s="17">
        <v>0</v>
      </c>
      <c r="S16" s="17">
        <v>0</v>
      </c>
      <c r="T16" s="17">
        <v>0</v>
      </c>
      <c r="U16" s="17">
        <v>0</v>
      </c>
      <c r="V16" s="17">
        <v>0</v>
      </c>
      <c r="W16" s="18">
        <f t="shared" si="0"/>
        <v>0</v>
      </c>
      <c r="X16" s="17">
        <v>0</v>
      </c>
      <c r="Y16" s="18">
        <f t="shared" si="3"/>
        <v>0</v>
      </c>
    </row>
    <row r="17" spans="1:25" ht="23.25" customHeight="1" x14ac:dyDescent="0.25">
      <c r="A17" s="478" t="s">
        <v>271</v>
      </c>
      <c r="B17" s="478"/>
      <c r="C17" s="478"/>
      <c r="D17" s="478"/>
      <c r="E17" s="478"/>
      <c r="F17" s="478"/>
      <c r="G17" s="16">
        <v>11</v>
      </c>
      <c r="H17" s="21">
        <v>0</v>
      </c>
      <c r="I17" s="21">
        <v>0</v>
      </c>
      <c r="J17" s="21">
        <v>0</v>
      </c>
      <c r="K17" s="21">
        <v>0</v>
      </c>
      <c r="L17" s="21">
        <v>0</v>
      </c>
      <c r="M17" s="21">
        <v>0</v>
      </c>
      <c r="N17" s="17">
        <v>0</v>
      </c>
      <c r="O17" s="17">
        <v>0</v>
      </c>
      <c r="P17" s="17"/>
      <c r="Q17" s="17">
        <v>0</v>
      </c>
      <c r="R17" s="17">
        <v>0</v>
      </c>
      <c r="S17" s="17">
        <v>0</v>
      </c>
      <c r="T17" s="17">
        <v>0</v>
      </c>
      <c r="U17" s="17">
        <v>0</v>
      </c>
      <c r="V17" s="17">
        <v>0</v>
      </c>
      <c r="W17" s="18">
        <f t="shared" si="0"/>
        <v>0</v>
      </c>
      <c r="X17" s="17">
        <v>0</v>
      </c>
      <c r="Y17" s="18">
        <f t="shared" si="3"/>
        <v>0</v>
      </c>
    </row>
    <row r="18" spans="1:25" x14ac:dyDescent="0.25">
      <c r="A18" s="478" t="s">
        <v>272</v>
      </c>
      <c r="B18" s="478"/>
      <c r="C18" s="478"/>
      <c r="D18" s="478"/>
      <c r="E18" s="478"/>
      <c r="F18" s="478"/>
      <c r="G18" s="16">
        <v>12</v>
      </c>
      <c r="H18" s="21">
        <v>0</v>
      </c>
      <c r="I18" s="21">
        <v>0</v>
      </c>
      <c r="J18" s="21">
        <v>0</v>
      </c>
      <c r="K18" s="21">
        <v>0</v>
      </c>
      <c r="L18" s="21">
        <v>0</v>
      </c>
      <c r="M18" s="21">
        <v>0</v>
      </c>
      <c r="N18" s="17">
        <v>0</v>
      </c>
      <c r="O18" s="17">
        <v>0</v>
      </c>
      <c r="P18" s="17">
        <v>0</v>
      </c>
      <c r="Q18" s="17">
        <v>0</v>
      </c>
      <c r="R18" s="17">
        <v>0</v>
      </c>
      <c r="S18" s="17">
        <v>0</v>
      </c>
      <c r="T18" s="17">
        <v>0</v>
      </c>
      <c r="U18" s="17"/>
      <c r="V18" s="17"/>
      <c r="W18" s="18">
        <f t="shared" si="0"/>
        <v>0</v>
      </c>
      <c r="X18" s="17">
        <v>0</v>
      </c>
      <c r="Y18" s="18">
        <f t="shared" si="3"/>
        <v>0</v>
      </c>
    </row>
    <row r="19" spans="1:25" x14ac:dyDescent="0.25">
      <c r="A19" s="478" t="s">
        <v>273</v>
      </c>
      <c r="B19" s="478"/>
      <c r="C19" s="478"/>
      <c r="D19" s="478"/>
      <c r="E19" s="478"/>
      <c r="F19" s="478"/>
      <c r="G19" s="16">
        <v>13</v>
      </c>
      <c r="H19" s="17">
        <v>0</v>
      </c>
      <c r="I19" s="17">
        <v>0</v>
      </c>
      <c r="J19" s="17">
        <v>0</v>
      </c>
      <c r="K19" s="17">
        <v>0</v>
      </c>
      <c r="L19" s="17">
        <v>0</v>
      </c>
      <c r="M19" s="17">
        <v>0</v>
      </c>
      <c r="N19" s="17">
        <v>0</v>
      </c>
      <c r="O19" s="17">
        <v>0</v>
      </c>
      <c r="P19" s="17"/>
      <c r="Q19" s="17">
        <v>0</v>
      </c>
      <c r="R19" s="17">
        <v>0</v>
      </c>
      <c r="S19" s="17">
        <v>0</v>
      </c>
      <c r="T19" s="17">
        <v>0</v>
      </c>
      <c r="U19" s="17">
        <v>0</v>
      </c>
      <c r="V19" s="17">
        <v>0</v>
      </c>
      <c r="W19" s="18">
        <f t="shared" si="0"/>
        <v>0</v>
      </c>
      <c r="X19" s="17">
        <v>0</v>
      </c>
      <c r="Y19" s="18">
        <f t="shared" si="3"/>
        <v>0</v>
      </c>
    </row>
    <row r="20" spans="1:25" x14ac:dyDescent="0.25">
      <c r="A20" s="478" t="s">
        <v>274</v>
      </c>
      <c r="B20" s="478"/>
      <c r="C20" s="478"/>
      <c r="D20" s="478"/>
      <c r="E20" s="478"/>
      <c r="F20" s="478"/>
      <c r="G20" s="16">
        <v>14</v>
      </c>
      <c r="H20" s="21">
        <v>0</v>
      </c>
      <c r="I20" s="21">
        <v>0</v>
      </c>
      <c r="J20" s="21">
        <v>0</v>
      </c>
      <c r="K20" s="21">
        <v>0</v>
      </c>
      <c r="L20" s="21">
        <v>0</v>
      </c>
      <c r="M20" s="21">
        <v>0</v>
      </c>
      <c r="N20" s="17">
        <v>0</v>
      </c>
      <c r="O20" s="17">
        <v>0</v>
      </c>
      <c r="P20" s="17">
        <v>641</v>
      </c>
      <c r="Q20" s="17">
        <v>0</v>
      </c>
      <c r="R20" s="17">
        <v>0</v>
      </c>
      <c r="S20" s="17">
        <v>0</v>
      </c>
      <c r="T20" s="17">
        <v>0</v>
      </c>
      <c r="U20" s="17"/>
      <c r="V20" s="17"/>
      <c r="W20" s="18">
        <f t="shared" si="0"/>
        <v>641</v>
      </c>
      <c r="X20" s="17">
        <v>0</v>
      </c>
      <c r="Y20" s="18">
        <f t="shared" si="3"/>
        <v>641</v>
      </c>
    </row>
    <row r="21" spans="1:25" ht="30.75" customHeight="1" x14ac:dyDescent="0.25">
      <c r="A21" s="478" t="s">
        <v>275</v>
      </c>
      <c r="B21" s="478"/>
      <c r="C21" s="478"/>
      <c r="D21" s="478"/>
      <c r="E21" s="478"/>
      <c r="F21" s="478"/>
      <c r="G21" s="16">
        <v>15</v>
      </c>
      <c r="H21" s="17">
        <v>0</v>
      </c>
      <c r="I21" s="17">
        <v>0</v>
      </c>
      <c r="J21" s="17">
        <v>0</v>
      </c>
      <c r="K21" s="17">
        <v>0</v>
      </c>
      <c r="L21" s="17">
        <v>0</v>
      </c>
      <c r="M21" s="17">
        <v>0</v>
      </c>
      <c r="N21" s="17">
        <v>0</v>
      </c>
      <c r="O21" s="17">
        <v>0</v>
      </c>
      <c r="P21" s="17">
        <v>0</v>
      </c>
      <c r="Q21" s="17">
        <v>0</v>
      </c>
      <c r="R21" s="17">
        <v>0</v>
      </c>
      <c r="S21" s="17">
        <v>0</v>
      </c>
      <c r="T21" s="17">
        <v>0</v>
      </c>
      <c r="U21" s="17">
        <v>0</v>
      </c>
      <c r="V21" s="17">
        <v>0</v>
      </c>
      <c r="W21" s="18">
        <f t="shared" si="0"/>
        <v>0</v>
      </c>
      <c r="X21" s="17">
        <v>0</v>
      </c>
      <c r="Y21" s="18">
        <f t="shared" si="3"/>
        <v>0</v>
      </c>
    </row>
    <row r="22" spans="1:25" ht="28.5" customHeight="1" x14ac:dyDescent="0.25">
      <c r="A22" s="478" t="s">
        <v>276</v>
      </c>
      <c r="B22" s="478"/>
      <c r="C22" s="478"/>
      <c r="D22" s="478"/>
      <c r="E22" s="478"/>
      <c r="F22" s="478"/>
      <c r="G22" s="16">
        <v>16</v>
      </c>
      <c r="H22" s="17">
        <v>0</v>
      </c>
      <c r="I22" s="17">
        <v>0</v>
      </c>
      <c r="J22" s="17">
        <v>0</v>
      </c>
      <c r="K22" s="17">
        <v>0</v>
      </c>
      <c r="L22" s="17">
        <v>0</v>
      </c>
      <c r="M22" s="17">
        <v>0</v>
      </c>
      <c r="N22" s="17">
        <v>0</v>
      </c>
      <c r="O22" s="17">
        <v>0</v>
      </c>
      <c r="P22" s="17">
        <v>0</v>
      </c>
      <c r="Q22" s="17">
        <v>0</v>
      </c>
      <c r="R22" s="17">
        <v>0</v>
      </c>
      <c r="S22" s="17">
        <v>0</v>
      </c>
      <c r="T22" s="17">
        <v>0</v>
      </c>
      <c r="U22" s="17">
        <v>0</v>
      </c>
      <c r="V22" s="17">
        <v>0</v>
      </c>
      <c r="W22" s="18">
        <f t="shared" si="0"/>
        <v>0</v>
      </c>
      <c r="X22" s="17">
        <v>0</v>
      </c>
      <c r="Y22" s="18">
        <f t="shared" si="3"/>
        <v>0</v>
      </c>
    </row>
    <row r="23" spans="1:25" ht="26.25" customHeight="1" x14ac:dyDescent="0.25">
      <c r="A23" s="478" t="s">
        <v>277</v>
      </c>
      <c r="B23" s="478"/>
      <c r="C23" s="478"/>
      <c r="D23" s="478"/>
      <c r="E23" s="478"/>
      <c r="F23" s="478"/>
      <c r="G23" s="16">
        <v>17</v>
      </c>
      <c r="H23" s="17">
        <v>0</v>
      </c>
      <c r="I23" s="17">
        <v>0</v>
      </c>
      <c r="J23" s="17">
        <v>0</v>
      </c>
      <c r="K23" s="17">
        <v>0</v>
      </c>
      <c r="L23" s="17">
        <v>0</v>
      </c>
      <c r="M23" s="17">
        <v>0</v>
      </c>
      <c r="N23" s="17">
        <v>0</v>
      </c>
      <c r="O23" s="17">
        <v>0</v>
      </c>
      <c r="P23" s="17">
        <v>0</v>
      </c>
      <c r="Q23" s="17">
        <v>0</v>
      </c>
      <c r="R23" s="17">
        <v>0</v>
      </c>
      <c r="S23" s="17">
        <v>0</v>
      </c>
      <c r="T23" s="17">
        <v>0</v>
      </c>
      <c r="U23" s="17">
        <v>0</v>
      </c>
      <c r="V23" s="17">
        <v>0</v>
      </c>
      <c r="W23" s="18">
        <f t="shared" si="0"/>
        <v>0</v>
      </c>
      <c r="X23" s="17">
        <v>0</v>
      </c>
      <c r="Y23" s="18">
        <f t="shared" si="3"/>
        <v>0</v>
      </c>
    </row>
    <row r="24" spans="1:25" x14ac:dyDescent="0.25">
      <c r="A24" s="478" t="s">
        <v>278</v>
      </c>
      <c r="B24" s="478"/>
      <c r="C24" s="478"/>
      <c r="D24" s="478"/>
      <c r="E24" s="478"/>
      <c r="F24" s="478"/>
      <c r="G24" s="16">
        <v>18</v>
      </c>
      <c r="H24" s="17">
        <v>0</v>
      </c>
      <c r="I24" s="17">
        <v>0</v>
      </c>
      <c r="J24" s="17">
        <v>0</v>
      </c>
      <c r="K24" s="17">
        <v>0</v>
      </c>
      <c r="L24" s="17">
        <v>0</v>
      </c>
      <c r="M24" s="17">
        <v>0</v>
      </c>
      <c r="N24" s="17">
        <v>0</v>
      </c>
      <c r="O24" s="17">
        <v>0</v>
      </c>
      <c r="P24" s="17">
        <v>0</v>
      </c>
      <c r="Q24" s="17">
        <v>0</v>
      </c>
      <c r="R24" s="17">
        <v>0</v>
      </c>
      <c r="S24" s="17">
        <v>0</v>
      </c>
      <c r="T24" s="17">
        <v>0</v>
      </c>
      <c r="U24" s="17">
        <v>0</v>
      </c>
      <c r="V24" s="17">
        <v>0</v>
      </c>
      <c r="W24" s="18">
        <f t="shared" si="0"/>
        <v>0</v>
      </c>
      <c r="X24" s="17">
        <v>0</v>
      </c>
      <c r="Y24" s="18">
        <f t="shared" si="3"/>
        <v>0</v>
      </c>
    </row>
    <row r="25" spans="1:25" x14ac:dyDescent="0.25">
      <c r="A25" s="478" t="s">
        <v>279</v>
      </c>
      <c r="B25" s="478"/>
      <c r="C25" s="478"/>
      <c r="D25" s="478"/>
      <c r="E25" s="478"/>
      <c r="F25" s="478"/>
      <c r="G25" s="16">
        <v>19</v>
      </c>
      <c r="H25" s="17">
        <v>0</v>
      </c>
      <c r="I25" s="17">
        <v>0</v>
      </c>
      <c r="J25" s="17">
        <v>0</v>
      </c>
      <c r="K25" s="17">
        <v>0</v>
      </c>
      <c r="L25" s="17">
        <v>0</v>
      </c>
      <c r="M25" s="17">
        <v>0</v>
      </c>
      <c r="N25" s="17">
        <v>0</v>
      </c>
      <c r="O25" s="17">
        <v>0</v>
      </c>
      <c r="P25" s="17">
        <v>0</v>
      </c>
      <c r="Q25" s="17">
        <v>0</v>
      </c>
      <c r="R25" s="17">
        <v>0</v>
      </c>
      <c r="S25" s="17">
        <v>0</v>
      </c>
      <c r="T25" s="17">
        <v>0</v>
      </c>
      <c r="U25" s="17">
        <v>0</v>
      </c>
      <c r="V25" s="17">
        <v>0</v>
      </c>
      <c r="W25" s="18">
        <f t="shared" si="0"/>
        <v>0</v>
      </c>
      <c r="X25" s="17">
        <v>0</v>
      </c>
      <c r="Y25" s="18">
        <f t="shared" si="3"/>
        <v>0</v>
      </c>
    </row>
    <row r="26" spans="1:25" x14ac:dyDescent="0.25">
      <c r="A26" s="478" t="s">
        <v>280</v>
      </c>
      <c r="B26" s="478"/>
      <c r="C26" s="478"/>
      <c r="D26" s="478"/>
      <c r="E26" s="478"/>
      <c r="F26" s="478"/>
      <c r="G26" s="16">
        <v>20</v>
      </c>
      <c r="H26" s="17">
        <v>0</v>
      </c>
      <c r="I26" s="17">
        <v>0</v>
      </c>
      <c r="J26" s="17">
        <v>0</v>
      </c>
      <c r="K26" s="17">
        <v>0</v>
      </c>
      <c r="L26" s="17">
        <v>0</v>
      </c>
      <c r="M26" s="17">
        <v>0</v>
      </c>
      <c r="N26" s="17">
        <v>0</v>
      </c>
      <c r="O26" s="17">
        <v>0</v>
      </c>
      <c r="P26" s="17">
        <v>0</v>
      </c>
      <c r="Q26" s="17">
        <v>0</v>
      </c>
      <c r="R26" s="17">
        <v>0</v>
      </c>
      <c r="S26" s="17">
        <v>0</v>
      </c>
      <c r="T26" s="17">
        <v>0</v>
      </c>
      <c r="U26" s="17">
        <v>-19412766</v>
      </c>
      <c r="V26" s="17">
        <v>0</v>
      </c>
      <c r="W26" s="18">
        <f t="shared" si="0"/>
        <v>-19412766</v>
      </c>
      <c r="X26" s="17">
        <v>-5676089</v>
      </c>
      <c r="Y26" s="18">
        <f t="shared" si="3"/>
        <v>-25088855</v>
      </c>
    </row>
    <row r="27" spans="1:25" x14ac:dyDescent="0.25">
      <c r="A27" s="478" t="s">
        <v>281</v>
      </c>
      <c r="B27" s="478"/>
      <c r="C27" s="478"/>
      <c r="D27" s="478"/>
      <c r="E27" s="478"/>
      <c r="F27" s="478"/>
      <c r="G27" s="16">
        <v>21</v>
      </c>
      <c r="H27" s="17">
        <v>0</v>
      </c>
      <c r="I27" s="17">
        <v>0</v>
      </c>
      <c r="J27" s="17">
        <v>0</v>
      </c>
      <c r="K27" s="17">
        <v>0</v>
      </c>
      <c r="L27" s="17">
        <v>0</v>
      </c>
      <c r="M27" s="17">
        <v>0</v>
      </c>
      <c r="N27" s="17">
        <v>5114288</v>
      </c>
      <c r="O27" s="17">
        <v>0</v>
      </c>
      <c r="P27" s="17">
        <v>0</v>
      </c>
      <c r="Q27" s="17">
        <v>0</v>
      </c>
      <c r="R27" s="17">
        <v>0</v>
      </c>
      <c r="S27" s="17">
        <v>0</v>
      </c>
      <c r="T27" s="17">
        <v>0</v>
      </c>
      <c r="U27" s="17">
        <v>363583</v>
      </c>
      <c r="V27" s="17">
        <v>0</v>
      </c>
      <c r="W27" s="18">
        <f t="shared" si="0"/>
        <v>5477871</v>
      </c>
      <c r="X27" s="17">
        <v>0</v>
      </c>
      <c r="Y27" s="18">
        <f t="shared" si="3"/>
        <v>5477871</v>
      </c>
    </row>
    <row r="28" spans="1:25" x14ac:dyDescent="0.25">
      <c r="A28" s="478" t="s">
        <v>282</v>
      </c>
      <c r="B28" s="478"/>
      <c r="C28" s="478"/>
      <c r="D28" s="478"/>
      <c r="E28" s="478"/>
      <c r="F28" s="478"/>
      <c r="G28" s="16">
        <v>22</v>
      </c>
      <c r="H28" s="17">
        <v>0</v>
      </c>
      <c r="I28" s="17">
        <v>0</v>
      </c>
      <c r="J28" s="17">
        <v>0</v>
      </c>
      <c r="K28" s="17">
        <v>0</v>
      </c>
      <c r="L28" s="17">
        <v>0</v>
      </c>
      <c r="M28" s="17">
        <v>0</v>
      </c>
      <c r="N28" s="17">
        <v>-298556</v>
      </c>
      <c r="O28" s="17">
        <v>0</v>
      </c>
      <c r="P28" s="17">
        <v>0</v>
      </c>
      <c r="Q28" s="17">
        <v>0</v>
      </c>
      <c r="R28" s="17">
        <v>0</v>
      </c>
      <c r="S28" s="17">
        <v>0</v>
      </c>
      <c r="T28" s="17">
        <v>0</v>
      </c>
      <c r="U28" s="17">
        <v>14151447</v>
      </c>
      <c r="V28" s="17">
        <v>-13852891</v>
      </c>
      <c r="W28" s="18">
        <f t="shared" si="0"/>
        <v>0</v>
      </c>
      <c r="X28" s="17">
        <v>0</v>
      </c>
      <c r="Y28" s="18">
        <f t="shared" si="3"/>
        <v>0</v>
      </c>
    </row>
    <row r="29" spans="1:25" x14ac:dyDescent="0.25">
      <c r="A29" s="478" t="s">
        <v>283</v>
      </c>
      <c r="B29" s="478"/>
      <c r="C29" s="478"/>
      <c r="D29" s="478"/>
      <c r="E29" s="478"/>
      <c r="F29" s="478"/>
      <c r="G29" s="16">
        <v>23</v>
      </c>
      <c r="H29" s="17">
        <v>0</v>
      </c>
      <c r="I29" s="17">
        <v>0</v>
      </c>
      <c r="J29" s="17">
        <v>0</v>
      </c>
      <c r="K29" s="17">
        <v>0</v>
      </c>
      <c r="L29" s="17">
        <v>0</v>
      </c>
      <c r="M29" s="17">
        <v>0</v>
      </c>
      <c r="N29" s="17">
        <v>0</v>
      </c>
      <c r="O29" s="17">
        <v>0</v>
      </c>
      <c r="P29" s="17">
        <v>0</v>
      </c>
      <c r="Q29" s="17">
        <v>0</v>
      </c>
      <c r="R29" s="17">
        <v>0</v>
      </c>
      <c r="S29" s="17">
        <v>0</v>
      </c>
      <c r="T29" s="17">
        <v>0</v>
      </c>
      <c r="U29" s="17">
        <v>0</v>
      </c>
      <c r="V29" s="17">
        <v>0</v>
      </c>
      <c r="W29" s="18">
        <f t="shared" si="0"/>
        <v>0</v>
      </c>
      <c r="X29" s="17">
        <v>0</v>
      </c>
      <c r="Y29" s="18">
        <f t="shared" si="3"/>
        <v>0</v>
      </c>
    </row>
    <row r="30" spans="1:25" ht="27.75" customHeight="1" x14ac:dyDescent="0.25">
      <c r="A30" s="479" t="s">
        <v>284</v>
      </c>
      <c r="B30" s="479"/>
      <c r="C30" s="479"/>
      <c r="D30" s="479"/>
      <c r="E30" s="479"/>
      <c r="F30" s="479"/>
      <c r="G30" s="22">
        <v>24</v>
      </c>
      <c r="H30" s="23">
        <f>SUM(H10:H29)</f>
        <v>221915351</v>
      </c>
      <c r="I30" s="23">
        <f t="shared" ref="I30:Y30" si="4">SUM(I10:I29)</f>
        <v>693268</v>
      </c>
      <c r="J30" s="23">
        <f t="shared" si="4"/>
        <v>11095768</v>
      </c>
      <c r="K30" s="23">
        <f t="shared" si="4"/>
        <v>18158509</v>
      </c>
      <c r="L30" s="23">
        <f t="shared" si="4"/>
        <v>16513142</v>
      </c>
      <c r="M30" s="23">
        <f t="shared" si="4"/>
        <v>0</v>
      </c>
      <c r="N30" s="23">
        <f t="shared" si="4"/>
        <v>5114288</v>
      </c>
      <c r="O30" s="23">
        <f t="shared" si="4"/>
        <v>0</v>
      </c>
      <c r="P30" s="23">
        <f t="shared" si="4"/>
        <v>7845</v>
      </c>
      <c r="Q30" s="23">
        <f t="shared" si="4"/>
        <v>0</v>
      </c>
      <c r="R30" s="23">
        <f t="shared" si="4"/>
        <v>0</v>
      </c>
      <c r="S30" s="23">
        <f t="shared" si="4"/>
        <v>0</v>
      </c>
      <c r="T30" s="23">
        <f t="shared" si="4"/>
        <v>0</v>
      </c>
      <c r="U30" s="23">
        <f t="shared" si="4"/>
        <v>46604740</v>
      </c>
      <c r="V30" s="23">
        <f t="shared" si="4"/>
        <v>19601100</v>
      </c>
      <c r="W30" s="23">
        <f t="shared" si="4"/>
        <v>306677727</v>
      </c>
      <c r="X30" s="23">
        <f t="shared" si="4"/>
        <v>134448828</v>
      </c>
      <c r="Y30" s="23">
        <f t="shared" si="4"/>
        <v>441126555</v>
      </c>
    </row>
    <row r="31" spans="1:25" x14ac:dyDescent="0.25">
      <c r="A31" s="480" t="s">
        <v>285</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row>
    <row r="32" spans="1:25" ht="36.75" customHeight="1" x14ac:dyDescent="0.25">
      <c r="A32" s="482" t="s">
        <v>286</v>
      </c>
      <c r="B32" s="482"/>
      <c r="C32" s="482"/>
      <c r="D32" s="482"/>
      <c r="E32" s="482"/>
      <c r="F32" s="482"/>
      <c r="G32" s="19">
        <v>25</v>
      </c>
      <c r="H32" s="20">
        <f>SUM(H12:H20)</f>
        <v>0</v>
      </c>
      <c r="I32" s="20">
        <f t="shared" ref="I32:Y32" si="5">SUM(I12:I20)</f>
        <v>0</v>
      </c>
      <c r="J32" s="20">
        <f t="shared" si="5"/>
        <v>0</v>
      </c>
      <c r="K32" s="20">
        <f t="shared" si="5"/>
        <v>0</v>
      </c>
      <c r="L32" s="20">
        <f t="shared" si="5"/>
        <v>0</v>
      </c>
      <c r="M32" s="20">
        <f t="shared" si="5"/>
        <v>0</v>
      </c>
      <c r="N32" s="20">
        <f t="shared" si="5"/>
        <v>0</v>
      </c>
      <c r="O32" s="20">
        <f t="shared" si="5"/>
        <v>0</v>
      </c>
      <c r="P32" s="20">
        <f t="shared" si="5"/>
        <v>-2920</v>
      </c>
      <c r="Q32" s="20">
        <f t="shared" si="5"/>
        <v>0</v>
      </c>
      <c r="R32" s="20">
        <f t="shared" si="5"/>
        <v>0</v>
      </c>
      <c r="S32" s="20">
        <f t="shared" si="5"/>
        <v>0</v>
      </c>
      <c r="T32" s="20">
        <f t="shared" si="5"/>
        <v>0</v>
      </c>
      <c r="U32" s="20">
        <f t="shared" si="5"/>
        <v>0</v>
      </c>
      <c r="V32" s="20">
        <f t="shared" si="5"/>
        <v>0</v>
      </c>
      <c r="W32" s="20">
        <f t="shared" si="5"/>
        <v>-2920</v>
      </c>
      <c r="X32" s="20">
        <f t="shared" si="5"/>
        <v>0</v>
      </c>
      <c r="Y32" s="20">
        <f t="shared" si="5"/>
        <v>-2920</v>
      </c>
    </row>
    <row r="33" spans="1:25" ht="31.5" customHeight="1" x14ac:dyDescent="0.25">
      <c r="A33" s="482" t="s">
        <v>287</v>
      </c>
      <c r="B33" s="482"/>
      <c r="C33" s="482"/>
      <c r="D33" s="482"/>
      <c r="E33" s="482"/>
      <c r="F33" s="482"/>
      <c r="G33" s="19">
        <v>26</v>
      </c>
      <c r="H33" s="20">
        <f>H11+H32</f>
        <v>0</v>
      </c>
      <c r="I33" s="20">
        <f t="shared" ref="I33:Y33" si="6">I11+I32</f>
        <v>0</v>
      </c>
      <c r="J33" s="20">
        <f t="shared" si="6"/>
        <v>0</v>
      </c>
      <c r="K33" s="20">
        <f t="shared" si="6"/>
        <v>0</v>
      </c>
      <c r="L33" s="20">
        <f t="shared" si="6"/>
        <v>0</v>
      </c>
      <c r="M33" s="20">
        <f t="shared" si="6"/>
        <v>0</v>
      </c>
      <c r="N33" s="20">
        <f t="shared" si="6"/>
        <v>0</v>
      </c>
      <c r="O33" s="20">
        <f t="shared" si="6"/>
        <v>0</v>
      </c>
      <c r="P33" s="20">
        <f t="shared" si="6"/>
        <v>-2920</v>
      </c>
      <c r="Q33" s="20">
        <f t="shared" si="6"/>
        <v>0</v>
      </c>
      <c r="R33" s="20">
        <f t="shared" si="6"/>
        <v>0</v>
      </c>
      <c r="S33" s="20">
        <f t="shared" si="6"/>
        <v>0</v>
      </c>
      <c r="T33" s="20">
        <f t="shared" si="6"/>
        <v>0</v>
      </c>
      <c r="U33" s="20">
        <f t="shared" si="6"/>
        <v>0</v>
      </c>
      <c r="V33" s="20">
        <f t="shared" si="6"/>
        <v>19601100</v>
      </c>
      <c r="W33" s="20">
        <f t="shared" si="6"/>
        <v>19598180</v>
      </c>
      <c r="X33" s="20">
        <f t="shared" si="6"/>
        <v>1686468</v>
      </c>
      <c r="Y33" s="20">
        <f t="shared" si="6"/>
        <v>21284648</v>
      </c>
    </row>
    <row r="34" spans="1:25" ht="30.75" customHeight="1" x14ac:dyDescent="0.25">
      <c r="A34" s="477" t="s">
        <v>288</v>
      </c>
      <c r="B34" s="477"/>
      <c r="C34" s="477"/>
      <c r="D34" s="477"/>
      <c r="E34" s="477"/>
      <c r="F34" s="477"/>
      <c r="G34" s="22">
        <v>27</v>
      </c>
      <c r="H34" s="23">
        <f>SUM(H21:H29)</f>
        <v>0</v>
      </c>
      <c r="I34" s="23">
        <f t="shared" ref="I34:Y34" si="7">SUM(I21:I29)</f>
        <v>0</v>
      </c>
      <c r="J34" s="23">
        <f t="shared" si="7"/>
        <v>0</v>
      </c>
      <c r="K34" s="23">
        <f t="shared" si="7"/>
        <v>0</v>
      </c>
      <c r="L34" s="23">
        <f t="shared" si="7"/>
        <v>0</v>
      </c>
      <c r="M34" s="23">
        <f t="shared" si="7"/>
        <v>0</v>
      </c>
      <c r="N34" s="23">
        <f t="shared" si="7"/>
        <v>4815732</v>
      </c>
      <c r="O34" s="23">
        <f t="shared" si="7"/>
        <v>0</v>
      </c>
      <c r="P34" s="23">
        <f t="shared" si="7"/>
        <v>0</v>
      </c>
      <c r="Q34" s="23">
        <f t="shared" si="7"/>
        <v>0</v>
      </c>
      <c r="R34" s="23">
        <f t="shared" si="7"/>
        <v>0</v>
      </c>
      <c r="S34" s="23">
        <f t="shared" si="7"/>
        <v>0</v>
      </c>
      <c r="T34" s="23">
        <f t="shared" si="7"/>
        <v>0</v>
      </c>
      <c r="U34" s="23">
        <f t="shared" si="7"/>
        <v>-4897736</v>
      </c>
      <c r="V34" s="23">
        <f t="shared" si="7"/>
        <v>-13852891</v>
      </c>
      <c r="W34" s="23">
        <f t="shared" si="7"/>
        <v>-13934895</v>
      </c>
      <c r="X34" s="23">
        <f t="shared" si="7"/>
        <v>-5676089</v>
      </c>
      <c r="Y34" s="23">
        <f t="shared" si="7"/>
        <v>-19610984</v>
      </c>
    </row>
    <row r="35" spans="1:25" x14ac:dyDescent="0.25">
      <c r="A35" s="480" t="s">
        <v>289</v>
      </c>
      <c r="B35" s="484"/>
      <c r="C35" s="484"/>
      <c r="D35" s="484"/>
      <c r="E35" s="484"/>
      <c r="F35" s="484"/>
      <c r="G35" s="484"/>
      <c r="H35" s="484"/>
      <c r="I35" s="484"/>
      <c r="J35" s="484"/>
      <c r="K35" s="484"/>
      <c r="L35" s="484"/>
      <c r="M35" s="484"/>
      <c r="N35" s="484"/>
      <c r="O35" s="484"/>
      <c r="P35" s="484"/>
      <c r="Q35" s="484"/>
      <c r="R35" s="484"/>
      <c r="S35" s="484"/>
      <c r="T35" s="484"/>
      <c r="U35" s="484"/>
      <c r="V35" s="484"/>
      <c r="W35" s="484"/>
      <c r="X35" s="484"/>
      <c r="Y35" s="484"/>
    </row>
    <row r="36" spans="1:25" x14ac:dyDescent="0.25">
      <c r="A36" s="485" t="s">
        <v>290</v>
      </c>
      <c r="B36" s="485"/>
      <c r="C36" s="485"/>
      <c r="D36" s="485"/>
      <c r="E36" s="485"/>
      <c r="F36" s="485"/>
      <c r="G36" s="16">
        <v>28</v>
      </c>
      <c r="H36" s="17">
        <v>221915351</v>
      </c>
      <c r="I36" s="17">
        <v>693268</v>
      </c>
      <c r="J36" s="17">
        <v>11095768</v>
      </c>
      <c r="K36" s="17">
        <v>18158509</v>
      </c>
      <c r="L36" s="17">
        <v>16513142</v>
      </c>
      <c r="M36" s="17">
        <v>0</v>
      </c>
      <c r="N36" s="17">
        <v>5114288</v>
      </c>
      <c r="O36" s="17">
        <v>0</v>
      </c>
      <c r="P36" s="17">
        <v>7845</v>
      </c>
      <c r="Q36" s="17">
        <v>0</v>
      </c>
      <c r="R36" s="17">
        <v>0</v>
      </c>
      <c r="S36" s="17">
        <v>0</v>
      </c>
      <c r="T36" s="17">
        <v>0</v>
      </c>
      <c r="U36" s="17">
        <v>46604740</v>
      </c>
      <c r="V36" s="17">
        <v>19601100</v>
      </c>
      <c r="W36" s="18">
        <f>H36+I36+J36+K36-L36+M36+N36+O36+P36+Q36+R36+U36+V36+S36+T36</f>
        <v>306677727</v>
      </c>
      <c r="X36" s="17">
        <v>134448828</v>
      </c>
      <c r="Y36" s="18">
        <f t="shared" ref="Y36:Y38" si="8">W36+X36</f>
        <v>441126555</v>
      </c>
    </row>
    <row r="37" spans="1:25" x14ac:dyDescent="0.25">
      <c r="A37" s="478" t="s">
        <v>262</v>
      </c>
      <c r="B37" s="478"/>
      <c r="C37" s="478"/>
      <c r="D37" s="478"/>
      <c r="E37" s="478"/>
      <c r="F37" s="478"/>
      <c r="G37" s="16">
        <v>29</v>
      </c>
      <c r="H37" s="17">
        <v>0</v>
      </c>
      <c r="I37" s="17">
        <v>0</v>
      </c>
      <c r="J37" s="17">
        <v>0</v>
      </c>
      <c r="K37" s="17">
        <v>0</v>
      </c>
      <c r="L37" s="17">
        <v>0</v>
      </c>
      <c r="M37" s="17">
        <v>0</v>
      </c>
      <c r="N37" s="17">
        <v>0</v>
      </c>
      <c r="O37" s="17">
        <v>0</v>
      </c>
      <c r="P37" s="17">
        <v>0</v>
      </c>
      <c r="Q37" s="17">
        <v>0</v>
      </c>
      <c r="R37" s="17">
        <v>0</v>
      </c>
      <c r="S37" s="17">
        <v>0</v>
      </c>
      <c r="T37" s="17">
        <v>0</v>
      </c>
      <c r="U37" s="17">
        <v>0</v>
      </c>
      <c r="V37" s="17">
        <v>0</v>
      </c>
      <c r="W37" s="18">
        <f t="shared" ref="W37:W58" si="9">H37+I37+J37+K37-L37+M37+N37+O37+P37+Q37+R37+U37+V37+S37+T37</f>
        <v>0</v>
      </c>
      <c r="X37" s="17">
        <v>0</v>
      </c>
      <c r="Y37" s="18">
        <f t="shared" si="8"/>
        <v>0</v>
      </c>
    </row>
    <row r="38" spans="1:25" x14ac:dyDescent="0.25">
      <c r="A38" s="478" t="s">
        <v>263</v>
      </c>
      <c r="B38" s="478"/>
      <c r="C38" s="478"/>
      <c r="D38" s="478"/>
      <c r="E38" s="478"/>
      <c r="F38" s="478"/>
      <c r="G38" s="16">
        <v>30</v>
      </c>
      <c r="H38" s="17">
        <v>0</v>
      </c>
      <c r="I38" s="17">
        <v>0</v>
      </c>
      <c r="J38" s="17">
        <v>0</v>
      </c>
      <c r="K38" s="17">
        <v>0</v>
      </c>
      <c r="L38" s="17">
        <v>0</v>
      </c>
      <c r="M38" s="17">
        <v>0</v>
      </c>
      <c r="N38" s="17">
        <v>0</v>
      </c>
      <c r="O38" s="17">
        <v>0</v>
      </c>
      <c r="P38" s="17">
        <v>0</v>
      </c>
      <c r="Q38" s="17">
        <v>0</v>
      </c>
      <c r="R38" s="17">
        <v>0</v>
      </c>
      <c r="S38" s="17">
        <v>0</v>
      </c>
      <c r="T38" s="17">
        <v>0</v>
      </c>
      <c r="U38" s="17">
        <v>0</v>
      </c>
      <c r="V38" s="17">
        <v>0</v>
      </c>
      <c r="W38" s="18">
        <f t="shared" si="9"/>
        <v>0</v>
      </c>
      <c r="X38" s="17">
        <v>0</v>
      </c>
      <c r="Y38" s="18">
        <f t="shared" si="8"/>
        <v>0</v>
      </c>
    </row>
    <row r="39" spans="1:25" ht="25.5" customHeight="1" x14ac:dyDescent="0.25">
      <c r="A39" s="483" t="s">
        <v>291</v>
      </c>
      <c r="B39" s="483"/>
      <c r="C39" s="483"/>
      <c r="D39" s="483"/>
      <c r="E39" s="483"/>
      <c r="F39" s="483"/>
      <c r="G39" s="19">
        <v>31</v>
      </c>
      <c r="H39" s="20">
        <f>H36+H37+H38</f>
        <v>221915351</v>
      </c>
      <c r="I39" s="20">
        <f t="shared" ref="I39:Y39" si="10">I36+I37+I38</f>
        <v>693268</v>
      </c>
      <c r="J39" s="20">
        <f t="shared" si="10"/>
        <v>11095768</v>
      </c>
      <c r="K39" s="20">
        <f t="shared" si="10"/>
        <v>18158509</v>
      </c>
      <c r="L39" s="20">
        <f t="shared" si="10"/>
        <v>16513142</v>
      </c>
      <c r="M39" s="20">
        <f t="shared" si="10"/>
        <v>0</v>
      </c>
      <c r="N39" s="20">
        <f t="shared" si="10"/>
        <v>5114288</v>
      </c>
      <c r="O39" s="20">
        <f t="shared" si="10"/>
        <v>0</v>
      </c>
      <c r="P39" s="20">
        <f t="shared" si="10"/>
        <v>7845</v>
      </c>
      <c r="Q39" s="20">
        <f t="shared" si="10"/>
        <v>0</v>
      </c>
      <c r="R39" s="20">
        <f t="shared" si="10"/>
        <v>0</v>
      </c>
      <c r="S39" s="20">
        <f t="shared" si="10"/>
        <v>0</v>
      </c>
      <c r="T39" s="20">
        <f t="shared" si="10"/>
        <v>0</v>
      </c>
      <c r="U39" s="20">
        <f t="shared" si="10"/>
        <v>46604740</v>
      </c>
      <c r="V39" s="20">
        <f t="shared" si="10"/>
        <v>19601100</v>
      </c>
      <c r="W39" s="20">
        <f t="shared" si="10"/>
        <v>306677727</v>
      </c>
      <c r="X39" s="20">
        <f t="shared" si="10"/>
        <v>134448828</v>
      </c>
      <c r="Y39" s="20">
        <f t="shared" si="10"/>
        <v>441126555</v>
      </c>
    </row>
    <row r="40" spans="1:25" x14ac:dyDescent="0.25">
      <c r="A40" s="478" t="s">
        <v>265</v>
      </c>
      <c r="B40" s="478"/>
      <c r="C40" s="478"/>
      <c r="D40" s="478"/>
      <c r="E40" s="478"/>
      <c r="F40" s="478"/>
      <c r="G40" s="16">
        <v>32</v>
      </c>
      <c r="H40" s="21">
        <v>0</v>
      </c>
      <c r="I40" s="21">
        <v>0</v>
      </c>
      <c r="J40" s="21">
        <v>0</v>
      </c>
      <c r="K40" s="21">
        <v>0</v>
      </c>
      <c r="L40" s="21">
        <v>0</v>
      </c>
      <c r="M40" s="21">
        <v>0</v>
      </c>
      <c r="N40" s="21">
        <v>0</v>
      </c>
      <c r="O40" s="21">
        <v>0</v>
      </c>
      <c r="P40" s="21">
        <v>0</v>
      </c>
      <c r="Q40" s="21">
        <v>0</v>
      </c>
      <c r="R40" s="21">
        <v>0</v>
      </c>
      <c r="S40" s="17">
        <v>0</v>
      </c>
      <c r="T40" s="17">
        <v>0</v>
      </c>
      <c r="U40" s="21">
        <v>0</v>
      </c>
      <c r="V40" s="17">
        <v>27027615</v>
      </c>
      <c r="W40" s="18">
        <f t="shared" si="9"/>
        <v>27027615</v>
      </c>
      <c r="X40" s="17">
        <v>6639710.6740303384</v>
      </c>
      <c r="Y40" s="18">
        <f t="shared" ref="Y40:Y58" si="11">W40+X40</f>
        <v>33667325.674030341</v>
      </c>
    </row>
    <row r="41" spans="1:25" x14ac:dyDescent="0.25">
      <c r="A41" s="478" t="s">
        <v>266</v>
      </c>
      <c r="B41" s="478"/>
      <c r="C41" s="478"/>
      <c r="D41" s="478"/>
      <c r="E41" s="478"/>
      <c r="F41" s="478"/>
      <c r="G41" s="16">
        <v>33</v>
      </c>
      <c r="H41" s="21">
        <v>0</v>
      </c>
      <c r="I41" s="21">
        <v>0</v>
      </c>
      <c r="J41" s="21">
        <v>0</v>
      </c>
      <c r="K41" s="21">
        <v>0</v>
      </c>
      <c r="L41" s="21">
        <v>0</v>
      </c>
      <c r="M41" s="21">
        <v>0</v>
      </c>
      <c r="N41" s="17">
        <v>0</v>
      </c>
      <c r="O41" s="21">
        <v>0</v>
      </c>
      <c r="P41" s="21">
        <v>0</v>
      </c>
      <c r="Q41" s="21">
        <v>0</v>
      </c>
      <c r="R41" s="21">
        <v>0</v>
      </c>
      <c r="S41" s="17">
        <v>0</v>
      </c>
      <c r="T41" s="17">
        <v>0</v>
      </c>
      <c r="U41" s="21">
        <v>0</v>
      </c>
      <c r="V41" s="21">
        <v>0</v>
      </c>
      <c r="W41" s="18">
        <f t="shared" si="9"/>
        <v>0</v>
      </c>
      <c r="X41" s="17">
        <v>0</v>
      </c>
      <c r="Y41" s="18">
        <f t="shared" si="11"/>
        <v>0</v>
      </c>
    </row>
    <row r="42" spans="1:25" ht="27" customHeight="1" x14ac:dyDescent="0.25">
      <c r="A42" s="478" t="s">
        <v>292</v>
      </c>
      <c r="B42" s="478"/>
      <c r="C42" s="478"/>
      <c r="D42" s="478"/>
      <c r="E42" s="478"/>
      <c r="F42" s="478"/>
      <c r="G42" s="16">
        <v>34</v>
      </c>
      <c r="H42" s="21">
        <v>0</v>
      </c>
      <c r="I42" s="21">
        <v>0</v>
      </c>
      <c r="J42" s="21">
        <v>0</v>
      </c>
      <c r="K42" s="21">
        <v>0</v>
      </c>
      <c r="L42" s="21">
        <v>0</v>
      </c>
      <c r="M42" s="21">
        <v>0</v>
      </c>
      <c r="N42" s="21">
        <v>0</v>
      </c>
      <c r="O42" s="17">
        <v>0</v>
      </c>
      <c r="P42" s="21">
        <v>0</v>
      </c>
      <c r="Q42" s="21">
        <v>0</v>
      </c>
      <c r="R42" s="21">
        <v>0</v>
      </c>
      <c r="S42" s="17">
        <v>0</v>
      </c>
      <c r="T42" s="17">
        <v>0</v>
      </c>
      <c r="U42" s="17">
        <v>0</v>
      </c>
      <c r="V42" s="17">
        <v>0</v>
      </c>
      <c r="W42" s="18">
        <f t="shared" si="9"/>
        <v>0</v>
      </c>
      <c r="X42" s="17">
        <v>0</v>
      </c>
      <c r="Y42" s="18">
        <f t="shared" si="11"/>
        <v>0</v>
      </c>
    </row>
    <row r="43" spans="1:25" ht="37.5" customHeight="1" x14ac:dyDescent="0.25">
      <c r="A43" s="478" t="s">
        <v>268</v>
      </c>
      <c r="B43" s="478"/>
      <c r="C43" s="478"/>
      <c r="D43" s="478"/>
      <c r="E43" s="478"/>
      <c r="F43" s="478"/>
      <c r="G43" s="16">
        <v>35</v>
      </c>
      <c r="H43" s="21">
        <v>0</v>
      </c>
      <c r="I43" s="21">
        <v>0</v>
      </c>
      <c r="J43" s="21">
        <v>0</v>
      </c>
      <c r="K43" s="21">
        <v>0</v>
      </c>
      <c r="L43" s="21">
        <v>0</v>
      </c>
      <c r="M43" s="21">
        <v>0</v>
      </c>
      <c r="N43" s="21">
        <v>0</v>
      </c>
      <c r="O43" s="21">
        <v>0</v>
      </c>
      <c r="P43" s="17">
        <v>39065</v>
      </c>
      <c r="Q43" s="21">
        <v>0</v>
      </c>
      <c r="R43" s="21">
        <v>0</v>
      </c>
      <c r="S43" s="17">
        <v>0</v>
      </c>
      <c r="T43" s="17">
        <v>0</v>
      </c>
      <c r="U43" s="17">
        <v>0</v>
      </c>
      <c r="V43" s="17">
        <v>0</v>
      </c>
      <c r="W43" s="18">
        <f t="shared" si="9"/>
        <v>39065</v>
      </c>
      <c r="X43" s="17">
        <v>0</v>
      </c>
      <c r="Y43" s="18">
        <f t="shared" si="11"/>
        <v>39065</v>
      </c>
    </row>
    <row r="44" spans="1:25" ht="21" customHeight="1" x14ac:dyDescent="0.25">
      <c r="A44" s="478" t="s">
        <v>269</v>
      </c>
      <c r="B44" s="478"/>
      <c r="C44" s="478"/>
      <c r="D44" s="478"/>
      <c r="E44" s="478"/>
      <c r="F44" s="478"/>
      <c r="G44" s="16">
        <v>36</v>
      </c>
      <c r="H44" s="21">
        <v>0</v>
      </c>
      <c r="I44" s="21">
        <v>0</v>
      </c>
      <c r="J44" s="21">
        <v>0</v>
      </c>
      <c r="K44" s="21">
        <v>0</v>
      </c>
      <c r="L44" s="21">
        <v>0</v>
      </c>
      <c r="M44" s="21">
        <v>0</v>
      </c>
      <c r="N44" s="21">
        <v>0</v>
      </c>
      <c r="O44" s="21">
        <v>0</v>
      </c>
      <c r="P44" s="21">
        <v>0</v>
      </c>
      <c r="Q44" s="17">
        <v>0</v>
      </c>
      <c r="R44" s="21">
        <v>0</v>
      </c>
      <c r="S44" s="17">
        <v>0</v>
      </c>
      <c r="T44" s="17">
        <v>0</v>
      </c>
      <c r="U44" s="17">
        <v>0</v>
      </c>
      <c r="V44" s="17">
        <v>0</v>
      </c>
      <c r="W44" s="18">
        <f t="shared" si="9"/>
        <v>0</v>
      </c>
      <c r="X44" s="17">
        <v>0</v>
      </c>
      <c r="Y44" s="18">
        <f t="shared" si="11"/>
        <v>0</v>
      </c>
    </row>
    <row r="45" spans="1:25" ht="29.25" customHeight="1" x14ac:dyDescent="0.25">
      <c r="A45" s="478" t="s">
        <v>270</v>
      </c>
      <c r="B45" s="478"/>
      <c r="C45" s="478"/>
      <c r="D45" s="478"/>
      <c r="E45" s="478"/>
      <c r="F45" s="478"/>
      <c r="G45" s="16">
        <v>37</v>
      </c>
      <c r="H45" s="21">
        <v>0</v>
      </c>
      <c r="I45" s="21">
        <v>0</v>
      </c>
      <c r="J45" s="21">
        <v>0</v>
      </c>
      <c r="K45" s="21">
        <v>0</v>
      </c>
      <c r="L45" s="21">
        <v>0</v>
      </c>
      <c r="M45" s="21">
        <v>0</v>
      </c>
      <c r="N45" s="21">
        <v>0</v>
      </c>
      <c r="O45" s="21">
        <v>0</v>
      </c>
      <c r="P45" s="21">
        <v>0</v>
      </c>
      <c r="Q45" s="21">
        <v>0</v>
      </c>
      <c r="R45" s="17">
        <v>0</v>
      </c>
      <c r="S45" s="17">
        <v>0</v>
      </c>
      <c r="T45" s="17">
        <v>0</v>
      </c>
      <c r="U45" s="17">
        <v>0</v>
      </c>
      <c r="V45" s="17">
        <v>0</v>
      </c>
      <c r="W45" s="18">
        <f t="shared" si="9"/>
        <v>0</v>
      </c>
      <c r="X45" s="17">
        <v>0</v>
      </c>
      <c r="Y45" s="18">
        <f t="shared" si="11"/>
        <v>0</v>
      </c>
    </row>
    <row r="46" spans="1:25" ht="21" customHeight="1" x14ac:dyDescent="0.25">
      <c r="A46" s="478" t="s">
        <v>293</v>
      </c>
      <c r="B46" s="478"/>
      <c r="C46" s="478"/>
      <c r="D46" s="478"/>
      <c r="E46" s="478"/>
      <c r="F46" s="478"/>
      <c r="G46" s="16">
        <v>38</v>
      </c>
      <c r="H46" s="21">
        <v>0</v>
      </c>
      <c r="I46" s="21">
        <v>0</v>
      </c>
      <c r="J46" s="21">
        <v>0</v>
      </c>
      <c r="K46" s="21">
        <v>0</v>
      </c>
      <c r="L46" s="21">
        <v>0</v>
      </c>
      <c r="M46" s="21">
        <v>0</v>
      </c>
      <c r="N46" s="17">
        <v>0</v>
      </c>
      <c r="O46" s="17">
        <v>0</v>
      </c>
      <c r="P46" s="17">
        <v>0</v>
      </c>
      <c r="Q46" s="17">
        <v>0</v>
      </c>
      <c r="R46" s="17">
        <v>0</v>
      </c>
      <c r="S46" s="17">
        <v>0</v>
      </c>
      <c r="T46" s="17">
        <v>0</v>
      </c>
      <c r="U46" s="17">
        <v>0</v>
      </c>
      <c r="V46" s="17">
        <v>0</v>
      </c>
      <c r="W46" s="18">
        <f>H46+I46+J46+K46-L46+M46+N46+O46+P46+Q46+R46+U46+V46+S46+T46</f>
        <v>0</v>
      </c>
      <c r="X46" s="17">
        <v>0</v>
      </c>
      <c r="Y46" s="18">
        <f t="shared" si="11"/>
        <v>0</v>
      </c>
    </row>
    <row r="47" spans="1:25" x14ac:dyDescent="0.25">
      <c r="A47" s="478" t="s">
        <v>272</v>
      </c>
      <c r="B47" s="478"/>
      <c r="C47" s="478"/>
      <c r="D47" s="478"/>
      <c r="E47" s="478"/>
      <c r="F47" s="478"/>
      <c r="G47" s="16">
        <v>39</v>
      </c>
      <c r="H47" s="21">
        <v>0</v>
      </c>
      <c r="I47" s="21">
        <v>0</v>
      </c>
      <c r="J47" s="21">
        <v>0</v>
      </c>
      <c r="K47" s="21">
        <v>0</v>
      </c>
      <c r="L47" s="21">
        <v>0</v>
      </c>
      <c r="M47" s="21">
        <v>0</v>
      </c>
      <c r="N47" s="17">
        <v>0</v>
      </c>
      <c r="O47" s="17">
        <v>0</v>
      </c>
      <c r="P47" s="17">
        <v>0</v>
      </c>
      <c r="Q47" s="17">
        <v>0</v>
      </c>
      <c r="R47" s="17">
        <v>0</v>
      </c>
      <c r="S47" s="17">
        <v>0</v>
      </c>
      <c r="T47" s="17">
        <v>0</v>
      </c>
      <c r="U47" s="17">
        <v>0</v>
      </c>
      <c r="V47" s="17">
        <v>0</v>
      </c>
      <c r="W47" s="18">
        <f>H47+I47+J47+K47-L47+M47+N47+O47+P47+Q47+R47+U47+V47+S47+T47</f>
        <v>0</v>
      </c>
      <c r="X47" s="17">
        <v>0</v>
      </c>
      <c r="Y47" s="18">
        <f t="shared" si="11"/>
        <v>0</v>
      </c>
    </row>
    <row r="48" spans="1:25" x14ac:dyDescent="0.25">
      <c r="A48" s="478" t="s">
        <v>273</v>
      </c>
      <c r="B48" s="478"/>
      <c r="C48" s="478"/>
      <c r="D48" s="478"/>
      <c r="E48" s="478"/>
      <c r="F48" s="478"/>
      <c r="G48" s="16">
        <v>40</v>
      </c>
      <c r="H48" s="17">
        <v>0</v>
      </c>
      <c r="I48" s="17">
        <v>0</v>
      </c>
      <c r="J48" s="17">
        <v>0</v>
      </c>
      <c r="K48" s="17">
        <v>0</v>
      </c>
      <c r="L48" s="17">
        <v>0</v>
      </c>
      <c r="M48" s="17">
        <v>0</v>
      </c>
      <c r="N48" s="17">
        <v>0</v>
      </c>
      <c r="O48" s="17">
        <v>0</v>
      </c>
      <c r="P48" s="17">
        <v>0</v>
      </c>
      <c r="Q48" s="17">
        <v>0</v>
      </c>
      <c r="R48" s="17">
        <v>0</v>
      </c>
      <c r="S48" s="17">
        <v>0</v>
      </c>
      <c r="T48" s="17">
        <v>0</v>
      </c>
      <c r="U48" s="17">
        <v>0</v>
      </c>
      <c r="V48" s="17">
        <v>0</v>
      </c>
      <c r="W48" s="18">
        <f t="shared" si="9"/>
        <v>0</v>
      </c>
      <c r="X48" s="17">
        <v>0</v>
      </c>
      <c r="Y48" s="18">
        <f t="shared" si="11"/>
        <v>0</v>
      </c>
    </row>
    <row r="49" spans="1:25" x14ac:dyDescent="0.25">
      <c r="A49" s="478" t="s">
        <v>274</v>
      </c>
      <c r="B49" s="478"/>
      <c r="C49" s="478"/>
      <c r="D49" s="478"/>
      <c r="E49" s="478"/>
      <c r="F49" s="478"/>
      <c r="G49" s="16">
        <v>41</v>
      </c>
      <c r="H49" s="21">
        <v>0</v>
      </c>
      <c r="I49" s="21">
        <v>0</v>
      </c>
      <c r="J49" s="21">
        <v>0</v>
      </c>
      <c r="K49" s="21">
        <v>0</v>
      </c>
      <c r="L49" s="21">
        <v>0</v>
      </c>
      <c r="M49" s="21">
        <v>0</v>
      </c>
      <c r="N49" s="17">
        <v>0</v>
      </c>
      <c r="O49" s="17">
        <v>0</v>
      </c>
      <c r="P49" s="17">
        <v>-7032</v>
      </c>
      <c r="Q49" s="17">
        <v>0</v>
      </c>
      <c r="R49" s="17">
        <v>0</v>
      </c>
      <c r="S49" s="17">
        <v>0</v>
      </c>
      <c r="T49" s="17">
        <v>0</v>
      </c>
      <c r="U49" s="17">
        <v>0</v>
      </c>
      <c r="V49" s="17">
        <v>0</v>
      </c>
      <c r="W49" s="18">
        <f t="shared" si="9"/>
        <v>-7032</v>
      </c>
      <c r="X49" s="17">
        <v>0</v>
      </c>
      <c r="Y49" s="18">
        <f t="shared" si="11"/>
        <v>-7032</v>
      </c>
    </row>
    <row r="50" spans="1:25" ht="24" customHeight="1" x14ac:dyDescent="0.25">
      <c r="A50" s="478" t="s">
        <v>275</v>
      </c>
      <c r="B50" s="478"/>
      <c r="C50" s="478"/>
      <c r="D50" s="478"/>
      <c r="E50" s="478"/>
      <c r="F50" s="478"/>
      <c r="G50" s="16">
        <v>42</v>
      </c>
      <c r="H50" s="17">
        <v>-1</v>
      </c>
      <c r="I50" s="17">
        <v>1</v>
      </c>
      <c r="J50" s="17">
        <v>0</v>
      </c>
      <c r="K50" s="17">
        <v>0</v>
      </c>
      <c r="L50" s="17">
        <v>0</v>
      </c>
      <c r="M50" s="17">
        <v>0</v>
      </c>
      <c r="N50" s="17">
        <v>0</v>
      </c>
      <c r="O50" s="17">
        <v>0</v>
      </c>
      <c r="P50" s="17">
        <v>0</v>
      </c>
      <c r="Q50" s="17">
        <v>0</v>
      </c>
      <c r="R50" s="17">
        <v>0</v>
      </c>
      <c r="S50" s="17">
        <v>0</v>
      </c>
      <c r="T50" s="17">
        <v>0</v>
      </c>
      <c r="U50" s="17">
        <v>0</v>
      </c>
      <c r="V50" s="17">
        <v>0</v>
      </c>
      <c r="W50" s="18">
        <f t="shared" si="9"/>
        <v>0</v>
      </c>
      <c r="X50" s="17">
        <v>0</v>
      </c>
      <c r="Y50" s="18">
        <f t="shared" si="11"/>
        <v>0</v>
      </c>
    </row>
    <row r="51" spans="1:25" ht="26.25" customHeight="1" x14ac:dyDescent="0.25">
      <c r="A51" s="478" t="s">
        <v>276</v>
      </c>
      <c r="B51" s="478"/>
      <c r="C51" s="478"/>
      <c r="D51" s="478"/>
      <c r="E51" s="478"/>
      <c r="F51" s="478"/>
      <c r="G51" s="16">
        <v>43</v>
      </c>
      <c r="H51" s="17">
        <v>0</v>
      </c>
      <c r="I51" s="17">
        <v>0</v>
      </c>
      <c r="J51" s="17">
        <v>0</v>
      </c>
      <c r="K51" s="17">
        <v>0</v>
      </c>
      <c r="L51" s="17">
        <v>0</v>
      </c>
      <c r="M51" s="17">
        <v>0</v>
      </c>
      <c r="N51" s="17">
        <v>0</v>
      </c>
      <c r="O51" s="17">
        <v>0</v>
      </c>
      <c r="P51" s="17">
        <v>0</v>
      </c>
      <c r="Q51" s="17">
        <v>0</v>
      </c>
      <c r="R51" s="17">
        <v>0</v>
      </c>
      <c r="S51" s="17">
        <v>0</v>
      </c>
      <c r="T51" s="17">
        <v>0</v>
      </c>
      <c r="U51" s="17">
        <v>0</v>
      </c>
      <c r="V51" s="17">
        <v>0</v>
      </c>
      <c r="W51" s="18">
        <f t="shared" si="9"/>
        <v>0</v>
      </c>
      <c r="X51" s="17">
        <v>0</v>
      </c>
      <c r="Y51" s="18">
        <f t="shared" si="11"/>
        <v>0</v>
      </c>
    </row>
    <row r="52" spans="1:25" ht="22.5" customHeight="1" x14ac:dyDescent="0.25">
      <c r="A52" s="478" t="s">
        <v>277</v>
      </c>
      <c r="B52" s="478"/>
      <c r="C52" s="478"/>
      <c r="D52" s="478"/>
      <c r="E52" s="478"/>
      <c r="F52" s="478"/>
      <c r="G52" s="16">
        <v>44</v>
      </c>
      <c r="H52" s="17">
        <v>0</v>
      </c>
      <c r="I52" s="17">
        <v>0</v>
      </c>
      <c r="J52" s="17">
        <v>0</v>
      </c>
      <c r="K52" s="17">
        <v>0</v>
      </c>
      <c r="L52" s="17">
        <v>0</v>
      </c>
      <c r="M52" s="17">
        <v>0</v>
      </c>
      <c r="N52" s="17">
        <v>0</v>
      </c>
      <c r="O52" s="17">
        <v>0</v>
      </c>
      <c r="P52" s="17">
        <v>0</v>
      </c>
      <c r="Q52" s="17">
        <v>0</v>
      </c>
      <c r="R52" s="17">
        <v>0</v>
      </c>
      <c r="S52" s="17">
        <v>0</v>
      </c>
      <c r="T52" s="17">
        <v>0</v>
      </c>
      <c r="U52" s="17">
        <v>0</v>
      </c>
      <c r="V52" s="17">
        <v>0</v>
      </c>
      <c r="W52" s="18">
        <f t="shared" si="9"/>
        <v>0</v>
      </c>
      <c r="X52" s="17">
        <v>0</v>
      </c>
      <c r="Y52" s="18">
        <f t="shared" si="11"/>
        <v>0</v>
      </c>
    </row>
    <row r="53" spans="1:25" x14ac:dyDescent="0.25">
      <c r="A53" s="478" t="s">
        <v>278</v>
      </c>
      <c r="B53" s="478"/>
      <c r="C53" s="478"/>
      <c r="D53" s="478"/>
      <c r="E53" s="478"/>
      <c r="F53" s="478"/>
      <c r="G53" s="16">
        <v>45</v>
      </c>
      <c r="H53" s="17">
        <v>0</v>
      </c>
      <c r="I53" s="17">
        <v>0</v>
      </c>
      <c r="J53" s="17">
        <v>0</v>
      </c>
      <c r="K53" s="17">
        <v>0</v>
      </c>
      <c r="L53" s="17">
        <v>1772315</v>
      </c>
      <c r="M53" s="17">
        <v>0</v>
      </c>
      <c r="N53" s="17">
        <v>0</v>
      </c>
      <c r="O53" s="17">
        <v>0</v>
      </c>
      <c r="P53" s="17">
        <v>0</v>
      </c>
      <c r="Q53" s="17">
        <v>0</v>
      </c>
      <c r="R53" s="17">
        <v>0</v>
      </c>
      <c r="S53" s="17">
        <v>0</v>
      </c>
      <c r="T53" s="17">
        <v>0</v>
      </c>
      <c r="U53" s="17">
        <v>0</v>
      </c>
      <c r="V53" s="17">
        <v>0</v>
      </c>
      <c r="W53" s="18">
        <f t="shared" si="9"/>
        <v>-1772315</v>
      </c>
      <c r="X53" s="17">
        <v>0</v>
      </c>
      <c r="Y53" s="18">
        <f t="shared" si="11"/>
        <v>-1772315</v>
      </c>
    </row>
    <row r="54" spans="1:25" x14ac:dyDescent="0.25">
      <c r="A54" s="478" t="s">
        <v>279</v>
      </c>
      <c r="B54" s="478"/>
      <c r="C54" s="478"/>
      <c r="D54" s="478"/>
      <c r="E54" s="478"/>
      <c r="F54" s="478"/>
      <c r="G54" s="16">
        <v>46</v>
      </c>
      <c r="H54" s="17">
        <v>0</v>
      </c>
      <c r="I54" s="17">
        <v>0</v>
      </c>
      <c r="J54" s="17">
        <v>0</v>
      </c>
      <c r="K54" s="17">
        <v>0</v>
      </c>
      <c r="L54" s="17">
        <v>0</v>
      </c>
      <c r="M54" s="17">
        <v>0</v>
      </c>
      <c r="N54" s="17">
        <v>0</v>
      </c>
      <c r="O54" s="17">
        <v>0</v>
      </c>
      <c r="P54" s="17">
        <v>0</v>
      </c>
      <c r="Q54" s="17">
        <v>0</v>
      </c>
      <c r="R54" s="17">
        <v>0</v>
      </c>
      <c r="S54" s="17">
        <v>0</v>
      </c>
      <c r="T54" s="17">
        <v>0</v>
      </c>
      <c r="U54" s="17">
        <v>0</v>
      </c>
      <c r="V54" s="17">
        <v>0</v>
      </c>
      <c r="W54" s="18">
        <f t="shared" si="9"/>
        <v>0</v>
      </c>
      <c r="X54" s="17">
        <v>0</v>
      </c>
      <c r="Y54" s="18">
        <f t="shared" si="11"/>
        <v>0</v>
      </c>
    </row>
    <row r="55" spans="1:25" x14ac:dyDescent="0.25">
      <c r="A55" s="478" t="s">
        <v>294</v>
      </c>
      <c r="B55" s="478"/>
      <c r="C55" s="478"/>
      <c r="D55" s="478"/>
      <c r="E55" s="478"/>
      <c r="F55" s="478"/>
      <c r="G55" s="16">
        <v>47</v>
      </c>
      <c r="H55" s="17">
        <v>0</v>
      </c>
      <c r="I55" s="17">
        <v>0</v>
      </c>
      <c r="J55" s="17">
        <v>0</v>
      </c>
      <c r="K55" s="17">
        <v>0</v>
      </c>
      <c r="L55" s="17">
        <v>0</v>
      </c>
      <c r="M55" s="17">
        <v>0</v>
      </c>
      <c r="N55" s="17">
        <v>0</v>
      </c>
      <c r="O55" s="17">
        <v>0</v>
      </c>
      <c r="P55" s="17">
        <v>0</v>
      </c>
      <c r="Q55" s="17">
        <v>0</v>
      </c>
      <c r="R55" s="17">
        <v>0</v>
      </c>
      <c r="S55" s="17">
        <v>0</v>
      </c>
      <c r="T55" s="17">
        <v>0</v>
      </c>
      <c r="U55" s="17">
        <v>-24377581</v>
      </c>
      <c r="V55" s="17">
        <v>0</v>
      </c>
      <c r="W55" s="18">
        <f t="shared" si="9"/>
        <v>-24377581</v>
      </c>
      <c r="X55" s="17">
        <v>-2535127</v>
      </c>
      <c r="Y55" s="18">
        <f t="shared" si="11"/>
        <v>-26912708</v>
      </c>
    </row>
    <row r="56" spans="1:25" x14ac:dyDescent="0.25">
      <c r="A56" s="478" t="s">
        <v>281</v>
      </c>
      <c r="B56" s="478"/>
      <c r="C56" s="478"/>
      <c r="D56" s="478"/>
      <c r="E56" s="478"/>
      <c r="F56" s="478"/>
      <c r="G56" s="16">
        <v>48</v>
      </c>
      <c r="H56" s="17">
        <v>0</v>
      </c>
      <c r="I56" s="17">
        <v>525112</v>
      </c>
      <c r="J56" s="17">
        <v>0</v>
      </c>
      <c r="K56" s="17">
        <v>0</v>
      </c>
      <c r="L56" s="17">
        <v>-4541887</v>
      </c>
      <c r="M56" s="17">
        <v>0</v>
      </c>
      <c r="N56" s="17">
        <v>-4723648</v>
      </c>
      <c r="O56" s="17">
        <v>0</v>
      </c>
      <c r="P56" s="17">
        <v>0</v>
      </c>
      <c r="Q56" s="17">
        <v>0</v>
      </c>
      <c r="R56" s="17">
        <v>0</v>
      </c>
      <c r="S56" s="17">
        <v>0</v>
      </c>
      <c r="T56" s="17">
        <v>0</v>
      </c>
      <c r="U56" s="17">
        <v>336793</v>
      </c>
      <c r="V56" s="17">
        <v>0</v>
      </c>
      <c r="W56" s="18">
        <f t="shared" si="9"/>
        <v>680144</v>
      </c>
      <c r="X56" s="17">
        <v>0</v>
      </c>
      <c r="Y56" s="18">
        <f t="shared" si="11"/>
        <v>680144</v>
      </c>
    </row>
    <row r="57" spans="1:25" x14ac:dyDescent="0.25">
      <c r="A57" s="478" t="s">
        <v>295</v>
      </c>
      <c r="B57" s="478"/>
      <c r="C57" s="478"/>
      <c r="D57" s="478"/>
      <c r="E57" s="478"/>
      <c r="F57" s="478"/>
      <c r="G57" s="16">
        <v>49</v>
      </c>
      <c r="H57" s="17">
        <v>0</v>
      </c>
      <c r="I57" s="17">
        <v>0</v>
      </c>
      <c r="J57" s="17">
        <v>0</v>
      </c>
      <c r="K57" s="17">
        <v>0</v>
      </c>
      <c r="L57" s="17">
        <v>0</v>
      </c>
      <c r="M57" s="17">
        <v>0</v>
      </c>
      <c r="N57" s="17">
        <v>0</v>
      </c>
      <c r="O57" s="17">
        <v>0</v>
      </c>
      <c r="P57" s="17">
        <v>0</v>
      </c>
      <c r="Q57" s="17">
        <v>0</v>
      </c>
      <c r="R57" s="17">
        <v>0</v>
      </c>
      <c r="S57" s="17">
        <v>0</v>
      </c>
      <c r="T57" s="17">
        <v>0</v>
      </c>
      <c r="U57" s="17">
        <v>19601100</v>
      </c>
      <c r="V57" s="17">
        <v>-19601100</v>
      </c>
      <c r="W57" s="18">
        <f t="shared" si="9"/>
        <v>0</v>
      </c>
      <c r="X57" s="17">
        <v>0</v>
      </c>
      <c r="Y57" s="18">
        <f t="shared" si="11"/>
        <v>0</v>
      </c>
    </row>
    <row r="58" spans="1:25" x14ac:dyDescent="0.25">
      <c r="A58" s="478" t="s">
        <v>283</v>
      </c>
      <c r="B58" s="478"/>
      <c r="C58" s="478"/>
      <c r="D58" s="478"/>
      <c r="E58" s="478"/>
      <c r="F58" s="478"/>
      <c r="G58" s="16">
        <v>50</v>
      </c>
      <c r="H58" s="17">
        <v>0</v>
      </c>
      <c r="I58" s="17">
        <v>0</v>
      </c>
      <c r="J58" s="17">
        <v>0</v>
      </c>
      <c r="K58" s="17">
        <v>0</v>
      </c>
      <c r="L58" s="17">
        <v>0</v>
      </c>
      <c r="M58" s="17">
        <v>0</v>
      </c>
      <c r="N58" s="17">
        <v>0</v>
      </c>
      <c r="O58" s="17">
        <v>0</v>
      </c>
      <c r="P58" s="17">
        <v>0</v>
      </c>
      <c r="Q58" s="17">
        <v>0</v>
      </c>
      <c r="R58" s="17">
        <v>0</v>
      </c>
      <c r="S58" s="17">
        <v>0</v>
      </c>
      <c r="T58" s="17">
        <v>0</v>
      </c>
      <c r="U58" s="17">
        <v>0</v>
      </c>
      <c r="V58" s="17">
        <v>0</v>
      </c>
      <c r="W58" s="18">
        <f t="shared" si="9"/>
        <v>0</v>
      </c>
      <c r="X58" s="17">
        <v>0</v>
      </c>
      <c r="Y58" s="18">
        <f t="shared" si="11"/>
        <v>0</v>
      </c>
    </row>
    <row r="59" spans="1:25" ht="24" customHeight="1" x14ac:dyDescent="0.25">
      <c r="A59" s="479" t="s">
        <v>296</v>
      </c>
      <c r="B59" s="479"/>
      <c r="C59" s="479"/>
      <c r="D59" s="479"/>
      <c r="E59" s="479"/>
      <c r="F59" s="479"/>
      <c r="G59" s="22">
        <v>51</v>
      </c>
      <c r="H59" s="23">
        <f>SUM(H39:H58)</f>
        <v>221915350</v>
      </c>
      <c r="I59" s="23">
        <f t="shared" ref="I59:Y59" si="12">SUM(I39:I58)</f>
        <v>1218381</v>
      </c>
      <c r="J59" s="23">
        <f t="shared" si="12"/>
        <v>11095768</v>
      </c>
      <c r="K59" s="23">
        <f t="shared" si="12"/>
        <v>18158509</v>
      </c>
      <c r="L59" s="23">
        <f t="shared" si="12"/>
        <v>13743570</v>
      </c>
      <c r="M59" s="23">
        <f t="shared" si="12"/>
        <v>0</v>
      </c>
      <c r="N59" s="23">
        <f t="shared" si="12"/>
        <v>390640</v>
      </c>
      <c r="O59" s="23">
        <f t="shared" si="12"/>
        <v>0</v>
      </c>
      <c r="P59" s="23">
        <f t="shared" si="12"/>
        <v>39878</v>
      </c>
      <c r="Q59" s="23">
        <f t="shared" si="12"/>
        <v>0</v>
      </c>
      <c r="R59" s="23">
        <f t="shared" si="12"/>
        <v>0</v>
      </c>
      <c r="S59" s="23">
        <f t="shared" si="12"/>
        <v>0</v>
      </c>
      <c r="T59" s="23">
        <f t="shared" si="12"/>
        <v>0</v>
      </c>
      <c r="U59" s="23">
        <f t="shared" si="12"/>
        <v>42165052</v>
      </c>
      <c r="V59" s="23">
        <f t="shared" si="12"/>
        <v>27027615</v>
      </c>
      <c r="W59" s="23">
        <f t="shared" si="12"/>
        <v>308267623</v>
      </c>
      <c r="X59" s="23">
        <f t="shared" si="12"/>
        <v>138553411.67403033</v>
      </c>
      <c r="Y59" s="23">
        <f t="shared" si="12"/>
        <v>446821034.67403036</v>
      </c>
    </row>
    <row r="60" spans="1:25" x14ac:dyDescent="0.25">
      <c r="A60" s="480" t="s">
        <v>285</v>
      </c>
      <c r="B60" s="481"/>
      <c r="C60" s="481"/>
      <c r="D60" s="481"/>
      <c r="E60" s="481"/>
      <c r="F60" s="481"/>
      <c r="G60" s="481"/>
      <c r="H60" s="481"/>
      <c r="I60" s="481"/>
      <c r="J60" s="481"/>
      <c r="K60" s="481"/>
      <c r="L60" s="481"/>
      <c r="M60" s="481"/>
      <c r="N60" s="481"/>
      <c r="O60" s="481"/>
      <c r="P60" s="481"/>
      <c r="Q60" s="481"/>
      <c r="R60" s="481"/>
      <c r="S60" s="481"/>
      <c r="T60" s="481"/>
      <c r="U60" s="481"/>
      <c r="V60" s="481"/>
      <c r="W60" s="481"/>
      <c r="X60" s="481"/>
      <c r="Y60" s="481"/>
    </row>
    <row r="61" spans="1:25" ht="31.5" customHeight="1" x14ac:dyDescent="0.25">
      <c r="A61" s="482" t="s">
        <v>297</v>
      </c>
      <c r="B61" s="482"/>
      <c r="C61" s="482"/>
      <c r="D61" s="482"/>
      <c r="E61" s="482"/>
      <c r="F61" s="482"/>
      <c r="G61" s="19">
        <v>52</v>
      </c>
      <c r="H61" s="20">
        <f>SUM(H41:H49)</f>
        <v>0</v>
      </c>
      <c r="I61" s="20">
        <f t="shared" ref="I61:Y61" si="13">SUM(I41:I49)</f>
        <v>0</v>
      </c>
      <c r="J61" s="20">
        <f t="shared" si="13"/>
        <v>0</v>
      </c>
      <c r="K61" s="20">
        <f t="shared" si="13"/>
        <v>0</v>
      </c>
      <c r="L61" s="20">
        <f t="shared" si="13"/>
        <v>0</v>
      </c>
      <c r="M61" s="20">
        <f t="shared" si="13"/>
        <v>0</v>
      </c>
      <c r="N61" s="20">
        <f t="shared" si="13"/>
        <v>0</v>
      </c>
      <c r="O61" s="20">
        <f t="shared" si="13"/>
        <v>0</v>
      </c>
      <c r="P61" s="20">
        <f t="shared" si="13"/>
        <v>32033</v>
      </c>
      <c r="Q61" s="20">
        <f t="shared" si="13"/>
        <v>0</v>
      </c>
      <c r="R61" s="20">
        <f t="shared" si="13"/>
        <v>0</v>
      </c>
      <c r="S61" s="20">
        <f t="shared" si="13"/>
        <v>0</v>
      </c>
      <c r="T61" s="20">
        <f t="shared" si="13"/>
        <v>0</v>
      </c>
      <c r="U61" s="20">
        <f t="shared" si="13"/>
        <v>0</v>
      </c>
      <c r="V61" s="20">
        <f t="shared" si="13"/>
        <v>0</v>
      </c>
      <c r="W61" s="20">
        <f t="shared" si="13"/>
        <v>32033</v>
      </c>
      <c r="X61" s="20">
        <f t="shared" si="13"/>
        <v>0</v>
      </c>
      <c r="Y61" s="20">
        <f t="shared" si="13"/>
        <v>32033</v>
      </c>
    </row>
    <row r="62" spans="1:25" ht="27.75" customHeight="1" x14ac:dyDescent="0.25">
      <c r="A62" s="482" t="s">
        <v>298</v>
      </c>
      <c r="B62" s="482"/>
      <c r="C62" s="482"/>
      <c r="D62" s="482"/>
      <c r="E62" s="482"/>
      <c r="F62" s="482"/>
      <c r="G62" s="19">
        <v>53</v>
      </c>
      <c r="H62" s="20">
        <f>H40+H61</f>
        <v>0</v>
      </c>
      <c r="I62" s="20">
        <f t="shared" ref="I62:Y62" si="14">I40+I61</f>
        <v>0</v>
      </c>
      <c r="J62" s="20">
        <f t="shared" si="14"/>
        <v>0</v>
      </c>
      <c r="K62" s="20">
        <f t="shared" si="14"/>
        <v>0</v>
      </c>
      <c r="L62" s="20">
        <f t="shared" si="14"/>
        <v>0</v>
      </c>
      <c r="M62" s="20">
        <f t="shared" si="14"/>
        <v>0</v>
      </c>
      <c r="N62" s="20">
        <f t="shared" si="14"/>
        <v>0</v>
      </c>
      <c r="O62" s="20">
        <f t="shared" si="14"/>
        <v>0</v>
      </c>
      <c r="P62" s="20">
        <f t="shared" si="14"/>
        <v>32033</v>
      </c>
      <c r="Q62" s="20">
        <f t="shared" si="14"/>
        <v>0</v>
      </c>
      <c r="R62" s="20">
        <f t="shared" si="14"/>
        <v>0</v>
      </c>
      <c r="S62" s="20">
        <f t="shared" si="14"/>
        <v>0</v>
      </c>
      <c r="T62" s="20">
        <f t="shared" si="14"/>
        <v>0</v>
      </c>
      <c r="U62" s="20">
        <f t="shared" si="14"/>
        <v>0</v>
      </c>
      <c r="V62" s="20">
        <f t="shared" si="14"/>
        <v>27027615</v>
      </c>
      <c r="W62" s="20">
        <f t="shared" si="14"/>
        <v>27059648</v>
      </c>
      <c r="X62" s="20">
        <f t="shared" si="14"/>
        <v>6639710.6740303384</v>
      </c>
      <c r="Y62" s="20">
        <f t="shared" si="14"/>
        <v>33699358.674030341</v>
      </c>
    </row>
    <row r="63" spans="1:25" ht="29.25" customHeight="1" x14ac:dyDescent="0.25">
      <c r="A63" s="477" t="s">
        <v>299</v>
      </c>
      <c r="B63" s="477"/>
      <c r="C63" s="477"/>
      <c r="D63" s="477"/>
      <c r="E63" s="477"/>
      <c r="F63" s="477"/>
      <c r="G63" s="22">
        <v>54</v>
      </c>
      <c r="H63" s="23">
        <f>SUM(H50:H58)</f>
        <v>-1</v>
      </c>
      <c r="I63" s="23">
        <f t="shared" ref="I63:Y63" si="15">SUM(I50:I58)</f>
        <v>525113</v>
      </c>
      <c r="J63" s="23">
        <f t="shared" si="15"/>
        <v>0</v>
      </c>
      <c r="K63" s="23">
        <f t="shared" si="15"/>
        <v>0</v>
      </c>
      <c r="L63" s="23">
        <f t="shared" si="15"/>
        <v>-2769572</v>
      </c>
      <c r="M63" s="23">
        <f t="shared" si="15"/>
        <v>0</v>
      </c>
      <c r="N63" s="23">
        <f t="shared" si="15"/>
        <v>-4723648</v>
      </c>
      <c r="O63" s="23">
        <f t="shared" si="15"/>
        <v>0</v>
      </c>
      <c r="P63" s="23">
        <f t="shared" si="15"/>
        <v>0</v>
      </c>
      <c r="Q63" s="23">
        <f t="shared" si="15"/>
        <v>0</v>
      </c>
      <c r="R63" s="23">
        <f t="shared" si="15"/>
        <v>0</v>
      </c>
      <c r="S63" s="23">
        <f t="shared" si="15"/>
        <v>0</v>
      </c>
      <c r="T63" s="23">
        <f t="shared" si="15"/>
        <v>0</v>
      </c>
      <c r="U63" s="23">
        <f t="shared" si="15"/>
        <v>-4439688</v>
      </c>
      <c r="V63" s="23">
        <f t="shared" si="15"/>
        <v>-19601100</v>
      </c>
      <c r="W63" s="23">
        <f t="shared" si="15"/>
        <v>-25469752</v>
      </c>
      <c r="X63" s="23">
        <f t="shared" si="15"/>
        <v>-2535127</v>
      </c>
      <c r="Y63" s="23">
        <f t="shared" si="15"/>
        <v>-28004879</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7:Y30 H61:Y63 H32:Y34 H36:Y59" xr:uid="{5F244360-6E4F-467C-BD9F-E9E88EBF3C47}">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201D9818-D421-4492-8204-512F87E69DC9}">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52CAC2-1F4B-4356-9EC5-A5B00897EBE9}">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E9C3EB0F-2C2D-4E92-8263-50D2A13A9F6C}">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B1FE997B-1CE9-4D49-B885-D5AA24D90906}">
      <formula1>39448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4DDD-96CD-448A-B43D-7026A71D9566}">
  <dimension ref="A1:L249"/>
  <sheetViews>
    <sheetView topLeftCell="A75" workbookViewId="0">
      <selection sqref="A1:J30"/>
    </sheetView>
  </sheetViews>
  <sheetFormatPr defaultRowHeight="14.4" x14ac:dyDescent="0.3"/>
  <cols>
    <col min="1" max="1" width="44.5546875" customWidth="1"/>
    <col min="2" max="2" width="11.33203125" bestFit="1" customWidth="1"/>
    <col min="3" max="3" width="16" customWidth="1"/>
    <col min="4" max="4" width="9.88671875" bestFit="1" customWidth="1"/>
    <col min="5" max="5" width="9.5546875" bestFit="1" customWidth="1"/>
    <col min="7" max="7" width="104.44140625" customWidth="1"/>
    <col min="8" max="8" width="1.6640625" customWidth="1"/>
    <col min="9" max="9" width="9.88671875" hidden="1" customWidth="1"/>
    <col min="10" max="10" width="1.5546875" customWidth="1"/>
  </cols>
  <sheetData>
    <row r="1" spans="1:10" x14ac:dyDescent="0.3">
      <c r="A1" s="507" t="s">
        <v>556</v>
      </c>
      <c r="B1" s="508"/>
      <c r="C1" s="508"/>
      <c r="D1" s="508"/>
      <c r="E1" s="508"/>
      <c r="F1" s="508"/>
      <c r="G1" s="508"/>
      <c r="H1" s="508"/>
      <c r="I1" s="508"/>
      <c r="J1" s="508"/>
    </row>
    <row r="2" spans="1:10" x14ac:dyDescent="0.3">
      <c r="A2" s="508"/>
      <c r="B2" s="508"/>
      <c r="C2" s="508"/>
      <c r="D2" s="508"/>
      <c r="E2" s="508"/>
      <c r="F2" s="508"/>
      <c r="G2" s="508"/>
      <c r="H2" s="508"/>
      <c r="I2" s="508"/>
      <c r="J2" s="508"/>
    </row>
    <row r="3" spans="1:10" x14ac:dyDescent="0.3">
      <c r="A3" s="508"/>
      <c r="B3" s="508"/>
      <c r="C3" s="508"/>
      <c r="D3" s="508"/>
      <c r="E3" s="508"/>
      <c r="F3" s="508"/>
      <c r="G3" s="508"/>
      <c r="H3" s="508"/>
      <c r="I3" s="508"/>
      <c r="J3" s="508"/>
    </row>
    <row r="4" spans="1:10" x14ac:dyDescent="0.3">
      <c r="A4" s="508"/>
      <c r="B4" s="508"/>
      <c r="C4" s="508"/>
      <c r="D4" s="508"/>
      <c r="E4" s="508"/>
      <c r="F4" s="508"/>
      <c r="G4" s="508"/>
      <c r="H4" s="508"/>
      <c r="I4" s="508"/>
      <c r="J4" s="508"/>
    </row>
    <row r="5" spans="1:10" x14ac:dyDescent="0.3">
      <c r="A5" s="508"/>
      <c r="B5" s="508"/>
      <c r="C5" s="508"/>
      <c r="D5" s="508"/>
      <c r="E5" s="508"/>
      <c r="F5" s="508"/>
      <c r="G5" s="508"/>
      <c r="H5" s="508"/>
      <c r="I5" s="508"/>
      <c r="J5" s="508"/>
    </row>
    <row r="6" spans="1:10" x14ac:dyDescent="0.3">
      <c r="A6" s="508"/>
      <c r="B6" s="508"/>
      <c r="C6" s="508"/>
      <c r="D6" s="508"/>
      <c r="E6" s="508"/>
      <c r="F6" s="508"/>
      <c r="G6" s="508"/>
      <c r="H6" s="508"/>
      <c r="I6" s="508"/>
      <c r="J6" s="508"/>
    </row>
    <row r="7" spans="1:10" x14ac:dyDescent="0.3">
      <c r="A7" s="508"/>
      <c r="B7" s="508"/>
      <c r="C7" s="508"/>
      <c r="D7" s="508"/>
      <c r="E7" s="508"/>
      <c r="F7" s="508"/>
      <c r="G7" s="508"/>
      <c r="H7" s="508"/>
      <c r="I7" s="508"/>
      <c r="J7" s="508"/>
    </row>
    <row r="8" spans="1:10" x14ac:dyDescent="0.3">
      <c r="A8" s="508"/>
      <c r="B8" s="508"/>
      <c r="C8" s="508"/>
      <c r="D8" s="508"/>
      <c r="E8" s="508"/>
      <c r="F8" s="508"/>
      <c r="G8" s="508"/>
      <c r="H8" s="508"/>
      <c r="I8" s="508"/>
      <c r="J8" s="508"/>
    </row>
    <row r="9" spans="1:10" x14ac:dyDescent="0.3">
      <c r="A9" s="508"/>
      <c r="B9" s="508"/>
      <c r="C9" s="508"/>
      <c r="D9" s="508"/>
      <c r="E9" s="508"/>
      <c r="F9" s="508"/>
      <c r="G9" s="508"/>
      <c r="H9" s="508"/>
      <c r="I9" s="508"/>
      <c r="J9" s="508"/>
    </row>
    <row r="10" spans="1:10" x14ac:dyDescent="0.3">
      <c r="A10" s="508"/>
      <c r="B10" s="508"/>
      <c r="C10" s="508"/>
      <c r="D10" s="508"/>
      <c r="E10" s="508"/>
      <c r="F10" s="508"/>
      <c r="G10" s="508"/>
      <c r="H10" s="508"/>
      <c r="I10" s="508"/>
      <c r="J10" s="508"/>
    </row>
    <row r="11" spans="1:10" x14ac:dyDescent="0.3">
      <c r="A11" s="508"/>
      <c r="B11" s="508"/>
      <c r="C11" s="508"/>
      <c r="D11" s="508"/>
      <c r="E11" s="508"/>
      <c r="F11" s="508"/>
      <c r="G11" s="508"/>
      <c r="H11" s="508"/>
      <c r="I11" s="508"/>
      <c r="J11" s="508"/>
    </row>
    <row r="12" spans="1:10" x14ac:dyDescent="0.3">
      <c r="A12" s="508"/>
      <c r="B12" s="508"/>
      <c r="C12" s="508"/>
      <c r="D12" s="508"/>
      <c r="E12" s="508"/>
      <c r="F12" s="508"/>
      <c r="G12" s="508"/>
      <c r="H12" s="508"/>
      <c r="I12" s="508"/>
      <c r="J12" s="508"/>
    </row>
    <row r="13" spans="1:10" x14ac:dyDescent="0.3">
      <c r="A13" s="508"/>
      <c r="B13" s="508"/>
      <c r="C13" s="508"/>
      <c r="D13" s="508"/>
      <c r="E13" s="508"/>
      <c r="F13" s="508"/>
      <c r="G13" s="508"/>
      <c r="H13" s="508"/>
      <c r="I13" s="508"/>
      <c r="J13" s="508"/>
    </row>
    <row r="14" spans="1:10" x14ac:dyDescent="0.3">
      <c r="A14" s="508"/>
      <c r="B14" s="508"/>
      <c r="C14" s="508"/>
      <c r="D14" s="508"/>
      <c r="E14" s="508"/>
      <c r="F14" s="508"/>
      <c r="G14" s="508"/>
      <c r="H14" s="508"/>
      <c r="I14" s="508"/>
      <c r="J14" s="508"/>
    </row>
    <row r="15" spans="1:10" x14ac:dyDescent="0.3">
      <c r="A15" s="508"/>
      <c r="B15" s="508"/>
      <c r="C15" s="508"/>
      <c r="D15" s="508"/>
      <c r="E15" s="508"/>
      <c r="F15" s="508"/>
      <c r="G15" s="508"/>
      <c r="H15" s="508"/>
      <c r="I15" s="508"/>
      <c r="J15" s="508"/>
    </row>
    <row r="16" spans="1:10" x14ac:dyDescent="0.3">
      <c r="A16" s="508"/>
      <c r="B16" s="508"/>
      <c r="C16" s="508"/>
      <c r="D16" s="508"/>
      <c r="E16" s="508"/>
      <c r="F16" s="508"/>
      <c r="G16" s="508"/>
      <c r="H16" s="508"/>
      <c r="I16" s="508"/>
      <c r="J16" s="508"/>
    </row>
    <row r="17" spans="1:10" x14ac:dyDescent="0.3">
      <c r="A17" s="508"/>
      <c r="B17" s="508"/>
      <c r="C17" s="508"/>
      <c r="D17" s="508"/>
      <c r="E17" s="508"/>
      <c r="F17" s="508"/>
      <c r="G17" s="508"/>
      <c r="H17" s="508"/>
      <c r="I17" s="508"/>
      <c r="J17" s="508"/>
    </row>
    <row r="18" spans="1:10" x14ac:dyDescent="0.3">
      <c r="A18" s="508"/>
      <c r="B18" s="508"/>
      <c r="C18" s="508"/>
      <c r="D18" s="508"/>
      <c r="E18" s="508"/>
      <c r="F18" s="508"/>
      <c r="G18" s="508"/>
      <c r="H18" s="508"/>
      <c r="I18" s="508"/>
      <c r="J18" s="508"/>
    </row>
    <row r="19" spans="1:10" x14ac:dyDescent="0.3">
      <c r="A19" s="508"/>
      <c r="B19" s="508"/>
      <c r="C19" s="508"/>
      <c r="D19" s="508"/>
      <c r="E19" s="508"/>
      <c r="F19" s="508"/>
      <c r="G19" s="508"/>
      <c r="H19" s="508"/>
      <c r="I19" s="508"/>
      <c r="J19" s="508"/>
    </row>
    <row r="20" spans="1:10" x14ac:dyDescent="0.3">
      <c r="A20" s="508"/>
      <c r="B20" s="508"/>
      <c r="C20" s="508"/>
      <c r="D20" s="508"/>
      <c r="E20" s="508"/>
      <c r="F20" s="508"/>
      <c r="G20" s="508"/>
      <c r="H20" s="508"/>
      <c r="I20" s="508"/>
      <c r="J20" s="508"/>
    </row>
    <row r="21" spans="1:10" ht="171.75" customHeight="1" x14ac:dyDescent="0.3">
      <c r="A21" s="508"/>
      <c r="B21" s="508"/>
      <c r="C21" s="508"/>
      <c r="D21" s="508"/>
      <c r="E21" s="508"/>
      <c r="F21" s="508"/>
      <c r="G21" s="508"/>
      <c r="H21" s="508"/>
      <c r="I21" s="508"/>
      <c r="J21" s="508"/>
    </row>
    <row r="22" spans="1:10" x14ac:dyDescent="0.3">
      <c r="A22" s="508"/>
      <c r="B22" s="508"/>
      <c r="C22" s="508"/>
      <c r="D22" s="508"/>
      <c r="E22" s="508"/>
      <c r="F22" s="508"/>
      <c r="G22" s="508"/>
      <c r="H22" s="508"/>
      <c r="I22" s="508"/>
      <c r="J22" s="508"/>
    </row>
    <row r="23" spans="1:10" ht="131.25" customHeight="1" x14ac:dyDescent="0.3">
      <c r="A23" s="508"/>
      <c r="B23" s="508"/>
      <c r="C23" s="508"/>
      <c r="D23" s="508"/>
      <c r="E23" s="508"/>
      <c r="F23" s="508"/>
      <c r="G23" s="508"/>
      <c r="H23" s="508"/>
      <c r="I23" s="508"/>
      <c r="J23" s="508"/>
    </row>
    <row r="24" spans="1:10" x14ac:dyDescent="0.3">
      <c r="A24" s="508"/>
      <c r="B24" s="508"/>
      <c r="C24" s="508"/>
      <c r="D24" s="508"/>
      <c r="E24" s="508"/>
      <c r="F24" s="508"/>
      <c r="G24" s="508"/>
      <c r="H24" s="508"/>
      <c r="I24" s="508"/>
      <c r="J24" s="508"/>
    </row>
    <row r="25" spans="1:10" x14ac:dyDescent="0.3">
      <c r="A25" s="508"/>
      <c r="B25" s="508"/>
      <c r="C25" s="508"/>
      <c r="D25" s="508"/>
      <c r="E25" s="508"/>
      <c r="F25" s="508"/>
      <c r="G25" s="508"/>
      <c r="H25" s="508"/>
      <c r="I25" s="508"/>
      <c r="J25" s="508"/>
    </row>
    <row r="26" spans="1:10" ht="99.75" customHeight="1" x14ac:dyDescent="0.3">
      <c r="A26" s="508"/>
      <c r="B26" s="508"/>
      <c r="C26" s="508"/>
      <c r="D26" s="508"/>
      <c r="E26" s="508"/>
      <c r="F26" s="508"/>
      <c r="G26" s="508"/>
      <c r="H26" s="508"/>
      <c r="I26" s="508"/>
      <c r="J26" s="508"/>
    </row>
    <row r="27" spans="1:10" x14ac:dyDescent="0.3">
      <c r="A27" s="508"/>
      <c r="B27" s="508"/>
      <c r="C27" s="508"/>
      <c r="D27" s="508"/>
      <c r="E27" s="508"/>
      <c r="F27" s="508"/>
      <c r="G27" s="508"/>
      <c r="H27" s="508"/>
      <c r="I27" s="508"/>
      <c r="J27" s="508"/>
    </row>
    <row r="28" spans="1:10" ht="112.5" customHeight="1" x14ac:dyDescent="0.3">
      <c r="A28" s="508"/>
      <c r="B28" s="508"/>
      <c r="C28" s="508"/>
      <c r="D28" s="508"/>
      <c r="E28" s="508"/>
      <c r="F28" s="508"/>
      <c r="G28" s="508"/>
      <c r="H28" s="508"/>
      <c r="I28" s="508"/>
      <c r="J28" s="508"/>
    </row>
    <row r="29" spans="1:10" x14ac:dyDescent="0.3">
      <c r="A29" s="508"/>
      <c r="B29" s="508"/>
      <c r="C29" s="508"/>
      <c r="D29" s="508"/>
      <c r="E29" s="508"/>
      <c r="F29" s="508"/>
      <c r="G29" s="508"/>
      <c r="H29" s="508"/>
      <c r="I29" s="508"/>
      <c r="J29" s="508"/>
    </row>
    <row r="30" spans="1:10" ht="129" customHeight="1" x14ac:dyDescent="0.3">
      <c r="A30" s="508"/>
      <c r="B30" s="508"/>
      <c r="C30" s="508"/>
      <c r="D30" s="508"/>
      <c r="E30" s="508"/>
      <c r="F30" s="508"/>
      <c r="G30" s="508"/>
      <c r="H30" s="508"/>
      <c r="I30" s="508"/>
      <c r="J30" s="508"/>
    </row>
    <row r="32" spans="1:10" x14ac:dyDescent="0.3">
      <c r="A32" s="509" t="s">
        <v>300</v>
      </c>
      <c r="B32" s="509"/>
      <c r="C32" s="509"/>
      <c r="D32" s="509"/>
      <c r="E32" s="509"/>
      <c r="F32" s="509"/>
      <c r="G32" s="509"/>
    </row>
    <row r="33" spans="1:7" x14ac:dyDescent="0.3">
      <c r="A33" s="26"/>
      <c r="B33" s="26"/>
      <c r="C33" s="26"/>
      <c r="D33" s="26"/>
      <c r="E33" s="26"/>
      <c r="F33" s="26"/>
      <c r="G33" s="26"/>
    </row>
    <row r="34" spans="1:7" ht="28.5" customHeight="1" x14ac:dyDescent="0.3">
      <c r="A34" s="510" t="s">
        <v>301</v>
      </c>
      <c r="B34" s="510"/>
      <c r="C34" s="510"/>
      <c r="D34" s="510"/>
      <c r="E34" s="510"/>
      <c r="F34" s="510"/>
      <c r="G34" s="510"/>
    </row>
    <row r="35" spans="1:7" x14ac:dyDescent="0.3">
      <c r="A35" s="26"/>
      <c r="B35" s="26"/>
      <c r="C35" s="26"/>
      <c r="D35" s="26"/>
      <c r="E35" s="26"/>
      <c r="F35" s="26"/>
      <c r="G35" s="26"/>
    </row>
    <row r="36" spans="1:7" x14ac:dyDescent="0.3">
      <c r="A36" s="27" t="s">
        <v>302</v>
      </c>
      <c r="B36" s="28"/>
      <c r="C36" s="28"/>
      <c r="D36" s="28"/>
      <c r="E36" s="28"/>
      <c r="F36" s="28"/>
      <c r="G36" s="28"/>
    </row>
    <row r="37" spans="1:7" x14ac:dyDescent="0.3">
      <c r="A37" s="27"/>
      <c r="B37" s="28"/>
      <c r="C37" s="28"/>
      <c r="D37" s="28"/>
      <c r="E37" s="28"/>
      <c r="F37" s="28"/>
      <c r="G37" s="28"/>
    </row>
    <row r="38" spans="1:7" x14ac:dyDescent="0.3">
      <c r="A38" s="29"/>
      <c r="B38" s="29"/>
      <c r="C38" s="29"/>
      <c r="D38" s="29"/>
      <c r="E38" s="29"/>
      <c r="F38" s="29"/>
      <c r="G38" s="29"/>
    </row>
    <row r="39" spans="1:7" ht="15.6" x14ac:dyDescent="0.3">
      <c r="A39" s="30" t="s">
        <v>303</v>
      </c>
      <c r="B39" s="31"/>
      <c r="C39" s="31"/>
      <c r="D39" s="31"/>
      <c r="E39" s="32"/>
      <c r="F39" s="33"/>
      <c r="G39" s="33"/>
    </row>
    <row r="40" spans="1:7" x14ac:dyDescent="0.3">
      <c r="A40" s="34"/>
      <c r="B40" s="31"/>
      <c r="C40" s="31"/>
      <c r="D40" s="31"/>
      <c r="E40" s="32"/>
      <c r="F40" s="33"/>
      <c r="G40" s="33"/>
    </row>
    <row r="41" spans="1:7" x14ac:dyDescent="0.3">
      <c r="A41" s="506" t="s">
        <v>304</v>
      </c>
      <c r="B41" s="506"/>
      <c r="C41" s="506"/>
      <c r="D41" s="506"/>
      <c r="E41" s="506"/>
      <c r="F41" s="506"/>
      <c r="G41" s="506"/>
    </row>
    <row r="42" spans="1:7" ht="15" thickBot="1" x14ac:dyDescent="0.35">
      <c r="A42" s="35"/>
      <c r="B42" s="35"/>
      <c r="C42" s="35"/>
      <c r="D42" s="35"/>
      <c r="E42" s="35"/>
      <c r="F42" s="35"/>
      <c r="G42" s="35"/>
    </row>
    <row r="43" spans="1:7" ht="48" x14ac:dyDescent="0.3">
      <c r="A43" s="36" t="s">
        <v>305</v>
      </c>
      <c r="B43" s="37" t="s">
        <v>306</v>
      </c>
      <c r="C43" s="37" t="s">
        <v>307</v>
      </c>
      <c r="D43" s="38" t="s">
        <v>308</v>
      </c>
      <c r="E43" s="38" t="s">
        <v>309</v>
      </c>
      <c r="F43" s="38" t="s">
        <v>310</v>
      </c>
      <c r="G43" s="39" t="s">
        <v>311</v>
      </c>
    </row>
    <row r="44" spans="1:7" ht="48" x14ac:dyDescent="0.3">
      <c r="A44" s="40" t="s">
        <v>312</v>
      </c>
      <c r="B44" s="41" t="s">
        <v>313</v>
      </c>
      <c r="C44" s="42" t="s">
        <v>314</v>
      </c>
      <c r="D44" s="43">
        <f>SUM(D45:D49)</f>
        <v>5671820</v>
      </c>
      <c r="E44" s="43">
        <f>SUM(E45:E49)</f>
        <v>5671820</v>
      </c>
      <c r="F44" s="43">
        <f>+D44-E44</f>
        <v>0</v>
      </c>
      <c r="G44" s="44"/>
    </row>
    <row r="45" spans="1:7" x14ac:dyDescent="0.3">
      <c r="A45" s="45" t="s">
        <v>315</v>
      </c>
      <c r="B45" s="46" t="s">
        <v>316</v>
      </c>
      <c r="C45" s="46" t="s">
        <v>256</v>
      </c>
      <c r="D45" s="47">
        <f>39086+1</f>
        <v>39087</v>
      </c>
      <c r="E45" s="47">
        <f>+D45</f>
        <v>39087</v>
      </c>
      <c r="F45" s="47">
        <f>+D45-E45</f>
        <v>0</v>
      </c>
      <c r="G45" s="48"/>
    </row>
    <row r="46" spans="1:7" ht="57.75" customHeight="1" x14ac:dyDescent="0.3">
      <c r="A46" s="49" t="s">
        <v>317</v>
      </c>
      <c r="B46" s="50" t="s">
        <v>318</v>
      </c>
      <c r="C46" s="50" t="s">
        <v>319</v>
      </c>
      <c r="D46" s="51">
        <v>5221568</v>
      </c>
      <c r="E46" s="47">
        <f>5201748+3180+16640</f>
        <v>5221568</v>
      </c>
      <c r="F46" s="47">
        <f t="shared" ref="F46:F49" si="0">+D46-E46</f>
        <v>0</v>
      </c>
      <c r="G46" s="52" t="s">
        <v>320</v>
      </c>
    </row>
    <row r="47" spans="1:7" ht="46.5" customHeight="1" x14ac:dyDescent="0.3">
      <c r="A47" s="49" t="s">
        <v>321</v>
      </c>
      <c r="B47" s="50" t="s">
        <v>322</v>
      </c>
      <c r="C47" s="50" t="s">
        <v>323</v>
      </c>
      <c r="D47" s="47">
        <v>82072</v>
      </c>
      <c r="E47" s="47">
        <f>391+76503+5178</f>
        <v>82072</v>
      </c>
      <c r="F47" s="47">
        <f t="shared" si="0"/>
        <v>0</v>
      </c>
      <c r="G47" s="53" t="s">
        <v>324</v>
      </c>
    </row>
    <row r="48" spans="1:7" x14ac:dyDescent="0.3">
      <c r="A48" s="54" t="s">
        <v>325</v>
      </c>
      <c r="B48" s="55" t="s">
        <v>326</v>
      </c>
      <c r="C48" s="56" t="s">
        <v>327</v>
      </c>
      <c r="D48" s="51">
        <v>0</v>
      </c>
      <c r="E48" s="51">
        <v>0</v>
      </c>
      <c r="F48" s="51">
        <f t="shared" si="0"/>
        <v>0</v>
      </c>
      <c r="G48" s="53"/>
    </row>
    <row r="49" spans="1:7" x14ac:dyDescent="0.3">
      <c r="A49" s="45" t="s">
        <v>328</v>
      </c>
      <c r="B49" s="46" t="s">
        <v>329</v>
      </c>
      <c r="C49" s="46" t="s">
        <v>330</v>
      </c>
      <c r="D49" s="47">
        <v>329093</v>
      </c>
      <c r="E49" s="47">
        <f>+D49</f>
        <v>329093</v>
      </c>
      <c r="F49" s="47">
        <f t="shared" si="0"/>
        <v>0</v>
      </c>
      <c r="G49" s="53"/>
    </row>
    <row r="50" spans="1:7" x14ac:dyDescent="0.3">
      <c r="A50" s="57"/>
      <c r="B50" s="58"/>
      <c r="C50" s="58"/>
      <c r="D50" s="59"/>
      <c r="E50" s="59"/>
      <c r="F50" s="60"/>
      <c r="G50" s="61"/>
    </row>
    <row r="51" spans="1:7" ht="51.75" customHeight="1" x14ac:dyDescent="0.3">
      <c r="A51" s="40" t="s">
        <v>331</v>
      </c>
      <c r="B51" s="41" t="s">
        <v>332</v>
      </c>
      <c r="C51" s="42" t="s">
        <v>333</v>
      </c>
      <c r="D51" s="43">
        <f>SUM(D52:D55)</f>
        <v>1217958</v>
      </c>
      <c r="E51" s="43">
        <f>SUM(E52:E55)</f>
        <v>1217958</v>
      </c>
      <c r="F51" s="62">
        <f>+D51-E51</f>
        <v>0</v>
      </c>
      <c r="G51" s="63" t="s">
        <v>334</v>
      </c>
    </row>
    <row r="52" spans="1:7" x14ac:dyDescent="0.3">
      <c r="A52" s="45" t="s">
        <v>335</v>
      </c>
      <c r="B52" s="46" t="s">
        <v>336</v>
      </c>
      <c r="C52" s="46" t="s">
        <v>337</v>
      </c>
      <c r="D52" s="51">
        <v>26310</v>
      </c>
      <c r="E52" s="51">
        <f>+D52</f>
        <v>26310</v>
      </c>
      <c r="F52" s="51">
        <f>+D52-E52</f>
        <v>0</v>
      </c>
      <c r="G52" s="64"/>
    </row>
    <row r="53" spans="1:7" ht="80.400000000000006" x14ac:dyDescent="0.3">
      <c r="A53" s="65" t="s">
        <v>338</v>
      </c>
      <c r="B53" s="56" t="s">
        <v>339</v>
      </c>
      <c r="C53" s="56" t="s">
        <v>327</v>
      </c>
      <c r="D53" s="51">
        <v>38388</v>
      </c>
      <c r="E53" s="51">
        <f>25289+8002+668+1113+739+2575+2</f>
        <v>38388</v>
      </c>
      <c r="F53" s="51">
        <f t="shared" ref="F53:F55" si="1">+D53-E53</f>
        <v>0</v>
      </c>
      <c r="G53" s="52" t="s">
        <v>340</v>
      </c>
    </row>
    <row r="54" spans="1:7" ht="22.8" x14ac:dyDescent="0.3">
      <c r="A54" s="45" t="s">
        <v>341</v>
      </c>
      <c r="B54" s="46" t="s">
        <v>342</v>
      </c>
      <c r="C54" s="46" t="s">
        <v>343</v>
      </c>
      <c r="D54" s="47">
        <v>38002</v>
      </c>
      <c r="E54" s="47">
        <f>+D54</f>
        <v>38002</v>
      </c>
      <c r="F54" s="51">
        <f t="shared" si="1"/>
        <v>0</v>
      </c>
      <c r="G54" s="53" t="s">
        <v>344</v>
      </c>
    </row>
    <row r="55" spans="1:7" ht="22.8" x14ac:dyDescent="0.3">
      <c r="A55" s="45" t="s">
        <v>345</v>
      </c>
      <c r="B55" s="46" t="s">
        <v>346</v>
      </c>
      <c r="C55" s="46" t="s">
        <v>347</v>
      </c>
      <c r="D55" s="47">
        <v>1115258</v>
      </c>
      <c r="E55" s="47">
        <f>+D55</f>
        <v>1115258</v>
      </c>
      <c r="F55" s="51">
        <f t="shared" si="1"/>
        <v>0</v>
      </c>
      <c r="G55" s="53" t="s">
        <v>348</v>
      </c>
    </row>
    <row r="56" spans="1:7" x14ac:dyDescent="0.3">
      <c r="A56" s="57"/>
      <c r="B56" s="58"/>
      <c r="C56" s="58"/>
      <c r="D56" s="59"/>
      <c r="E56" s="59"/>
      <c r="F56" s="60"/>
      <c r="G56" s="66"/>
    </row>
    <row r="57" spans="1:7" ht="90.75" customHeight="1" x14ac:dyDescent="0.3">
      <c r="A57" s="67" t="s">
        <v>349</v>
      </c>
      <c r="B57" s="68" t="s">
        <v>350</v>
      </c>
      <c r="C57" s="42" t="s">
        <v>351</v>
      </c>
      <c r="D57" s="43">
        <f>23768+1</f>
        <v>23769</v>
      </c>
      <c r="E57" s="43">
        <f>3889+27+19837+16</f>
        <v>23769</v>
      </c>
      <c r="F57" s="43">
        <f>+D57-E57</f>
        <v>0</v>
      </c>
      <c r="G57" s="63" t="s">
        <v>352</v>
      </c>
    </row>
    <row r="58" spans="1:7" ht="15" thickBot="1" x14ac:dyDescent="0.35">
      <c r="A58" s="69" t="s">
        <v>353</v>
      </c>
      <c r="B58" s="70" t="s">
        <v>354</v>
      </c>
      <c r="C58" s="71"/>
      <c r="D58" s="72">
        <f>+D44+D51+D57</f>
        <v>6913547</v>
      </c>
      <c r="E58" s="72">
        <f>+E44+E51+E57</f>
        <v>6913547</v>
      </c>
      <c r="F58" s="72">
        <f>+D58-E58</f>
        <v>0</v>
      </c>
      <c r="G58" s="73"/>
    </row>
    <row r="59" spans="1:7" ht="15" thickBot="1" x14ac:dyDescent="0.35">
      <c r="A59" s="74"/>
      <c r="B59" s="75"/>
      <c r="C59" s="76"/>
      <c r="D59" s="75"/>
      <c r="E59" s="76"/>
      <c r="F59" s="77"/>
      <c r="G59" s="78"/>
    </row>
    <row r="60" spans="1:7" ht="24" x14ac:dyDescent="0.3">
      <c r="A60" s="79" t="s">
        <v>355</v>
      </c>
      <c r="B60" s="80" t="s">
        <v>356</v>
      </c>
      <c r="C60" s="80" t="s">
        <v>357</v>
      </c>
      <c r="D60" s="81">
        <f>3311058+1</f>
        <v>3311059</v>
      </c>
      <c r="E60" s="82">
        <v>3311059</v>
      </c>
      <c r="F60" s="82">
        <f>+D60-E60</f>
        <v>0</v>
      </c>
      <c r="G60" s="83" t="s">
        <v>358</v>
      </c>
    </row>
    <row r="61" spans="1:7" x14ac:dyDescent="0.3">
      <c r="A61" s="84"/>
      <c r="B61" s="85"/>
      <c r="C61" s="58"/>
      <c r="D61" s="59"/>
      <c r="E61" s="59"/>
      <c r="F61" s="60"/>
      <c r="G61" s="66"/>
    </row>
    <row r="62" spans="1:7" ht="48" x14ac:dyDescent="0.3">
      <c r="A62" s="86" t="s">
        <v>359</v>
      </c>
      <c r="B62" s="42" t="s">
        <v>360</v>
      </c>
      <c r="C62" s="42" t="s">
        <v>361</v>
      </c>
      <c r="D62" s="43">
        <f>166155+1</f>
        <v>166156</v>
      </c>
      <c r="E62" s="43">
        <f>29829+50117+28164+58046</f>
        <v>166156</v>
      </c>
      <c r="F62" s="43">
        <f>+D62-E62</f>
        <v>0</v>
      </c>
      <c r="G62" s="87" t="s">
        <v>362</v>
      </c>
    </row>
    <row r="63" spans="1:7" x14ac:dyDescent="0.3">
      <c r="A63" s="88"/>
      <c r="B63" s="58"/>
      <c r="C63" s="58"/>
      <c r="D63" s="59"/>
      <c r="E63" s="59"/>
      <c r="F63" s="60"/>
      <c r="G63" s="66"/>
    </row>
    <row r="64" spans="1:7" ht="36" x14ac:dyDescent="0.3">
      <c r="A64" s="86" t="s">
        <v>363</v>
      </c>
      <c r="B64" s="42" t="s">
        <v>364</v>
      </c>
      <c r="C64" s="42" t="s">
        <v>365</v>
      </c>
      <c r="D64" s="43">
        <f>SUM(D65:D67)</f>
        <v>2614508</v>
      </c>
      <c r="E64" s="43">
        <f>SUM(E65:E67)</f>
        <v>2614508</v>
      </c>
      <c r="F64" s="43">
        <f>+D64-E64</f>
        <v>0</v>
      </c>
      <c r="G64" s="89" t="s">
        <v>366</v>
      </c>
    </row>
    <row r="65" spans="1:12" ht="22.8" x14ac:dyDescent="0.3">
      <c r="A65" s="84" t="s">
        <v>367</v>
      </c>
      <c r="B65" s="46" t="s">
        <v>368</v>
      </c>
      <c r="C65" s="50" t="s">
        <v>369</v>
      </c>
      <c r="D65" s="47">
        <v>2547107</v>
      </c>
      <c r="E65" s="47">
        <f>+D65</f>
        <v>2547107</v>
      </c>
      <c r="F65" s="47">
        <f>+D65-E65</f>
        <v>0</v>
      </c>
      <c r="G65" s="53" t="s">
        <v>370</v>
      </c>
    </row>
    <row r="66" spans="1:12" ht="68.400000000000006" x14ac:dyDescent="0.3">
      <c r="A66" s="84" t="s">
        <v>371</v>
      </c>
      <c r="B66" s="46" t="s">
        <v>372</v>
      </c>
      <c r="C66" s="50" t="s">
        <v>373</v>
      </c>
      <c r="D66" s="51">
        <v>15636</v>
      </c>
      <c r="E66" s="51">
        <f>4362+11273+1</f>
        <v>15636</v>
      </c>
      <c r="F66" s="47">
        <f t="shared" ref="F66:F75" si="2">+D66-E66</f>
        <v>0</v>
      </c>
      <c r="G66" s="90" t="s">
        <v>374</v>
      </c>
    </row>
    <row r="67" spans="1:12" x14ac:dyDescent="0.3">
      <c r="A67" s="84" t="s">
        <v>375</v>
      </c>
      <c r="B67" s="46" t="s">
        <v>376</v>
      </c>
      <c r="C67" s="46" t="s">
        <v>330</v>
      </c>
      <c r="D67" s="51">
        <v>51765</v>
      </c>
      <c r="E67" s="51">
        <f>+D67</f>
        <v>51765</v>
      </c>
      <c r="F67" s="47">
        <f t="shared" si="2"/>
        <v>0</v>
      </c>
      <c r="G67" s="91"/>
    </row>
    <row r="68" spans="1:12" x14ac:dyDescent="0.3">
      <c r="A68" s="57"/>
      <c r="B68" s="58"/>
      <c r="C68" s="58"/>
      <c r="D68" s="59"/>
      <c r="E68" s="59"/>
      <c r="F68" s="60"/>
      <c r="G68" s="66"/>
    </row>
    <row r="69" spans="1:12" ht="36" x14ac:dyDescent="0.3">
      <c r="A69" s="86" t="s">
        <v>377</v>
      </c>
      <c r="B69" s="42" t="s">
        <v>378</v>
      </c>
      <c r="C69" s="42" t="s">
        <v>379</v>
      </c>
      <c r="D69" s="43">
        <f>SUM(D70:D75)-1</f>
        <v>733966</v>
      </c>
      <c r="E69" s="43">
        <f>SUM(E70:E75)-1</f>
        <v>733966</v>
      </c>
      <c r="F69" s="43">
        <f>+D69-E69</f>
        <v>0</v>
      </c>
      <c r="G69" s="89" t="s">
        <v>380</v>
      </c>
    </row>
    <row r="70" spans="1:12" ht="22.8" x14ac:dyDescent="0.3">
      <c r="A70" s="84" t="s">
        <v>367</v>
      </c>
      <c r="B70" s="46" t="s">
        <v>381</v>
      </c>
      <c r="C70" s="46" t="s">
        <v>369</v>
      </c>
      <c r="D70" s="47">
        <v>565524</v>
      </c>
      <c r="E70" s="47">
        <f>+D70</f>
        <v>565524</v>
      </c>
      <c r="F70" s="47">
        <f t="shared" si="2"/>
        <v>0</v>
      </c>
      <c r="G70" s="53" t="s">
        <v>382</v>
      </c>
    </row>
    <row r="71" spans="1:12" ht="79.8" x14ac:dyDescent="0.3">
      <c r="A71" s="92" t="s">
        <v>383</v>
      </c>
      <c r="B71" s="50" t="s">
        <v>384</v>
      </c>
      <c r="C71" s="50" t="s">
        <v>385</v>
      </c>
      <c r="D71" s="47">
        <f>40345-1</f>
        <v>40344</v>
      </c>
      <c r="E71" s="47">
        <f>+D71</f>
        <v>40344</v>
      </c>
      <c r="F71" s="47">
        <f t="shared" si="2"/>
        <v>0</v>
      </c>
      <c r="G71" s="53" t="s">
        <v>386</v>
      </c>
    </row>
    <row r="72" spans="1:12" ht="91.2" x14ac:dyDescent="0.3">
      <c r="A72" s="92" t="s">
        <v>387</v>
      </c>
      <c r="B72" s="50" t="s">
        <v>388</v>
      </c>
      <c r="C72" s="50" t="s">
        <v>385</v>
      </c>
      <c r="D72" s="47">
        <f>39+67471</f>
        <v>67510</v>
      </c>
      <c r="E72" s="47">
        <f>67447+63</f>
        <v>67510</v>
      </c>
      <c r="F72" s="47">
        <f t="shared" si="2"/>
        <v>0</v>
      </c>
      <c r="G72" s="53" t="s">
        <v>389</v>
      </c>
    </row>
    <row r="73" spans="1:12" ht="79.8" x14ac:dyDescent="0.3">
      <c r="A73" s="92" t="s">
        <v>390</v>
      </c>
      <c r="B73" s="50" t="s">
        <v>391</v>
      </c>
      <c r="C73" s="50" t="s">
        <v>385</v>
      </c>
      <c r="D73" s="47">
        <v>28794</v>
      </c>
      <c r="E73" s="47">
        <f>+D73</f>
        <v>28794</v>
      </c>
      <c r="F73" s="47">
        <f t="shared" si="2"/>
        <v>0</v>
      </c>
      <c r="G73" s="53" t="s">
        <v>392</v>
      </c>
    </row>
    <row r="74" spans="1:12" ht="91.2" x14ac:dyDescent="0.3">
      <c r="A74" s="92" t="s">
        <v>393</v>
      </c>
      <c r="B74" s="50" t="s">
        <v>394</v>
      </c>
      <c r="C74" s="50" t="s">
        <v>385</v>
      </c>
      <c r="D74" s="51">
        <f>16508+1</f>
        <v>16509</v>
      </c>
      <c r="E74" s="51">
        <f>+D74</f>
        <v>16509</v>
      </c>
      <c r="F74" s="47">
        <f t="shared" si="2"/>
        <v>0</v>
      </c>
      <c r="G74" s="93" t="s">
        <v>395</v>
      </c>
    </row>
    <row r="75" spans="1:12" ht="173.25" customHeight="1" x14ac:dyDescent="0.3">
      <c r="A75" s="94" t="s">
        <v>396</v>
      </c>
      <c r="B75" s="50" t="s">
        <v>397</v>
      </c>
      <c r="C75" s="50" t="s">
        <v>398</v>
      </c>
      <c r="D75" s="47">
        <f>380+14906</f>
        <v>15286</v>
      </c>
      <c r="E75" s="47">
        <f>380+8839+2680+3387</f>
        <v>15286</v>
      </c>
      <c r="F75" s="47">
        <f t="shared" si="2"/>
        <v>0</v>
      </c>
      <c r="G75" s="53" t="s">
        <v>399</v>
      </c>
    </row>
    <row r="76" spans="1:12" x14ac:dyDescent="0.3">
      <c r="A76" s="57"/>
      <c r="B76" s="58"/>
      <c r="C76" s="58"/>
      <c r="D76" s="59"/>
      <c r="E76" s="59"/>
      <c r="F76" s="60"/>
      <c r="G76" s="66"/>
    </row>
    <row r="77" spans="1:12" ht="194.25" customHeight="1" x14ac:dyDescent="0.3">
      <c r="A77" s="86" t="s">
        <v>400</v>
      </c>
      <c r="B77" s="42" t="s">
        <v>401</v>
      </c>
      <c r="C77" s="42" t="s">
        <v>402</v>
      </c>
      <c r="D77" s="43">
        <f>87858</f>
        <v>87858</v>
      </c>
      <c r="E77" s="43">
        <f>29168+1920+10908+483+22605+1859+1164+19751</f>
        <v>87858</v>
      </c>
      <c r="F77" s="43">
        <f>+D77-E77</f>
        <v>0</v>
      </c>
      <c r="G77" s="89" t="s">
        <v>403</v>
      </c>
      <c r="K77" s="95"/>
      <c r="L77" s="96"/>
    </row>
    <row r="78" spans="1:12" ht="15" thickBot="1" x14ac:dyDescent="0.35">
      <c r="A78" s="97" t="s">
        <v>404</v>
      </c>
      <c r="B78" s="98" t="s">
        <v>405</v>
      </c>
      <c r="C78" s="98"/>
      <c r="D78" s="99">
        <f>+D60+D62+D64+D69+D77</f>
        <v>6913547</v>
      </c>
      <c r="E78" s="99">
        <f>+E60+E62+E64+E69+E77</f>
        <v>6913547</v>
      </c>
      <c r="F78" s="99">
        <f>+D78-E78</f>
        <v>0</v>
      </c>
      <c r="G78" s="100"/>
    </row>
    <row r="79" spans="1:12" x14ac:dyDescent="0.3">
      <c r="A79" s="101"/>
      <c r="B79" s="101"/>
      <c r="C79" s="101"/>
      <c r="D79" s="102"/>
      <c r="E79" s="102"/>
      <c r="F79" s="101"/>
      <c r="G79" s="101"/>
    </row>
    <row r="80" spans="1:12" ht="15.6" x14ac:dyDescent="0.3">
      <c r="A80" s="30" t="s">
        <v>406</v>
      </c>
      <c r="B80" s="103"/>
      <c r="C80" s="104"/>
      <c r="D80" s="105"/>
      <c r="E80" s="105"/>
      <c r="F80" s="32"/>
      <c r="G80" s="32"/>
    </row>
    <row r="81" spans="1:12" x14ac:dyDescent="0.3">
      <c r="A81" s="34"/>
      <c r="B81" s="103"/>
      <c r="C81" s="104"/>
      <c r="D81" s="105"/>
      <c r="E81" s="32"/>
      <c r="F81" s="32"/>
      <c r="G81" s="32"/>
    </row>
    <row r="82" spans="1:12" x14ac:dyDescent="0.3">
      <c r="A82" s="504" t="s">
        <v>304</v>
      </c>
      <c r="B82" s="504"/>
      <c r="C82" s="504"/>
      <c r="D82" s="504"/>
      <c r="E82" s="504"/>
      <c r="F82" s="504"/>
      <c r="G82" s="504"/>
    </row>
    <row r="83" spans="1:12" ht="15" thickBot="1" x14ac:dyDescent="0.35">
      <c r="A83" s="106"/>
      <c r="B83" s="107"/>
      <c r="C83" s="108"/>
      <c r="D83" s="109"/>
      <c r="E83" s="109"/>
      <c r="F83" s="110"/>
      <c r="G83" s="111"/>
    </row>
    <row r="84" spans="1:12" ht="36.6" thickBot="1" x14ac:dyDescent="0.35">
      <c r="A84" s="112" t="s">
        <v>407</v>
      </c>
      <c r="B84" s="113" t="s">
        <v>408</v>
      </c>
      <c r="C84" s="38" t="s">
        <v>409</v>
      </c>
      <c r="D84" s="38" t="s">
        <v>308</v>
      </c>
      <c r="E84" s="38" t="s">
        <v>309</v>
      </c>
      <c r="F84" s="114" t="s">
        <v>310</v>
      </c>
      <c r="G84" s="115" t="s">
        <v>311</v>
      </c>
    </row>
    <row r="85" spans="1:12" ht="42" customHeight="1" x14ac:dyDescent="0.3">
      <c r="A85" s="116" t="s">
        <v>410</v>
      </c>
      <c r="B85" s="117" t="s">
        <v>411</v>
      </c>
      <c r="C85" s="118"/>
      <c r="D85" s="119">
        <f>SUM(D86:D87)</f>
        <v>1644008</v>
      </c>
      <c r="E85" s="119">
        <f>SUM(E86:E87)</f>
        <v>1644008</v>
      </c>
      <c r="F85" s="119">
        <f>+D85-E85</f>
        <v>0</v>
      </c>
      <c r="G85" s="120"/>
    </row>
    <row r="86" spans="1:12" ht="22.8" x14ac:dyDescent="0.3">
      <c r="A86" s="92" t="s">
        <v>412</v>
      </c>
      <c r="B86" s="50" t="s">
        <v>413</v>
      </c>
      <c r="C86" s="50" t="s">
        <v>245</v>
      </c>
      <c r="D86" s="47">
        <f>0+1605128</f>
        <v>1605128</v>
      </c>
      <c r="E86" s="47">
        <f>+D86</f>
        <v>1605128</v>
      </c>
      <c r="F86" s="47">
        <f>+D86-E86</f>
        <v>0</v>
      </c>
      <c r="G86" s="91"/>
    </row>
    <row r="87" spans="1:12" ht="114" x14ac:dyDescent="0.3">
      <c r="A87" s="92" t="s">
        <v>414</v>
      </c>
      <c r="B87" s="50" t="s">
        <v>415</v>
      </c>
      <c r="C87" s="50" t="s">
        <v>416</v>
      </c>
      <c r="D87" s="51">
        <f>326+38554</f>
        <v>38880</v>
      </c>
      <c r="E87" s="51">
        <f>7713+14028+1492+8118+326+5330+53+1820</f>
        <v>38880</v>
      </c>
      <c r="F87" s="51">
        <f>+D87-E87</f>
        <v>0</v>
      </c>
      <c r="G87" s="52" t="s">
        <v>417</v>
      </c>
    </row>
    <row r="88" spans="1:12" x14ac:dyDescent="0.3">
      <c r="A88" s="88"/>
      <c r="B88" s="58"/>
      <c r="C88" s="121"/>
      <c r="D88" s="59"/>
      <c r="E88" s="59"/>
      <c r="F88" s="60"/>
      <c r="G88" s="122"/>
    </row>
    <row r="89" spans="1:12" ht="73.5" customHeight="1" x14ac:dyDescent="0.3">
      <c r="A89" s="123" t="s">
        <v>418</v>
      </c>
      <c r="B89" s="41" t="s">
        <v>419</v>
      </c>
      <c r="C89" s="42"/>
      <c r="D89" s="43">
        <f>SUM(D90:D96)-1</f>
        <v>1507033</v>
      </c>
      <c r="E89" s="43">
        <f>SUM(E90:E96)-1</f>
        <v>1507033</v>
      </c>
      <c r="F89" s="43">
        <f>+D89-E89</f>
        <v>0</v>
      </c>
      <c r="G89" s="63" t="s">
        <v>420</v>
      </c>
    </row>
    <row r="90" spans="1:12" ht="22.8" x14ac:dyDescent="0.3">
      <c r="A90" s="84" t="s">
        <v>421</v>
      </c>
      <c r="B90" s="50" t="s">
        <v>422</v>
      </c>
      <c r="C90" s="50" t="s">
        <v>247</v>
      </c>
      <c r="D90" s="51">
        <v>458262</v>
      </c>
      <c r="E90" s="51">
        <f>+D90</f>
        <v>458262</v>
      </c>
      <c r="F90" s="51">
        <f>+D90-E90</f>
        <v>0</v>
      </c>
      <c r="G90" s="52" t="s">
        <v>423</v>
      </c>
    </row>
    <row r="91" spans="1:12" ht="57" x14ac:dyDescent="0.3">
      <c r="A91" s="92" t="s">
        <v>424</v>
      </c>
      <c r="B91" s="46" t="s">
        <v>425</v>
      </c>
      <c r="C91" s="50" t="s">
        <v>426</v>
      </c>
      <c r="D91" s="47">
        <v>353176</v>
      </c>
      <c r="E91" s="47">
        <f>218087+66349+46430+22310</f>
        <v>353176</v>
      </c>
      <c r="F91" s="51">
        <f t="shared" ref="F91:F96" si="3">+D91-E91</f>
        <v>0</v>
      </c>
      <c r="G91" s="124" t="s">
        <v>427</v>
      </c>
    </row>
    <row r="92" spans="1:12" x14ac:dyDescent="0.3">
      <c r="A92" s="92" t="s">
        <v>428</v>
      </c>
      <c r="B92" s="46" t="s">
        <v>429</v>
      </c>
      <c r="C92" s="50" t="s">
        <v>430</v>
      </c>
      <c r="D92" s="47">
        <v>507336</v>
      </c>
      <c r="E92" s="47">
        <f>+D92</f>
        <v>507336</v>
      </c>
      <c r="F92" s="51">
        <f t="shared" si="3"/>
        <v>0</v>
      </c>
      <c r="G92" s="52"/>
    </row>
    <row r="93" spans="1:12" ht="136.5" customHeight="1" x14ac:dyDescent="0.3">
      <c r="A93" s="92" t="s">
        <v>431</v>
      </c>
      <c r="B93" s="46" t="s">
        <v>432</v>
      </c>
      <c r="C93" s="50" t="s">
        <v>433</v>
      </c>
      <c r="D93" s="47">
        <v>134451</v>
      </c>
      <c r="E93" s="51">
        <f>471+76479+25624+19261+3706+6805+1093+1012</f>
        <v>134451</v>
      </c>
      <c r="F93" s="51">
        <f t="shared" si="3"/>
        <v>0</v>
      </c>
      <c r="G93" s="124" t="s">
        <v>434</v>
      </c>
    </row>
    <row r="94" spans="1:12" ht="66" customHeight="1" x14ac:dyDescent="0.3">
      <c r="A94" s="84" t="s">
        <v>435</v>
      </c>
      <c r="B94" s="46" t="s">
        <v>436</v>
      </c>
      <c r="C94" s="50" t="s">
        <v>437</v>
      </c>
      <c r="D94" s="47">
        <v>1670</v>
      </c>
      <c r="E94" s="47">
        <f>+D94</f>
        <v>1670</v>
      </c>
      <c r="F94" s="51">
        <f t="shared" si="3"/>
        <v>0</v>
      </c>
      <c r="G94" s="124" t="s">
        <v>438</v>
      </c>
    </row>
    <row r="95" spans="1:12" ht="123.75" customHeight="1" x14ac:dyDescent="0.3">
      <c r="A95" s="92" t="s">
        <v>439</v>
      </c>
      <c r="B95" s="46" t="s">
        <v>440</v>
      </c>
      <c r="C95" s="50" t="s">
        <v>433</v>
      </c>
      <c r="D95" s="47">
        <v>40313</v>
      </c>
      <c r="E95" s="47">
        <f>4955+2744+28164+4450</f>
        <v>40313</v>
      </c>
      <c r="F95" s="51">
        <f t="shared" si="3"/>
        <v>0</v>
      </c>
      <c r="G95" s="124" t="s">
        <v>441</v>
      </c>
      <c r="L95" s="125"/>
    </row>
    <row r="96" spans="1:12" ht="78.75" customHeight="1" x14ac:dyDescent="0.3">
      <c r="A96" s="84" t="s">
        <v>442</v>
      </c>
      <c r="B96" s="46" t="s">
        <v>443</v>
      </c>
      <c r="C96" s="50" t="s">
        <v>437</v>
      </c>
      <c r="D96" s="47">
        <v>11826</v>
      </c>
      <c r="E96" s="47">
        <f>3892+7934</f>
        <v>11826</v>
      </c>
      <c r="F96" s="51">
        <f t="shared" si="3"/>
        <v>0</v>
      </c>
      <c r="G96" s="124" t="s">
        <v>444</v>
      </c>
    </row>
    <row r="97" spans="1:7" x14ac:dyDescent="0.3">
      <c r="A97" s="88"/>
      <c r="B97" s="58"/>
      <c r="C97" s="121"/>
      <c r="D97" s="59"/>
      <c r="E97" s="59"/>
      <c r="F97" s="60"/>
      <c r="G97" s="122"/>
    </row>
    <row r="98" spans="1:7" ht="84" x14ac:dyDescent="0.3">
      <c r="A98" s="123" t="s">
        <v>445</v>
      </c>
      <c r="B98" s="41" t="s">
        <v>446</v>
      </c>
      <c r="C98" s="42" t="s">
        <v>251</v>
      </c>
      <c r="D98" s="43">
        <v>35354</v>
      </c>
      <c r="E98" s="43">
        <f>83+11676+9233+13316+817+229</f>
        <v>35354</v>
      </c>
      <c r="F98" s="43">
        <f>+D98-E98</f>
        <v>0</v>
      </c>
      <c r="G98" s="63" t="s">
        <v>447</v>
      </c>
    </row>
    <row r="99" spans="1:7" x14ac:dyDescent="0.3">
      <c r="A99" s="88"/>
      <c r="B99" s="58"/>
      <c r="C99" s="121"/>
      <c r="D99" s="59"/>
      <c r="E99" s="59"/>
      <c r="F99" s="59"/>
      <c r="G99" s="122"/>
    </row>
    <row r="100" spans="1:7" ht="57.75" customHeight="1" x14ac:dyDescent="0.3">
      <c r="A100" s="123" t="s">
        <v>448</v>
      </c>
      <c r="B100" s="41" t="s">
        <v>449</v>
      </c>
      <c r="C100" s="42" t="s">
        <v>251</v>
      </c>
      <c r="D100" s="43">
        <v>71257</v>
      </c>
      <c r="E100" s="43">
        <f>+D100</f>
        <v>71257</v>
      </c>
      <c r="F100" s="43">
        <f>+D100-E100</f>
        <v>0</v>
      </c>
      <c r="G100" s="63" t="s">
        <v>450</v>
      </c>
    </row>
    <row r="101" spans="1:7" x14ac:dyDescent="0.3">
      <c r="A101" s="126"/>
      <c r="B101" s="127"/>
      <c r="C101" s="128"/>
      <c r="D101" s="129"/>
      <c r="E101" s="129"/>
      <c r="F101" s="129"/>
      <c r="G101" s="130"/>
    </row>
    <row r="102" spans="1:7" ht="24" x14ac:dyDescent="0.3">
      <c r="A102" s="86" t="s">
        <v>451</v>
      </c>
      <c r="B102" s="41" t="s">
        <v>452</v>
      </c>
      <c r="C102" s="42" t="s">
        <v>453</v>
      </c>
      <c r="D102" s="43">
        <v>548</v>
      </c>
      <c r="E102" s="43">
        <v>548</v>
      </c>
      <c r="F102" s="43">
        <f>+E102-D102</f>
        <v>0</v>
      </c>
      <c r="G102" s="63" t="s">
        <v>454</v>
      </c>
    </row>
    <row r="103" spans="1:7" x14ac:dyDescent="0.3">
      <c r="A103" s="131"/>
      <c r="B103" s="127"/>
      <c r="C103" s="128"/>
      <c r="D103" s="129"/>
      <c r="E103" s="129"/>
      <c r="F103" s="129"/>
      <c r="G103" s="130"/>
    </row>
    <row r="104" spans="1:7" ht="24" x14ac:dyDescent="0.3">
      <c r="A104" s="86" t="s">
        <v>455</v>
      </c>
      <c r="B104" s="41" t="s">
        <v>456</v>
      </c>
      <c r="C104" s="42" t="s">
        <v>453</v>
      </c>
      <c r="D104" s="43">
        <v>144</v>
      </c>
      <c r="E104" s="43">
        <v>144</v>
      </c>
      <c r="F104" s="43">
        <f>+E104-D104</f>
        <v>0</v>
      </c>
      <c r="G104" s="63" t="s">
        <v>457</v>
      </c>
    </row>
    <row r="105" spans="1:7" x14ac:dyDescent="0.3">
      <c r="A105" s="88"/>
      <c r="B105" s="58"/>
      <c r="C105" s="121"/>
      <c r="D105" s="59"/>
      <c r="E105" s="59"/>
      <c r="F105" s="60"/>
      <c r="G105" s="122"/>
    </row>
    <row r="106" spans="1:7" x14ac:dyDescent="0.3">
      <c r="A106" s="123" t="s">
        <v>458</v>
      </c>
      <c r="B106" s="41" t="s">
        <v>342</v>
      </c>
      <c r="C106" s="42"/>
      <c r="D106" s="43">
        <f>+D85+D98+D102</f>
        <v>1679910</v>
      </c>
      <c r="E106" s="43">
        <f>+E85+E98+E102</f>
        <v>1679910</v>
      </c>
      <c r="F106" s="43">
        <f>+D106-E106</f>
        <v>0</v>
      </c>
      <c r="G106" s="63"/>
    </row>
    <row r="107" spans="1:7" x14ac:dyDescent="0.3">
      <c r="A107" s="132"/>
      <c r="B107" s="58"/>
      <c r="C107" s="121"/>
      <c r="D107" s="133"/>
      <c r="E107" s="133"/>
      <c r="F107" s="134"/>
      <c r="G107" s="135"/>
    </row>
    <row r="108" spans="1:7" x14ac:dyDescent="0.3">
      <c r="A108" s="123" t="s">
        <v>459</v>
      </c>
      <c r="B108" s="41" t="s">
        <v>460</v>
      </c>
      <c r="C108" s="42"/>
      <c r="D108" s="43">
        <f>+D89+D104+D100</f>
        <v>1578434</v>
      </c>
      <c r="E108" s="43">
        <f>+E89+E104+E100</f>
        <v>1578434</v>
      </c>
      <c r="F108" s="43">
        <f>+D108-E108</f>
        <v>0</v>
      </c>
      <c r="G108" s="136"/>
    </row>
    <row r="109" spans="1:7" x14ac:dyDescent="0.3">
      <c r="A109" s="88"/>
      <c r="B109" s="58"/>
      <c r="C109" s="121"/>
      <c r="D109" s="133"/>
      <c r="E109" s="133"/>
      <c r="F109" s="134"/>
      <c r="G109" s="135"/>
    </row>
    <row r="110" spans="1:7" x14ac:dyDescent="0.3">
      <c r="A110" s="123" t="s">
        <v>461</v>
      </c>
      <c r="B110" s="41" t="s">
        <v>462</v>
      </c>
      <c r="C110" s="42"/>
      <c r="D110" s="43">
        <f>+D106-D108</f>
        <v>101476</v>
      </c>
      <c r="E110" s="43">
        <f>+D110</f>
        <v>101476</v>
      </c>
      <c r="F110" s="43">
        <f>+D110-E110</f>
        <v>0</v>
      </c>
      <c r="G110" s="136"/>
    </row>
    <row r="111" spans="1:7" x14ac:dyDescent="0.3">
      <c r="A111" s="88"/>
      <c r="B111" s="58"/>
      <c r="C111" s="121"/>
      <c r="D111" s="137"/>
      <c r="E111" s="137"/>
      <c r="F111" s="60"/>
      <c r="G111" s="122"/>
    </row>
    <row r="112" spans="1:7" x14ac:dyDescent="0.3">
      <c r="A112" s="123" t="s">
        <v>463</v>
      </c>
      <c r="B112" s="41" t="s">
        <v>464</v>
      </c>
      <c r="C112" s="42"/>
      <c r="D112" s="43">
        <v>-7232</v>
      </c>
      <c r="E112" s="43">
        <f>+D112</f>
        <v>-7232</v>
      </c>
      <c r="F112" s="43">
        <f>+D112-E112</f>
        <v>0</v>
      </c>
      <c r="G112" s="44"/>
    </row>
    <row r="113" spans="1:7" x14ac:dyDescent="0.3">
      <c r="A113" s="88"/>
      <c r="B113" s="58"/>
      <c r="C113" s="121"/>
      <c r="D113" s="137"/>
      <c r="E113" s="137"/>
      <c r="F113" s="60"/>
      <c r="G113" s="122"/>
    </row>
    <row r="114" spans="1:7" ht="15" thickBot="1" x14ac:dyDescent="0.35">
      <c r="A114" s="138" t="s">
        <v>465</v>
      </c>
      <c r="B114" s="139" t="s">
        <v>466</v>
      </c>
      <c r="C114" s="140"/>
      <c r="D114" s="141">
        <f>+D110-D112</f>
        <v>108708</v>
      </c>
      <c r="E114" s="141">
        <f>+E110-E112</f>
        <v>108708</v>
      </c>
      <c r="F114" s="141">
        <f>+D114-E114</f>
        <v>0</v>
      </c>
      <c r="G114" s="142"/>
    </row>
    <row r="115" spans="1:7" x14ac:dyDescent="0.3">
      <c r="A115" s="101"/>
      <c r="B115" s="101"/>
      <c r="C115" s="101"/>
      <c r="D115" s="101"/>
      <c r="E115" s="101"/>
      <c r="F115" s="101"/>
      <c r="G115" s="101"/>
    </row>
    <row r="116" spans="1:7" x14ac:dyDescent="0.3">
      <c r="A116" s="101"/>
      <c r="B116" s="101"/>
      <c r="C116" s="101"/>
      <c r="D116" s="101"/>
      <c r="E116" s="101"/>
      <c r="F116" s="101"/>
      <c r="G116" s="101"/>
    </row>
    <row r="117" spans="1:7" ht="15.6" x14ac:dyDescent="0.3">
      <c r="A117" s="30" t="s">
        <v>467</v>
      </c>
      <c r="B117" s="31"/>
      <c r="C117" s="31"/>
      <c r="D117" s="31"/>
      <c r="E117" s="32"/>
      <c r="F117" s="33"/>
      <c r="G117" s="33"/>
    </row>
    <row r="118" spans="1:7" x14ac:dyDescent="0.3">
      <c r="A118" s="34"/>
      <c r="B118" s="31"/>
      <c r="C118" s="31"/>
      <c r="D118" s="31"/>
      <c r="E118" s="32"/>
      <c r="F118" s="33"/>
      <c r="G118" s="33"/>
    </row>
    <row r="119" spans="1:7" x14ac:dyDescent="0.3">
      <c r="A119" s="506" t="s">
        <v>304</v>
      </c>
      <c r="B119" s="506"/>
      <c r="C119" s="506"/>
      <c r="D119" s="506"/>
      <c r="E119" s="506"/>
      <c r="F119" s="506"/>
      <c r="G119" s="506"/>
    </row>
    <row r="120" spans="1:7" ht="15" thickBot="1" x14ac:dyDescent="0.35">
      <c r="A120" s="35"/>
      <c r="B120" s="35"/>
      <c r="C120" s="35"/>
      <c r="D120" s="35"/>
      <c r="E120" s="35"/>
      <c r="F120" s="35"/>
      <c r="G120" s="35"/>
    </row>
    <row r="121" spans="1:7" ht="48" x14ac:dyDescent="0.3">
      <c r="A121" s="143" t="s">
        <v>468</v>
      </c>
      <c r="B121" s="144" t="s">
        <v>306</v>
      </c>
      <c r="C121" s="38" t="s">
        <v>307</v>
      </c>
      <c r="D121" s="38" t="s">
        <v>308</v>
      </c>
      <c r="E121" s="38" t="s">
        <v>309</v>
      </c>
      <c r="F121" s="38" t="s">
        <v>310</v>
      </c>
      <c r="G121" s="39" t="s">
        <v>311</v>
      </c>
    </row>
    <row r="122" spans="1:7" ht="48" x14ac:dyDescent="0.3">
      <c r="A122" s="145" t="s">
        <v>469</v>
      </c>
      <c r="B122" s="146" t="s">
        <v>313</v>
      </c>
      <c r="C122" s="42" t="s">
        <v>470</v>
      </c>
      <c r="D122" s="43">
        <f>+D123+D124+D125+D126+D127</f>
        <v>6087157</v>
      </c>
      <c r="E122" s="43">
        <f>+E123+E124+E125+E126+E127</f>
        <v>6087157</v>
      </c>
      <c r="F122" s="43">
        <f>+D122-E122</f>
        <v>0</v>
      </c>
      <c r="G122" s="44"/>
    </row>
    <row r="123" spans="1:7" x14ac:dyDescent="0.3">
      <c r="A123" s="57" t="s">
        <v>315</v>
      </c>
      <c r="B123" s="147" t="s">
        <v>316</v>
      </c>
      <c r="C123" s="46" t="s">
        <v>256</v>
      </c>
      <c r="D123" s="47">
        <v>46400</v>
      </c>
      <c r="E123" s="47">
        <f>+D123</f>
        <v>46400</v>
      </c>
      <c r="F123" s="47">
        <f t="shared" ref="F123:F127" si="4">+D123-E123</f>
        <v>0</v>
      </c>
      <c r="G123" s="48"/>
    </row>
    <row r="124" spans="1:7" ht="34.200000000000003" x14ac:dyDescent="0.3">
      <c r="A124" s="94" t="s">
        <v>317</v>
      </c>
      <c r="B124" s="148" t="s">
        <v>318</v>
      </c>
      <c r="C124" s="50" t="s">
        <v>471</v>
      </c>
      <c r="D124" s="51">
        <v>5662917</v>
      </c>
      <c r="E124" s="47">
        <v>5662917</v>
      </c>
      <c r="F124" s="47">
        <f t="shared" si="4"/>
        <v>0</v>
      </c>
      <c r="G124" s="52" t="s">
        <v>472</v>
      </c>
    </row>
    <row r="125" spans="1:7" ht="34.200000000000003" x14ac:dyDescent="0.3">
      <c r="A125" s="94" t="s">
        <v>321</v>
      </c>
      <c r="B125" s="148" t="s">
        <v>322</v>
      </c>
      <c r="C125" s="50" t="s">
        <v>473</v>
      </c>
      <c r="D125" s="47">
        <v>46430</v>
      </c>
      <c r="E125" s="47">
        <f t="shared" ref="E125" si="5">+D125</f>
        <v>46430</v>
      </c>
      <c r="F125" s="47">
        <f t="shared" si="4"/>
        <v>0</v>
      </c>
      <c r="G125" s="53" t="s">
        <v>474</v>
      </c>
    </row>
    <row r="126" spans="1:7" x14ac:dyDescent="0.3">
      <c r="A126" s="57" t="s">
        <v>325</v>
      </c>
      <c r="B126" s="147" t="s">
        <v>326</v>
      </c>
      <c r="C126" s="50" t="s">
        <v>327</v>
      </c>
      <c r="D126" s="47">
        <v>0</v>
      </c>
      <c r="E126" s="47">
        <v>0</v>
      </c>
      <c r="F126" s="47">
        <f t="shared" si="4"/>
        <v>0</v>
      </c>
      <c r="G126" s="53"/>
    </row>
    <row r="127" spans="1:7" x14ac:dyDescent="0.3">
      <c r="A127" s="57" t="s">
        <v>328</v>
      </c>
      <c r="B127" s="147" t="s">
        <v>329</v>
      </c>
      <c r="C127" s="46" t="s">
        <v>330</v>
      </c>
      <c r="D127" s="47">
        <v>331410</v>
      </c>
      <c r="E127" s="47">
        <f>+D127</f>
        <v>331410</v>
      </c>
      <c r="F127" s="47">
        <f t="shared" si="4"/>
        <v>0</v>
      </c>
      <c r="G127" s="53"/>
    </row>
    <row r="128" spans="1:7" x14ac:dyDescent="0.3">
      <c r="A128" s="57"/>
      <c r="B128" s="58"/>
      <c r="C128" s="58"/>
      <c r="D128" s="59"/>
      <c r="E128" s="59"/>
      <c r="F128" s="60"/>
      <c r="G128" s="61"/>
    </row>
    <row r="129" spans="1:7" ht="36" x14ac:dyDescent="0.3">
      <c r="A129" s="67" t="s">
        <v>331</v>
      </c>
      <c r="B129" s="146" t="s">
        <v>332</v>
      </c>
      <c r="C129" s="42" t="s">
        <v>475</v>
      </c>
      <c r="D129" s="43">
        <f>SUM(D130:D133)</f>
        <v>737067</v>
      </c>
      <c r="E129" s="43">
        <f>SUM(E130:E133)</f>
        <v>737067</v>
      </c>
      <c r="F129" s="62">
        <f>+E129-D129</f>
        <v>0</v>
      </c>
      <c r="G129" s="63" t="s">
        <v>476</v>
      </c>
    </row>
    <row r="130" spans="1:7" x14ac:dyDescent="0.3">
      <c r="A130" s="57" t="s">
        <v>335</v>
      </c>
      <c r="B130" s="147" t="s">
        <v>336</v>
      </c>
      <c r="C130" s="46" t="s">
        <v>337</v>
      </c>
      <c r="D130" s="51">
        <v>30336</v>
      </c>
      <c r="E130" s="51">
        <v>30336</v>
      </c>
      <c r="F130" s="51">
        <f>+E130-D130</f>
        <v>0</v>
      </c>
      <c r="G130" s="64"/>
    </row>
    <row r="131" spans="1:7" ht="79.8" x14ac:dyDescent="0.3">
      <c r="A131" s="94" t="s">
        <v>338</v>
      </c>
      <c r="B131" s="148" t="s">
        <v>339</v>
      </c>
      <c r="C131" s="50" t="s">
        <v>327</v>
      </c>
      <c r="D131" s="47">
        <v>40185</v>
      </c>
      <c r="E131" s="47">
        <v>40185</v>
      </c>
      <c r="F131" s="51">
        <f>+E131-D131</f>
        <v>0</v>
      </c>
      <c r="G131" s="52" t="s">
        <v>477</v>
      </c>
    </row>
    <row r="132" spans="1:7" ht="22.8" x14ac:dyDescent="0.3">
      <c r="A132" s="57" t="s">
        <v>341</v>
      </c>
      <c r="B132" s="147" t="s">
        <v>342</v>
      </c>
      <c r="C132" s="46" t="s">
        <v>343</v>
      </c>
      <c r="D132" s="47">
        <v>613</v>
      </c>
      <c r="E132" s="47">
        <f>+D132</f>
        <v>613</v>
      </c>
      <c r="F132" s="47">
        <f>+E132-D132</f>
        <v>0</v>
      </c>
      <c r="G132" s="53" t="s">
        <v>478</v>
      </c>
    </row>
    <row r="133" spans="1:7" ht="22.8" x14ac:dyDescent="0.3">
      <c r="A133" s="57" t="s">
        <v>345</v>
      </c>
      <c r="B133" s="147" t="s">
        <v>346</v>
      </c>
      <c r="C133" s="46" t="s">
        <v>479</v>
      </c>
      <c r="D133" s="47">
        <v>665933</v>
      </c>
      <c r="E133" s="47">
        <f>+D133</f>
        <v>665933</v>
      </c>
      <c r="F133" s="47">
        <f>+E133-D133</f>
        <v>0</v>
      </c>
      <c r="G133" s="53" t="s">
        <v>480</v>
      </c>
    </row>
    <row r="134" spans="1:7" x14ac:dyDescent="0.3">
      <c r="A134" s="57"/>
      <c r="B134" s="58"/>
      <c r="C134" s="58"/>
      <c r="D134" s="59"/>
      <c r="E134" s="59"/>
      <c r="F134" s="60"/>
      <c r="G134" s="66"/>
    </row>
    <row r="135" spans="1:7" ht="72" x14ac:dyDescent="0.3">
      <c r="A135" s="67" t="s">
        <v>349</v>
      </c>
      <c r="B135" s="68" t="s">
        <v>350</v>
      </c>
      <c r="C135" s="42" t="s">
        <v>351</v>
      </c>
      <c r="D135" s="43">
        <v>55359</v>
      </c>
      <c r="E135" s="43">
        <v>55359</v>
      </c>
      <c r="F135" s="43">
        <f>+E135-D135</f>
        <v>0</v>
      </c>
      <c r="G135" s="63" t="s">
        <v>481</v>
      </c>
    </row>
    <row r="136" spans="1:7" ht="15" thickBot="1" x14ac:dyDescent="0.35">
      <c r="A136" s="69" t="s">
        <v>353</v>
      </c>
      <c r="B136" s="70"/>
      <c r="C136" s="71"/>
      <c r="D136" s="72">
        <f>+D122+D129+D135</f>
        <v>6879583</v>
      </c>
      <c r="E136" s="72">
        <f>+E122+E129+E135</f>
        <v>6879583</v>
      </c>
      <c r="F136" s="72">
        <f>+E136-D136</f>
        <v>0</v>
      </c>
      <c r="G136" s="73"/>
    </row>
    <row r="137" spans="1:7" ht="15" thickBot="1" x14ac:dyDescent="0.35">
      <c r="A137" s="74"/>
      <c r="B137" s="75"/>
      <c r="C137" s="76"/>
      <c r="D137" s="75"/>
      <c r="E137" s="76"/>
      <c r="F137" s="77"/>
      <c r="G137" s="78"/>
    </row>
    <row r="138" spans="1:7" ht="24" x14ac:dyDescent="0.3">
      <c r="A138" s="149" t="s">
        <v>355</v>
      </c>
      <c r="B138" s="150" t="s">
        <v>356</v>
      </c>
      <c r="C138" s="151" t="s">
        <v>357</v>
      </c>
      <c r="D138" s="81">
        <v>2863857</v>
      </c>
      <c r="E138" s="82">
        <f>+D138</f>
        <v>2863857</v>
      </c>
      <c r="F138" s="82">
        <f>+E138-D138</f>
        <v>0</v>
      </c>
      <c r="G138" s="83" t="s">
        <v>482</v>
      </c>
    </row>
    <row r="139" spans="1:7" x14ac:dyDescent="0.3">
      <c r="A139" s="57"/>
      <c r="B139" s="58"/>
      <c r="C139" s="58"/>
      <c r="D139" s="59"/>
      <c r="E139" s="59"/>
      <c r="F139" s="60"/>
      <c r="G139" s="66"/>
    </row>
    <row r="140" spans="1:7" ht="48" x14ac:dyDescent="0.3">
      <c r="A140" s="67" t="s">
        <v>359</v>
      </c>
      <c r="B140" s="68" t="s">
        <v>360</v>
      </c>
      <c r="C140" s="42" t="s">
        <v>483</v>
      </c>
      <c r="D140" s="43">
        <v>141118</v>
      </c>
      <c r="E140" s="43">
        <v>141118</v>
      </c>
      <c r="F140" s="43">
        <f>+E140-D140</f>
        <v>0</v>
      </c>
      <c r="G140" s="87" t="s">
        <v>484</v>
      </c>
    </row>
    <row r="141" spans="1:7" x14ac:dyDescent="0.3">
      <c r="A141" s="57"/>
      <c r="B141" s="58"/>
      <c r="C141" s="58"/>
      <c r="D141" s="59"/>
      <c r="E141" s="59"/>
      <c r="F141" s="60"/>
      <c r="G141" s="66"/>
    </row>
    <row r="142" spans="1:7" ht="36" x14ac:dyDescent="0.3">
      <c r="A142" s="67" t="s">
        <v>485</v>
      </c>
      <c r="B142" s="68" t="s">
        <v>364</v>
      </c>
      <c r="C142" s="42" t="s">
        <v>486</v>
      </c>
      <c r="D142" s="43">
        <f>SUM(D143:D146)</f>
        <v>2867349</v>
      </c>
      <c r="E142" s="43">
        <f>+D142</f>
        <v>2867349</v>
      </c>
      <c r="F142" s="43">
        <f>+E142-D142</f>
        <v>0</v>
      </c>
      <c r="G142" s="89" t="s">
        <v>487</v>
      </c>
    </row>
    <row r="143" spans="1:7" ht="22.8" x14ac:dyDescent="0.3">
      <c r="A143" s="57" t="s">
        <v>367</v>
      </c>
      <c r="B143" s="147" t="s">
        <v>488</v>
      </c>
      <c r="C143" s="50" t="s">
        <v>369</v>
      </c>
      <c r="D143" s="47">
        <v>2770276</v>
      </c>
      <c r="E143" s="47">
        <f>+D143</f>
        <v>2770276</v>
      </c>
      <c r="F143" s="47">
        <f>+E143-D143</f>
        <v>0</v>
      </c>
      <c r="G143" s="53" t="s">
        <v>489</v>
      </c>
    </row>
    <row r="144" spans="1:7" x14ac:dyDescent="0.3">
      <c r="A144" s="57" t="s">
        <v>490</v>
      </c>
      <c r="B144" s="147" t="s">
        <v>491</v>
      </c>
      <c r="C144" s="46" t="s">
        <v>385</v>
      </c>
      <c r="D144" s="47">
        <v>0</v>
      </c>
      <c r="E144" s="47">
        <v>0</v>
      </c>
      <c r="F144" s="47">
        <f>+E144-D144</f>
        <v>0</v>
      </c>
      <c r="G144" s="152"/>
    </row>
    <row r="145" spans="1:7" ht="68.400000000000006" x14ac:dyDescent="0.3">
      <c r="A145" s="94" t="s">
        <v>492</v>
      </c>
      <c r="B145" s="147" t="s">
        <v>372</v>
      </c>
      <c r="C145" s="50" t="s">
        <v>373</v>
      </c>
      <c r="D145" s="51">
        <v>38781</v>
      </c>
      <c r="E145" s="51">
        <v>38781</v>
      </c>
      <c r="F145" s="47">
        <f>+E145-D145</f>
        <v>0</v>
      </c>
      <c r="G145" s="90" t="s">
        <v>493</v>
      </c>
    </row>
    <row r="146" spans="1:7" x14ac:dyDescent="0.3">
      <c r="A146" s="57" t="s">
        <v>494</v>
      </c>
      <c r="B146" s="147" t="s">
        <v>376</v>
      </c>
      <c r="C146" s="46" t="s">
        <v>330</v>
      </c>
      <c r="D146" s="51">
        <v>58292</v>
      </c>
      <c r="E146" s="51">
        <f>+D146</f>
        <v>58292</v>
      </c>
      <c r="F146" s="51">
        <f>+E146-D146</f>
        <v>0</v>
      </c>
      <c r="G146" s="91"/>
    </row>
    <row r="147" spans="1:7" x14ac:dyDescent="0.3">
      <c r="A147" s="57"/>
      <c r="B147" s="58"/>
      <c r="C147" s="58"/>
      <c r="D147" s="59"/>
      <c r="E147" s="59"/>
      <c r="F147" s="60"/>
      <c r="G147" s="66"/>
    </row>
    <row r="148" spans="1:7" ht="36" x14ac:dyDescent="0.3">
      <c r="A148" s="67" t="s">
        <v>495</v>
      </c>
      <c r="B148" s="68" t="s">
        <v>378</v>
      </c>
      <c r="C148" s="42" t="s">
        <v>496</v>
      </c>
      <c r="D148" s="43">
        <f>SUM(D149:D155)</f>
        <v>934438</v>
      </c>
      <c r="E148" s="43">
        <f>SUM(E149:E155)</f>
        <v>934438</v>
      </c>
      <c r="F148" s="43">
        <f t="shared" ref="F148:F154" si="6">+E148-D148</f>
        <v>0</v>
      </c>
      <c r="G148" s="89" t="s">
        <v>497</v>
      </c>
    </row>
    <row r="149" spans="1:7" ht="34.200000000000003" x14ac:dyDescent="0.3">
      <c r="A149" s="94" t="s">
        <v>367</v>
      </c>
      <c r="B149" s="147" t="s">
        <v>498</v>
      </c>
      <c r="C149" s="46" t="s">
        <v>369</v>
      </c>
      <c r="D149" s="47">
        <v>738366</v>
      </c>
      <c r="E149" s="47">
        <f>+D149</f>
        <v>738366</v>
      </c>
      <c r="F149" s="47">
        <f>+E149-D149</f>
        <v>0</v>
      </c>
      <c r="G149" s="53" t="s">
        <v>499</v>
      </c>
    </row>
    <row r="150" spans="1:7" ht="91.2" x14ac:dyDescent="0.3">
      <c r="A150" s="94" t="s">
        <v>383</v>
      </c>
      <c r="B150" s="148" t="s">
        <v>384</v>
      </c>
      <c r="C150" s="50" t="s">
        <v>385</v>
      </c>
      <c r="D150" s="47">
        <v>69609</v>
      </c>
      <c r="E150" s="47">
        <f>+D150</f>
        <v>69609</v>
      </c>
      <c r="F150" s="47">
        <f>+D150-E150</f>
        <v>0</v>
      </c>
      <c r="G150" s="53" t="s">
        <v>500</v>
      </c>
    </row>
    <row r="151" spans="1:7" ht="102.6" x14ac:dyDescent="0.3">
      <c r="A151" s="94" t="s">
        <v>501</v>
      </c>
      <c r="B151" s="148" t="s">
        <v>502</v>
      </c>
      <c r="C151" s="50" t="s">
        <v>385</v>
      </c>
      <c r="D151" s="47">
        <v>61809</v>
      </c>
      <c r="E151" s="47">
        <v>61809</v>
      </c>
      <c r="F151" s="47">
        <f t="shared" si="6"/>
        <v>0</v>
      </c>
      <c r="G151" s="53" t="s">
        <v>503</v>
      </c>
    </row>
    <row r="152" spans="1:7" ht="22.8" x14ac:dyDescent="0.3">
      <c r="A152" s="92" t="s">
        <v>504</v>
      </c>
      <c r="B152" s="50" t="s">
        <v>505</v>
      </c>
      <c r="C152" s="50" t="s">
        <v>385</v>
      </c>
      <c r="D152" s="47">
        <v>6625</v>
      </c>
      <c r="E152" s="47">
        <f>+D152</f>
        <v>6625</v>
      </c>
      <c r="F152" s="51">
        <f>+D152-E152</f>
        <v>0</v>
      </c>
      <c r="G152" s="53" t="s">
        <v>506</v>
      </c>
    </row>
    <row r="153" spans="1:7" ht="91.2" x14ac:dyDescent="0.3">
      <c r="A153" s="153" t="s">
        <v>507</v>
      </c>
      <c r="B153" s="148" t="s">
        <v>391</v>
      </c>
      <c r="C153" s="50" t="s">
        <v>385</v>
      </c>
      <c r="D153" s="47">
        <v>19187</v>
      </c>
      <c r="E153" s="47">
        <f>+D153</f>
        <v>19187</v>
      </c>
      <c r="F153" s="47">
        <f t="shared" si="6"/>
        <v>0</v>
      </c>
      <c r="G153" s="53" t="s">
        <v>508</v>
      </c>
    </row>
    <row r="154" spans="1:7" ht="102.6" x14ac:dyDescent="0.3">
      <c r="A154" s="94" t="s">
        <v>509</v>
      </c>
      <c r="B154" s="148" t="s">
        <v>394</v>
      </c>
      <c r="C154" s="50" t="s">
        <v>385</v>
      </c>
      <c r="D154" s="51">
        <v>6130</v>
      </c>
      <c r="E154" s="51">
        <f>+D154</f>
        <v>6130</v>
      </c>
      <c r="F154" s="51">
        <f t="shared" si="6"/>
        <v>0</v>
      </c>
      <c r="G154" s="93" t="s">
        <v>510</v>
      </c>
    </row>
    <row r="155" spans="1:7" ht="148.19999999999999" x14ac:dyDescent="0.3">
      <c r="A155" s="94" t="s">
        <v>511</v>
      </c>
      <c r="B155" s="148" t="s">
        <v>512</v>
      </c>
      <c r="C155" s="50" t="s">
        <v>398</v>
      </c>
      <c r="D155" s="47">
        <f>389+32323</f>
        <v>32712</v>
      </c>
      <c r="E155" s="47">
        <v>32712</v>
      </c>
      <c r="F155" s="51">
        <f>+E155-D155</f>
        <v>0</v>
      </c>
      <c r="G155" s="124" t="s">
        <v>513</v>
      </c>
    </row>
    <row r="156" spans="1:7" x14ac:dyDescent="0.3">
      <c r="A156" s="57"/>
      <c r="B156" s="58"/>
      <c r="C156" s="58"/>
      <c r="D156" s="59"/>
      <c r="E156" s="59"/>
      <c r="F156" s="60"/>
      <c r="G156" s="66"/>
    </row>
    <row r="157" spans="1:7" ht="168" x14ac:dyDescent="0.3">
      <c r="A157" s="67" t="s">
        <v>400</v>
      </c>
      <c r="B157" s="68" t="s">
        <v>401</v>
      </c>
      <c r="C157" s="42" t="s">
        <v>402</v>
      </c>
      <c r="D157" s="43">
        <v>72821</v>
      </c>
      <c r="E157" s="43">
        <v>72821</v>
      </c>
      <c r="F157" s="43">
        <f>+E157-D157</f>
        <v>0</v>
      </c>
      <c r="G157" s="89" t="s">
        <v>514</v>
      </c>
    </row>
    <row r="158" spans="1:7" ht="15" thickBot="1" x14ac:dyDescent="0.35">
      <c r="A158" s="154" t="s">
        <v>404</v>
      </c>
      <c r="B158" s="155"/>
      <c r="C158" s="98"/>
      <c r="D158" s="99">
        <f>+D138+D140+D142+D148+D157</f>
        <v>6879583</v>
      </c>
      <c r="E158" s="99">
        <f>+E138+E140+E142+E148+E157</f>
        <v>6879583</v>
      </c>
      <c r="F158" s="99">
        <f>+E158-D158</f>
        <v>0</v>
      </c>
      <c r="G158" s="100"/>
    </row>
    <row r="159" spans="1:7" x14ac:dyDescent="0.3">
      <c r="A159" s="101"/>
      <c r="B159" s="101"/>
      <c r="C159" s="101"/>
      <c r="D159" s="101"/>
      <c r="E159" s="101"/>
      <c r="F159" s="101"/>
      <c r="G159" s="101"/>
    </row>
    <row r="160" spans="1:7" x14ac:dyDescent="0.3">
      <c r="A160" s="101"/>
      <c r="B160" s="101"/>
      <c r="C160" s="101"/>
      <c r="D160" s="101"/>
      <c r="E160" s="101"/>
      <c r="F160" s="101"/>
      <c r="G160" s="101"/>
    </row>
    <row r="161" spans="1:7" ht="15.6" x14ac:dyDescent="0.3">
      <c r="A161" s="30" t="s">
        <v>515</v>
      </c>
      <c r="B161" s="103"/>
      <c r="C161" s="104"/>
      <c r="D161" s="105"/>
      <c r="E161" s="105"/>
      <c r="F161" s="32"/>
      <c r="G161" s="32"/>
    </row>
    <row r="162" spans="1:7" x14ac:dyDescent="0.3">
      <c r="A162" s="34"/>
      <c r="B162" s="103"/>
      <c r="C162" s="104"/>
      <c r="D162" s="105"/>
      <c r="E162" s="32"/>
      <c r="F162" s="32"/>
      <c r="G162" s="32"/>
    </row>
    <row r="163" spans="1:7" x14ac:dyDescent="0.3">
      <c r="A163" s="504" t="s">
        <v>304</v>
      </c>
      <c r="B163" s="504"/>
      <c r="C163" s="504"/>
      <c r="D163" s="504"/>
      <c r="E163" s="504"/>
      <c r="F163" s="504"/>
      <c r="G163" s="504"/>
    </row>
    <row r="164" spans="1:7" ht="15" thickBot="1" x14ac:dyDescent="0.35">
      <c r="A164" s="156"/>
      <c r="B164" s="157"/>
      <c r="C164" s="158"/>
      <c r="D164" s="159"/>
      <c r="E164" s="159"/>
      <c r="F164" s="160"/>
      <c r="G164" s="161"/>
    </row>
    <row r="165" spans="1:7" ht="36.6" thickBot="1" x14ac:dyDescent="0.35">
      <c r="A165" s="162" t="s">
        <v>516</v>
      </c>
      <c r="B165" s="163" t="s">
        <v>408</v>
      </c>
      <c r="C165" s="37" t="s">
        <v>409</v>
      </c>
      <c r="D165" s="37" t="s">
        <v>308</v>
      </c>
      <c r="E165" s="37" t="s">
        <v>309</v>
      </c>
      <c r="F165" s="164" t="s">
        <v>310</v>
      </c>
      <c r="G165" s="165" t="s">
        <v>311</v>
      </c>
    </row>
    <row r="166" spans="1:7" x14ac:dyDescent="0.3">
      <c r="A166" s="166" t="s">
        <v>410</v>
      </c>
      <c r="B166" s="117" t="s">
        <v>411</v>
      </c>
      <c r="C166" s="118"/>
      <c r="D166" s="119">
        <f>+D167+D168</f>
        <v>675611</v>
      </c>
      <c r="E166" s="119">
        <f>+E167+E168</f>
        <v>675611</v>
      </c>
      <c r="F166" s="119">
        <f>+E166-D166</f>
        <v>0</v>
      </c>
      <c r="G166" s="167"/>
    </row>
    <row r="167" spans="1:7" ht="22.8" x14ac:dyDescent="0.3">
      <c r="A167" s="49" t="s">
        <v>412</v>
      </c>
      <c r="B167" s="50" t="s">
        <v>413</v>
      </c>
      <c r="C167" s="50" t="s">
        <v>245</v>
      </c>
      <c r="D167" s="47">
        <v>642479</v>
      </c>
      <c r="E167" s="47">
        <f>+D167</f>
        <v>642479</v>
      </c>
      <c r="F167" s="47">
        <f>+E167-D167</f>
        <v>0</v>
      </c>
      <c r="G167" s="168"/>
    </row>
    <row r="168" spans="1:7" ht="136.80000000000001" x14ac:dyDescent="0.3">
      <c r="A168" s="49" t="s">
        <v>414</v>
      </c>
      <c r="B168" s="50" t="s">
        <v>415</v>
      </c>
      <c r="C168" s="50" t="s">
        <v>416</v>
      </c>
      <c r="D168" s="51">
        <v>33132</v>
      </c>
      <c r="E168" s="51">
        <v>33132</v>
      </c>
      <c r="F168" s="51">
        <f>+E168-D168</f>
        <v>0</v>
      </c>
      <c r="G168" s="169" t="s">
        <v>517</v>
      </c>
    </row>
    <row r="169" spans="1:7" x14ac:dyDescent="0.3">
      <c r="A169" s="170"/>
      <c r="B169" s="58"/>
      <c r="C169" s="121"/>
      <c r="D169" s="59"/>
      <c r="E169" s="59"/>
      <c r="F169" s="60"/>
      <c r="G169" s="171"/>
    </row>
    <row r="170" spans="1:7" ht="48" x14ac:dyDescent="0.3">
      <c r="A170" s="123" t="s">
        <v>418</v>
      </c>
      <c r="B170" s="41" t="s">
        <v>419</v>
      </c>
      <c r="C170" s="42"/>
      <c r="D170" s="43">
        <f>SUM(D171:D177)</f>
        <v>1070376</v>
      </c>
      <c r="E170" s="43">
        <f>SUM(E171:E177)</f>
        <v>1070376</v>
      </c>
      <c r="F170" s="43">
        <f t="shared" ref="F170:F176" si="7">+E170-D170</f>
        <v>0</v>
      </c>
      <c r="G170" s="172" t="s">
        <v>518</v>
      </c>
    </row>
    <row r="171" spans="1:7" ht="22.8" x14ac:dyDescent="0.3">
      <c r="A171" s="84" t="s">
        <v>421</v>
      </c>
      <c r="B171" s="50" t="s">
        <v>422</v>
      </c>
      <c r="C171" s="50" t="s">
        <v>247</v>
      </c>
      <c r="D171" s="51">
        <v>254644</v>
      </c>
      <c r="E171" s="51">
        <v>254644</v>
      </c>
      <c r="F171" s="51">
        <f>+D171-E171</f>
        <v>0</v>
      </c>
      <c r="G171" s="169" t="s">
        <v>519</v>
      </c>
    </row>
    <row r="172" spans="1:7" ht="57" x14ac:dyDescent="0.3">
      <c r="A172" s="92" t="s">
        <v>424</v>
      </c>
      <c r="B172" s="46" t="s">
        <v>425</v>
      </c>
      <c r="C172" s="50" t="s">
        <v>426</v>
      </c>
      <c r="D172" s="47">
        <v>189951</v>
      </c>
      <c r="E172" s="47">
        <v>189951</v>
      </c>
      <c r="F172" s="47">
        <f>+D172-E172</f>
        <v>0</v>
      </c>
      <c r="G172" s="90" t="s">
        <v>520</v>
      </c>
    </row>
    <row r="173" spans="1:7" x14ac:dyDescent="0.3">
      <c r="A173" s="92" t="s">
        <v>428</v>
      </c>
      <c r="B173" s="46" t="s">
        <v>429</v>
      </c>
      <c r="C173" s="50" t="s">
        <v>430</v>
      </c>
      <c r="D173" s="47">
        <v>496444</v>
      </c>
      <c r="E173" s="47">
        <f>+D173</f>
        <v>496444</v>
      </c>
      <c r="F173" s="47">
        <f t="shared" si="7"/>
        <v>0</v>
      </c>
      <c r="G173" s="169"/>
    </row>
    <row r="174" spans="1:7" ht="114" x14ac:dyDescent="0.3">
      <c r="A174" s="92" t="s">
        <v>431</v>
      </c>
      <c r="B174" s="46" t="s">
        <v>432</v>
      </c>
      <c r="C174" s="50" t="s">
        <v>433</v>
      </c>
      <c r="D174" s="47">
        <v>89098</v>
      </c>
      <c r="E174" s="51">
        <f>+D174</f>
        <v>89098</v>
      </c>
      <c r="F174" s="47">
        <f>+E174-D174</f>
        <v>0</v>
      </c>
      <c r="G174" s="90" t="s">
        <v>521</v>
      </c>
    </row>
    <row r="175" spans="1:7" ht="57" x14ac:dyDescent="0.3">
      <c r="A175" s="84" t="s">
        <v>435</v>
      </c>
      <c r="B175" s="46" t="s">
        <v>436</v>
      </c>
      <c r="C175" s="50" t="s">
        <v>437</v>
      </c>
      <c r="D175" s="47">
        <v>1510</v>
      </c>
      <c r="E175" s="47">
        <f>+D175</f>
        <v>1510</v>
      </c>
      <c r="F175" s="47">
        <f t="shared" si="7"/>
        <v>0</v>
      </c>
      <c r="G175" s="90" t="s">
        <v>522</v>
      </c>
    </row>
    <row r="176" spans="1:7" ht="91.2" x14ac:dyDescent="0.3">
      <c r="A176" s="92" t="s">
        <v>439</v>
      </c>
      <c r="B176" s="46" t="s">
        <v>440</v>
      </c>
      <c r="C176" s="50" t="s">
        <v>433</v>
      </c>
      <c r="D176" s="47">
        <v>28714</v>
      </c>
      <c r="E176" s="47">
        <v>28714</v>
      </c>
      <c r="F176" s="47">
        <f t="shared" si="7"/>
        <v>0</v>
      </c>
      <c r="G176" s="90" t="s">
        <v>523</v>
      </c>
    </row>
    <row r="177" spans="1:7" ht="57" x14ac:dyDescent="0.3">
      <c r="A177" s="84" t="s">
        <v>442</v>
      </c>
      <c r="B177" s="46" t="s">
        <v>443</v>
      </c>
      <c r="C177" s="50" t="s">
        <v>437</v>
      </c>
      <c r="D177" s="47">
        <v>10015</v>
      </c>
      <c r="E177" s="47">
        <f>+D177</f>
        <v>10015</v>
      </c>
      <c r="F177" s="47">
        <f>+E177-D177</f>
        <v>0</v>
      </c>
      <c r="G177" s="90" t="s">
        <v>524</v>
      </c>
    </row>
    <row r="178" spans="1:7" x14ac:dyDescent="0.3">
      <c r="A178" s="170"/>
      <c r="B178" s="58"/>
      <c r="C178" s="121"/>
      <c r="D178" s="59"/>
      <c r="E178" s="59"/>
      <c r="F178" s="60"/>
      <c r="G178" s="171"/>
    </row>
    <row r="179" spans="1:7" ht="72" x14ac:dyDescent="0.3">
      <c r="A179" s="123" t="s">
        <v>445</v>
      </c>
      <c r="B179" s="41" t="s">
        <v>446</v>
      </c>
      <c r="C179" s="42" t="s">
        <v>525</v>
      </c>
      <c r="D179" s="43">
        <v>21291</v>
      </c>
      <c r="E179" s="43">
        <f>+D179</f>
        <v>21291</v>
      </c>
      <c r="F179" s="43">
        <f>+E179-D179</f>
        <v>0</v>
      </c>
      <c r="G179" s="172" t="s">
        <v>526</v>
      </c>
    </row>
    <row r="180" spans="1:7" x14ac:dyDescent="0.3">
      <c r="A180" s="88"/>
      <c r="B180" s="58"/>
      <c r="C180" s="121"/>
      <c r="D180" s="59"/>
      <c r="E180" s="59"/>
      <c r="F180" s="59"/>
      <c r="G180" s="171"/>
    </row>
    <row r="181" spans="1:7" ht="72" x14ac:dyDescent="0.3">
      <c r="A181" s="123" t="s">
        <v>448</v>
      </c>
      <c r="B181" s="41" t="s">
        <v>449</v>
      </c>
      <c r="C181" s="42" t="s">
        <v>525</v>
      </c>
      <c r="D181" s="43">
        <v>125932</v>
      </c>
      <c r="E181" s="43">
        <f>+D181</f>
        <v>125932</v>
      </c>
      <c r="F181" s="43">
        <f t="shared" ref="F181" si="8">+E181-D181</f>
        <v>0</v>
      </c>
      <c r="G181" s="172" t="s">
        <v>527</v>
      </c>
    </row>
    <row r="182" spans="1:7" x14ac:dyDescent="0.3">
      <c r="A182" s="170"/>
      <c r="B182" s="58"/>
      <c r="C182" s="121"/>
      <c r="D182" s="59"/>
      <c r="E182" s="59"/>
      <c r="F182" s="60"/>
      <c r="G182" s="171"/>
    </row>
    <row r="183" spans="1:7" ht="24" x14ac:dyDescent="0.3">
      <c r="A183" s="86" t="s">
        <v>455</v>
      </c>
      <c r="B183" s="41" t="s">
        <v>456</v>
      </c>
      <c r="C183" s="42" t="s">
        <v>453</v>
      </c>
      <c r="D183" s="43">
        <v>1644</v>
      </c>
      <c r="E183" s="43">
        <f>+D183</f>
        <v>1644</v>
      </c>
      <c r="F183" s="43">
        <f>+E183-D183</f>
        <v>0</v>
      </c>
      <c r="G183" s="172" t="s">
        <v>528</v>
      </c>
    </row>
    <row r="184" spans="1:7" x14ac:dyDescent="0.3">
      <c r="A184" s="88"/>
      <c r="B184" s="58"/>
      <c r="C184" s="121"/>
      <c r="D184" s="173"/>
      <c r="E184" s="173"/>
      <c r="F184" s="134"/>
      <c r="G184" s="174"/>
    </row>
    <row r="185" spans="1:7" x14ac:dyDescent="0.3">
      <c r="A185" s="123" t="s">
        <v>458</v>
      </c>
      <c r="B185" s="41" t="s">
        <v>342</v>
      </c>
      <c r="C185" s="42"/>
      <c r="D185" s="43">
        <f>+D179+D166</f>
        <v>696902</v>
      </c>
      <c r="E185" s="43">
        <f>+E179+E166</f>
        <v>696902</v>
      </c>
      <c r="F185" s="43">
        <f>+D185-E185</f>
        <v>0</v>
      </c>
      <c r="G185" s="175"/>
    </row>
    <row r="186" spans="1:7" x14ac:dyDescent="0.3">
      <c r="A186" s="132"/>
      <c r="B186" s="58"/>
      <c r="C186" s="121"/>
      <c r="D186" s="173"/>
      <c r="E186" s="173"/>
      <c r="F186" s="134"/>
      <c r="G186" s="174"/>
    </row>
    <row r="187" spans="1:7" x14ac:dyDescent="0.3">
      <c r="A187" s="123" t="s">
        <v>459</v>
      </c>
      <c r="B187" s="41" t="s">
        <v>460</v>
      </c>
      <c r="C187" s="42"/>
      <c r="D187" s="43">
        <f>+D181+D170+D183</f>
        <v>1197952</v>
      </c>
      <c r="E187" s="43">
        <f>+E181+E170+E183</f>
        <v>1197952</v>
      </c>
      <c r="F187" s="43">
        <f>+E187-D187</f>
        <v>0</v>
      </c>
      <c r="G187" s="175"/>
    </row>
    <row r="188" spans="1:7" x14ac:dyDescent="0.3">
      <c r="A188" s="88"/>
      <c r="B188" s="58"/>
      <c r="C188" s="121"/>
      <c r="D188" s="59"/>
      <c r="E188" s="59"/>
      <c r="F188" s="60"/>
      <c r="G188" s="171"/>
    </row>
    <row r="189" spans="1:7" x14ac:dyDescent="0.3">
      <c r="A189" s="123" t="s">
        <v>461</v>
      </c>
      <c r="B189" s="41" t="s">
        <v>462</v>
      </c>
      <c r="C189" s="42"/>
      <c r="D189" s="43">
        <f>+D185-D187</f>
        <v>-501050</v>
      </c>
      <c r="E189" s="43">
        <f>+E185-E187</f>
        <v>-501050</v>
      </c>
      <c r="F189" s="43">
        <f>+E189-D189</f>
        <v>0</v>
      </c>
      <c r="G189" s="176"/>
    </row>
    <row r="190" spans="1:7" x14ac:dyDescent="0.3">
      <c r="A190" s="88"/>
      <c r="B190" s="58"/>
      <c r="C190" s="121"/>
      <c r="D190" s="59"/>
      <c r="E190" s="59"/>
      <c r="F190" s="60"/>
      <c r="G190" s="171"/>
    </row>
    <row r="191" spans="1:7" x14ac:dyDescent="0.3">
      <c r="A191" s="123" t="s">
        <v>463</v>
      </c>
      <c r="B191" s="41" t="s">
        <v>464</v>
      </c>
      <c r="C191" s="42"/>
      <c r="D191" s="43">
        <v>-142243</v>
      </c>
      <c r="E191" s="43">
        <f>+D191</f>
        <v>-142243</v>
      </c>
      <c r="F191" s="43">
        <f>+E191-D191</f>
        <v>0</v>
      </c>
      <c r="G191" s="176"/>
    </row>
    <row r="192" spans="1:7" x14ac:dyDescent="0.3">
      <c r="A192" s="88"/>
      <c r="B192" s="58"/>
      <c r="C192" s="121"/>
      <c r="D192" s="59"/>
      <c r="E192" s="59"/>
      <c r="F192" s="60"/>
      <c r="G192" s="171"/>
    </row>
    <row r="193" spans="1:7" ht="15" thickBot="1" x14ac:dyDescent="0.35">
      <c r="A193" s="138" t="s">
        <v>465</v>
      </c>
      <c r="B193" s="139" t="s">
        <v>466</v>
      </c>
      <c r="C193" s="177"/>
      <c r="D193" s="178">
        <f>+D189-D191+1</f>
        <v>-358806</v>
      </c>
      <c r="E193" s="178">
        <f>+E189-E191+1</f>
        <v>-358806</v>
      </c>
      <c r="F193" s="178">
        <f>+E193-D193</f>
        <v>0</v>
      </c>
      <c r="G193" s="179"/>
    </row>
    <row r="194" spans="1:7" x14ac:dyDescent="0.3">
      <c r="A194" s="101"/>
      <c r="B194" s="101"/>
      <c r="C194" s="101"/>
      <c r="D194" s="101"/>
      <c r="E194" s="101"/>
      <c r="F194" s="101"/>
      <c r="G194" s="101"/>
    </row>
    <row r="195" spans="1:7" x14ac:dyDescent="0.3">
      <c r="A195" s="101"/>
      <c r="B195" s="101"/>
      <c r="C195" s="101"/>
      <c r="D195" s="101"/>
      <c r="E195" s="101"/>
      <c r="F195" s="101"/>
      <c r="G195" s="101"/>
    </row>
    <row r="196" spans="1:7" x14ac:dyDescent="0.3">
      <c r="A196" s="101"/>
      <c r="B196" s="101"/>
      <c r="C196" s="101"/>
      <c r="D196" s="101"/>
      <c r="E196" s="101"/>
      <c r="F196" s="101"/>
      <c r="G196" s="101"/>
    </row>
    <row r="197" spans="1:7" ht="15.6" x14ac:dyDescent="0.3">
      <c r="A197" s="505" t="s">
        <v>529</v>
      </c>
      <c r="B197" s="505"/>
      <c r="C197" s="505"/>
      <c r="D197" s="505"/>
      <c r="E197" s="505"/>
      <c r="F197" s="505"/>
      <c r="G197" s="505"/>
    </row>
    <row r="198" spans="1:7" x14ac:dyDescent="0.3">
      <c r="A198" s="101"/>
      <c r="B198" s="101"/>
      <c r="C198" s="101"/>
      <c r="D198" s="101"/>
      <c r="E198" s="101"/>
      <c r="F198" s="101"/>
      <c r="G198" s="101"/>
    </row>
    <row r="199" spans="1:7" x14ac:dyDescent="0.3">
      <c r="A199" s="504" t="s">
        <v>304</v>
      </c>
      <c r="B199" s="504"/>
      <c r="C199" s="504"/>
      <c r="D199" s="504"/>
      <c r="E199" s="504"/>
      <c r="F199" s="504"/>
      <c r="G199" s="504"/>
    </row>
    <row r="200" spans="1:7" ht="15" thickBot="1" x14ac:dyDescent="0.35">
      <c r="A200" s="101"/>
      <c r="B200" s="101"/>
      <c r="C200" s="101"/>
      <c r="D200" s="101"/>
      <c r="E200" s="101"/>
      <c r="F200" s="101"/>
      <c r="G200" s="101"/>
    </row>
    <row r="201" spans="1:7" ht="48.6" thickBot="1" x14ac:dyDescent="0.35">
      <c r="A201" s="180" t="s">
        <v>530</v>
      </c>
      <c r="B201" s="37" t="s">
        <v>306</v>
      </c>
      <c r="C201" s="37" t="s">
        <v>307</v>
      </c>
      <c r="D201" s="37" t="s">
        <v>308</v>
      </c>
      <c r="E201" s="37" t="s">
        <v>309</v>
      </c>
      <c r="F201" s="37" t="s">
        <v>310</v>
      </c>
      <c r="G201" s="181" t="s">
        <v>311</v>
      </c>
    </row>
    <row r="202" spans="1:7" ht="36" x14ac:dyDescent="0.3">
      <c r="A202" s="182" t="s">
        <v>531</v>
      </c>
      <c r="B202" s="146" t="s">
        <v>322</v>
      </c>
      <c r="C202" s="41"/>
      <c r="D202" s="43">
        <v>610039</v>
      </c>
      <c r="E202" s="43">
        <f>680682-70643</f>
        <v>610039</v>
      </c>
      <c r="F202" s="43">
        <f>+D202-E202</f>
        <v>0</v>
      </c>
      <c r="G202" s="183" t="s">
        <v>532</v>
      </c>
    </row>
    <row r="204" spans="1:7" ht="24" x14ac:dyDescent="0.3">
      <c r="A204" s="182" t="s">
        <v>533</v>
      </c>
      <c r="B204" s="146" t="s">
        <v>534</v>
      </c>
      <c r="C204" s="41"/>
      <c r="D204" s="43">
        <f>-157172-1</f>
        <v>-157173</v>
      </c>
      <c r="E204" s="43">
        <f>+D204</f>
        <v>-157173</v>
      </c>
      <c r="F204" s="43">
        <f>+D204-E204</f>
        <v>0</v>
      </c>
      <c r="G204" s="172" t="s">
        <v>535</v>
      </c>
    </row>
    <row r="206" spans="1:7" ht="36" x14ac:dyDescent="0.3">
      <c r="A206" s="182" t="s">
        <v>536</v>
      </c>
      <c r="B206" s="146" t="s">
        <v>339</v>
      </c>
      <c r="C206" s="41"/>
      <c r="D206" s="43">
        <v>-3541</v>
      </c>
      <c r="E206" s="43">
        <f>-74184+70643</f>
        <v>-3541</v>
      </c>
      <c r="F206" s="43">
        <f>+D206-E206</f>
        <v>0</v>
      </c>
      <c r="G206" s="172" t="s">
        <v>537</v>
      </c>
    </row>
    <row r="208" spans="1:7" ht="24" x14ac:dyDescent="0.3">
      <c r="A208" s="182" t="s">
        <v>538</v>
      </c>
      <c r="B208" s="146" t="s">
        <v>539</v>
      </c>
      <c r="C208" s="41"/>
      <c r="D208" s="43">
        <f>+D202+D204+D206</f>
        <v>449325</v>
      </c>
      <c r="E208" s="43">
        <f>+E202+E204+E206</f>
        <v>449325</v>
      </c>
      <c r="F208" s="43">
        <f>+D208-E208</f>
        <v>0</v>
      </c>
      <c r="G208" s="176"/>
    </row>
    <row r="210" spans="1:7" ht="24" x14ac:dyDescent="0.3">
      <c r="A210" s="182" t="s">
        <v>217</v>
      </c>
      <c r="B210" s="146" t="s">
        <v>452</v>
      </c>
      <c r="C210" s="41"/>
      <c r="D210" s="43">
        <v>665933</v>
      </c>
      <c r="E210" s="43">
        <f>+D210</f>
        <v>665933</v>
      </c>
      <c r="F210" s="43">
        <f>+D210-E210</f>
        <v>0</v>
      </c>
      <c r="G210" s="176"/>
    </row>
    <row r="212" spans="1:7" ht="37.5" customHeight="1" thickBot="1" x14ac:dyDescent="0.35">
      <c r="A212" s="184" t="s">
        <v>540</v>
      </c>
      <c r="B212" s="139" t="s">
        <v>541</v>
      </c>
      <c r="C212" s="139"/>
      <c r="D212" s="141">
        <f>+D208+D210</f>
        <v>1115258</v>
      </c>
      <c r="E212" s="141">
        <f>+E208+E210</f>
        <v>1115258</v>
      </c>
      <c r="F212" s="141">
        <f>+D212-E212</f>
        <v>0</v>
      </c>
      <c r="G212" s="179"/>
    </row>
    <row r="213" spans="1:7" x14ac:dyDescent="0.3">
      <c r="A213" s="101"/>
      <c r="B213" s="101"/>
      <c r="C213" s="101"/>
      <c r="D213" s="101"/>
      <c r="E213" s="101"/>
      <c r="F213" s="101"/>
      <c r="G213" s="101"/>
    </row>
    <row r="214" spans="1:7" x14ac:dyDescent="0.3">
      <c r="A214" s="101"/>
      <c r="B214" s="101"/>
      <c r="C214" s="101"/>
      <c r="D214" s="101"/>
      <c r="E214" s="101"/>
      <c r="F214" s="102"/>
      <c r="G214" s="101"/>
    </row>
    <row r="215" spans="1:7" x14ac:dyDescent="0.3">
      <c r="A215" s="101"/>
      <c r="B215" s="101"/>
      <c r="C215" s="101"/>
      <c r="D215" s="101"/>
      <c r="E215" s="101"/>
      <c r="F215" s="101"/>
      <c r="G215" s="101"/>
    </row>
    <row r="216" spans="1:7" ht="15.6" x14ac:dyDescent="0.3">
      <c r="A216" s="505" t="s">
        <v>542</v>
      </c>
      <c r="B216" s="505"/>
      <c r="C216" s="505"/>
      <c r="D216" s="505"/>
      <c r="E216" s="505"/>
      <c r="F216" s="505"/>
      <c r="G216" s="505"/>
    </row>
    <row r="217" spans="1:7" x14ac:dyDescent="0.3">
      <c r="A217" s="101"/>
      <c r="B217" s="101"/>
      <c r="C217" s="101"/>
      <c r="D217" s="101"/>
      <c r="E217" s="101"/>
      <c r="F217" s="101"/>
      <c r="G217" s="101"/>
    </row>
    <row r="218" spans="1:7" x14ac:dyDescent="0.3">
      <c r="A218" s="504" t="s">
        <v>304</v>
      </c>
      <c r="B218" s="504"/>
      <c r="C218" s="504"/>
      <c r="D218" s="504"/>
      <c r="E218" s="504"/>
      <c r="F218" s="504"/>
      <c r="G218" s="504"/>
    </row>
    <row r="219" spans="1:7" ht="15" thickBot="1" x14ac:dyDescent="0.35">
      <c r="A219" s="101"/>
      <c r="B219" s="101"/>
      <c r="C219" s="101"/>
      <c r="D219" s="101"/>
      <c r="E219" s="101"/>
      <c r="F219" s="101"/>
      <c r="G219" s="101"/>
    </row>
    <row r="220" spans="1:7" ht="48.6" thickBot="1" x14ac:dyDescent="0.35">
      <c r="A220" s="180" t="s">
        <v>543</v>
      </c>
      <c r="B220" s="37" t="s">
        <v>306</v>
      </c>
      <c r="C220" s="37" t="s">
        <v>307</v>
      </c>
      <c r="D220" s="37" t="s">
        <v>308</v>
      </c>
      <c r="E220" s="37" t="s">
        <v>309</v>
      </c>
      <c r="F220" s="37" t="s">
        <v>310</v>
      </c>
      <c r="G220" s="181" t="s">
        <v>311</v>
      </c>
    </row>
    <row r="221" spans="1:7" ht="36" x14ac:dyDescent="0.3">
      <c r="A221" s="182" t="s">
        <v>531</v>
      </c>
      <c r="B221" s="146" t="s">
        <v>322</v>
      </c>
      <c r="C221" s="41"/>
      <c r="D221" s="43">
        <v>-37477</v>
      </c>
      <c r="E221" s="43">
        <f>+D221</f>
        <v>-37477</v>
      </c>
      <c r="F221" s="43">
        <f>+E221-D221</f>
        <v>0</v>
      </c>
      <c r="G221" s="183" t="s">
        <v>544</v>
      </c>
    </row>
    <row r="222" spans="1:7" ht="18.75" customHeight="1" x14ac:dyDescent="0.3"/>
    <row r="223" spans="1:7" ht="24" x14ac:dyDescent="0.3">
      <c r="A223" s="182" t="s">
        <v>533</v>
      </c>
      <c r="B223" s="146" t="s">
        <v>534</v>
      </c>
      <c r="C223" s="41"/>
      <c r="D223" s="43">
        <v>-585950</v>
      </c>
      <c r="E223" s="43">
        <f>+D223</f>
        <v>-585950</v>
      </c>
      <c r="F223" s="43">
        <f>+E223-D223</f>
        <v>0</v>
      </c>
      <c r="G223" s="172" t="s">
        <v>545</v>
      </c>
    </row>
    <row r="225" spans="1:7" ht="36" x14ac:dyDescent="0.3">
      <c r="A225" s="182" t="s">
        <v>536</v>
      </c>
      <c r="B225" s="146" t="s">
        <v>339</v>
      </c>
      <c r="C225" s="41"/>
      <c r="D225" s="43">
        <v>739217</v>
      </c>
      <c r="E225" s="43">
        <f>+D225</f>
        <v>739217</v>
      </c>
      <c r="F225" s="43">
        <f>+E225-D225</f>
        <v>0</v>
      </c>
      <c r="G225" s="172" t="s">
        <v>546</v>
      </c>
    </row>
    <row r="226" spans="1:7" ht="15.75" customHeight="1" x14ac:dyDescent="0.3"/>
    <row r="227" spans="1:7" ht="24" x14ac:dyDescent="0.3">
      <c r="A227" s="182" t="s">
        <v>538</v>
      </c>
      <c r="B227" s="146" t="s">
        <v>539</v>
      </c>
      <c r="C227" s="41"/>
      <c r="D227" s="43">
        <f>+D221+D223+D225</f>
        <v>115790</v>
      </c>
      <c r="E227" s="43">
        <f>+E221+E223+E225</f>
        <v>115790</v>
      </c>
      <c r="F227" s="43">
        <f>+E227-D227</f>
        <v>0</v>
      </c>
      <c r="G227" s="176"/>
    </row>
    <row r="229" spans="1:7" ht="24" x14ac:dyDescent="0.3">
      <c r="A229" s="182" t="s">
        <v>217</v>
      </c>
      <c r="B229" s="146" t="s">
        <v>452</v>
      </c>
      <c r="C229" s="41"/>
      <c r="D229" s="43">
        <v>550143</v>
      </c>
      <c r="E229" s="43">
        <f>+D229</f>
        <v>550143</v>
      </c>
      <c r="F229" s="43">
        <f>+E229-D229</f>
        <v>0</v>
      </c>
      <c r="G229" s="176"/>
    </row>
    <row r="231" spans="1:7" ht="32.25" customHeight="1" thickBot="1" x14ac:dyDescent="0.35">
      <c r="A231" s="184" t="s">
        <v>540</v>
      </c>
      <c r="B231" s="139" t="s">
        <v>541</v>
      </c>
      <c r="C231" s="139"/>
      <c r="D231" s="141">
        <f>+D227+D229</f>
        <v>665933</v>
      </c>
      <c r="E231" s="141">
        <f>+E227+E229</f>
        <v>665933</v>
      </c>
      <c r="F231" s="141">
        <f>+E231-D231</f>
        <v>0</v>
      </c>
      <c r="G231" s="179"/>
    </row>
    <row r="232" spans="1:7" x14ac:dyDescent="0.3">
      <c r="A232" s="101"/>
      <c r="B232" s="101"/>
      <c r="C232" s="101"/>
      <c r="D232" s="101"/>
      <c r="E232" s="101"/>
      <c r="F232" s="101"/>
      <c r="G232" s="101"/>
    </row>
    <row r="233" spans="1:7" x14ac:dyDescent="0.3">
      <c r="A233" s="101"/>
      <c r="B233" s="101"/>
      <c r="C233" s="101"/>
      <c r="D233" s="101"/>
      <c r="E233" s="101"/>
      <c r="F233" s="101"/>
      <c r="G233" s="101"/>
    </row>
    <row r="234" spans="1:7" x14ac:dyDescent="0.3">
      <c r="A234" s="101"/>
      <c r="B234" s="101"/>
      <c r="C234" s="101"/>
      <c r="D234" s="101"/>
      <c r="E234" s="102"/>
      <c r="F234" s="101"/>
      <c r="G234" s="101"/>
    </row>
    <row r="235" spans="1:7" ht="15.6" x14ac:dyDescent="0.3">
      <c r="A235" s="505" t="s">
        <v>547</v>
      </c>
      <c r="B235" s="505"/>
      <c r="C235" s="505"/>
      <c r="D235" s="505"/>
      <c r="E235" s="505"/>
      <c r="F235" s="505"/>
      <c r="G235" s="505"/>
    </row>
    <row r="236" spans="1:7" x14ac:dyDescent="0.3">
      <c r="A236" s="101"/>
      <c r="B236" s="101"/>
      <c r="C236" s="101"/>
      <c r="D236" s="101"/>
      <c r="E236" s="101"/>
      <c r="F236" s="101"/>
      <c r="G236" s="101"/>
    </row>
    <row r="237" spans="1:7" x14ac:dyDescent="0.3">
      <c r="A237" s="504" t="s">
        <v>304</v>
      </c>
      <c r="B237" s="504"/>
      <c r="C237" s="504"/>
      <c r="D237" s="504"/>
      <c r="E237" s="504"/>
      <c r="F237" s="504"/>
      <c r="G237" s="504"/>
    </row>
    <row r="238" spans="1:7" ht="15" thickBot="1" x14ac:dyDescent="0.35">
      <c r="A238" s="101"/>
      <c r="B238" s="101"/>
      <c r="C238" s="101"/>
      <c r="D238" s="101"/>
      <c r="E238" s="101"/>
      <c r="F238" s="101"/>
      <c r="G238" s="101"/>
    </row>
    <row r="239" spans="1:7" ht="48" x14ac:dyDescent="0.3">
      <c r="A239" s="180" t="s">
        <v>548</v>
      </c>
      <c r="B239" s="37" t="s">
        <v>306</v>
      </c>
      <c r="C239" s="37" t="s">
        <v>307</v>
      </c>
      <c r="D239" s="37" t="s">
        <v>308</v>
      </c>
      <c r="E239" s="37" t="s">
        <v>309</v>
      </c>
      <c r="F239" s="37" t="s">
        <v>310</v>
      </c>
      <c r="G239" s="181" t="s">
        <v>311</v>
      </c>
    </row>
    <row r="240" spans="1:7" ht="147.75" customHeight="1" thickBot="1" x14ac:dyDescent="0.35">
      <c r="A240" s="185" t="s">
        <v>549</v>
      </c>
      <c r="B240" s="186" t="s">
        <v>550</v>
      </c>
      <c r="C240" s="187" t="s">
        <v>551</v>
      </c>
      <c r="D240" s="188">
        <v>3311059</v>
      </c>
      <c r="E240" s="188">
        <f>1672021-124418+5224+81+83601+163749+467737+1043064</f>
        <v>3311059</v>
      </c>
      <c r="F240" s="189">
        <f>+D240-E240</f>
        <v>0</v>
      </c>
      <c r="G240" s="190" t="s">
        <v>552</v>
      </c>
    </row>
    <row r="241" spans="1:7" x14ac:dyDescent="0.3">
      <c r="A241" s="101"/>
      <c r="B241" s="101"/>
      <c r="C241" s="101"/>
      <c r="D241" s="101"/>
      <c r="E241" s="101"/>
      <c r="F241" s="101"/>
      <c r="G241" s="101"/>
    </row>
    <row r="242" spans="1:7" x14ac:dyDescent="0.3">
      <c r="A242" s="101"/>
      <c r="B242" s="101"/>
      <c r="C242" s="101"/>
      <c r="D242" s="101"/>
      <c r="E242" s="101"/>
      <c r="F242" s="101"/>
      <c r="G242" s="101"/>
    </row>
    <row r="243" spans="1:7" x14ac:dyDescent="0.3">
      <c r="A243" s="101"/>
      <c r="B243" s="101"/>
      <c r="C243" s="101"/>
      <c r="D243" s="101"/>
      <c r="E243" s="101"/>
      <c r="F243" s="101"/>
      <c r="G243" s="101"/>
    </row>
    <row r="244" spans="1:7" ht="15.6" x14ac:dyDescent="0.3">
      <c r="A244" s="505" t="s">
        <v>553</v>
      </c>
      <c r="B244" s="505"/>
      <c r="C244" s="505"/>
      <c r="D244" s="505"/>
      <c r="E244" s="505"/>
      <c r="F244" s="505"/>
      <c r="G244" s="505"/>
    </row>
    <row r="245" spans="1:7" x14ac:dyDescent="0.3">
      <c r="A245" s="101"/>
      <c r="B245" s="101"/>
      <c r="C245" s="101"/>
      <c r="D245" s="101"/>
      <c r="E245" s="101"/>
      <c r="F245" s="101"/>
      <c r="G245" s="101"/>
    </row>
    <row r="246" spans="1:7" x14ac:dyDescent="0.3">
      <c r="A246" s="504" t="s">
        <v>304</v>
      </c>
      <c r="B246" s="504"/>
      <c r="C246" s="504"/>
      <c r="D246" s="504"/>
      <c r="E246" s="504"/>
      <c r="F246" s="504"/>
      <c r="G246" s="504"/>
    </row>
    <row r="247" spans="1:7" ht="15" thickBot="1" x14ac:dyDescent="0.35">
      <c r="A247" s="101"/>
      <c r="B247" s="101"/>
      <c r="C247" s="101"/>
      <c r="D247" s="101"/>
      <c r="E247" s="101"/>
      <c r="F247" s="101"/>
      <c r="G247" s="101"/>
    </row>
    <row r="248" spans="1:7" ht="48" x14ac:dyDescent="0.3">
      <c r="A248" s="180" t="s">
        <v>554</v>
      </c>
      <c r="B248" s="37" t="s">
        <v>306</v>
      </c>
      <c r="C248" s="37" t="s">
        <v>307</v>
      </c>
      <c r="D248" s="37" t="s">
        <v>308</v>
      </c>
      <c r="E248" s="37" t="s">
        <v>309</v>
      </c>
      <c r="F248" s="37" t="s">
        <v>310</v>
      </c>
      <c r="G248" s="181" t="s">
        <v>311</v>
      </c>
    </row>
    <row r="249" spans="1:7" ht="147" customHeight="1" thickBot="1" x14ac:dyDescent="0.35">
      <c r="A249" s="185" t="s">
        <v>549</v>
      </c>
      <c r="B249" s="186" t="s">
        <v>550</v>
      </c>
      <c r="C249" s="187" t="s">
        <v>551</v>
      </c>
      <c r="D249" s="189">
        <v>2863857</v>
      </c>
      <c r="E249" s="189">
        <f>+D249</f>
        <v>2863857</v>
      </c>
      <c r="F249" s="189">
        <f>E249-D249</f>
        <v>0</v>
      </c>
      <c r="G249" s="191" t="s">
        <v>555</v>
      </c>
    </row>
  </sheetData>
  <mergeCells count="15">
    <mergeCell ref="A119:G119"/>
    <mergeCell ref="A1:J30"/>
    <mergeCell ref="A32:G32"/>
    <mergeCell ref="A34:G34"/>
    <mergeCell ref="A41:G41"/>
    <mergeCell ref="A82:G82"/>
    <mergeCell ref="A237:G237"/>
    <mergeCell ref="A244:G244"/>
    <mergeCell ref="A246:G246"/>
    <mergeCell ref="A163:G163"/>
    <mergeCell ref="A197:G197"/>
    <mergeCell ref="A199:G199"/>
    <mergeCell ref="A216:G216"/>
    <mergeCell ref="A218:G218"/>
    <mergeCell ref="A235:G2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5EFA-FE6A-4C44-B0FD-5242E6921603}">
  <dimension ref="A1:N89"/>
  <sheetViews>
    <sheetView workbookViewId="0">
      <selection sqref="A1:XFD1048576"/>
    </sheetView>
  </sheetViews>
  <sheetFormatPr defaultColWidth="9.109375" defaultRowHeight="13.2" x14ac:dyDescent="0.25"/>
  <cols>
    <col min="1" max="1" width="213" style="193" customWidth="1"/>
    <col min="2" max="2" width="9.109375" style="193"/>
    <col min="3" max="3" width="1.6640625" style="193" hidden="1" customWidth="1"/>
    <col min="4" max="4" width="2.6640625" style="193" hidden="1" customWidth="1"/>
    <col min="5" max="5" width="1.109375" style="193" hidden="1" customWidth="1"/>
    <col min="6" max="6" width="4.33203125" style="193" hidden="1" customWidth="1"/>
    <col min="7" max="7" width="0.33203125" style="193" hidden="1" customWidth="1"/>
    <col min="8" max="9" width="9.109375" style="193" hidden="1" customWidth="1"/>
    <col min="10" max="10" width="3.6640625" style="193" hidden="1" customWidth="1"/>
    <col min="11" max="11" width="9.109375" style="193"/>
    <col min="12" max="12" width="18.33203125" style="193" customWidth="1"/>
    <col min="13" max="13" width="10.109375" style="193" bestFit="1" customWidth="1"/>
    <col min="14" max="14" width="17.5546875" style="193" customWidth="1"/>
    <col min="15" max="16384" width="9.109375" style="193"/>
  </cols>
  <sheetData>
    <row r="1" spans="1:10" x14ac:dyDescent="0.25">
      <c r="A1" s="507" t="s">
        <v>560</v>
      </c>
      <c r="B1" s="508"/>
      <c r="C1" s="508"/>
      <c r="D1" s="508"/>
      <c r="E1" s="508"/>
      <c r="F1" s="508"/>
      <c r="G1" s="508"/>
      <c r="H1" s="508"/>
      <c r="I1" s="508"/>
      <c r="J1" s="508"/>
    </row>
    <row r="2" spans="1:10" x14ac:dyDescent="0.25">
      <c r="A2" s="508"/>
      <c r="B2" s="508"/>
      <c r="C2" s="508"/>
      <c r="D2" s="508"/>
      <c r="E2" s="508"/>
      <c r="F2" s="508"/>
      <c r="G2" s="508"/>
      <c r="H2" s="508"/>
      <c r="I2" s="508"/>
      <c r="J2" s="508"/>
    </row>
    <row r="3" spans="1:10" x14ac:dyDescent="0.25">
      <c r="A3" s="508"/>
      <c r="B3" s="508"/>
      <c r="C3" s="508"/>
      <c r="D3" s="508"/>
      <c r="E3" s="508"/>
      <c r="F3" s="508"/>
      <c r="G3" s="508"/>
      <c r="H3" s="508"/>
      <c r="I3" s="508"/>
      <c r="J3" s="508"/>
    </row>
    <row r="4" spans="1:10" x14ac:dyDescent="0.25">
      <c r="A4" s="508"/>
      <c r="B4" s="508"/>
      <c r="C4" s="508"/>
      <c r="D4" s="508"/>
      <c r="E4" s="508"/>
      <c r="F4" s="508"/>
      <c r="G4" s="508"/>
      <c r="H4" s="508"/>
      <c r="I4" s="508"/>
      <c r="J4" s="508"/>
    </row>
    <row r="5" spans="1:10" x14ac:dyDescent="0.25">
      <c r="A5" s="508"/>
      <c r="B5" s="508"/>
      <c r="C5" s="508"/>
      <c r="D5" s="508"/>
      <c r="E5" s="508"/>
      <c r="F5" s="508"/>
      <c r="G5" s="508"/>
      <c r="H5" s="508"/>
      <c r="I5" s="508"/>
      <c r="J5" s="508"/>
    </row>
    <row r="6" spans="1:10" x14ac:dyDescent="0.25">
      <c r="A6" s="508"/>
      <c r="B6" s="508"/>
      <c r="C6" s="508"/>
      <c r="D6" s="508"/>
      <c r="E6" s="508"/>
      <c r="F6" s="508"/>
      <c r="G6" s="508"/>
      <c r="H6" s="508"/>
      <c r="I6" s="508"/>
      <c r="J6" s="508"/>
    </row>
    <row r="7" spans="1:10" x14ac:dyDescent="0.25">
      <c r="A7" s="508"/>
      <c r="B7" s="508"/>
      <c r="C7" s="508"/>
      <c r="D7" s="508"/>
      <c r="E7" s="508"/>
      <c r="F7" s="508"/>
      <c r="G7" s="508"/>
      <c r="H7" s="508"/>
      <c r="I7" s="508"/>
      <c r="J7" s="508"/>
    </row>
    <row r="8" spans="1:10" x14ac:dyDescent="0.25">
      <c r="A8" s="508"/>
      <c r="B8" s="508"/>
      <c r="C8" s="508"/>
      <c r="D8" s="508"/>
      <c r="E8" s="508"/>
      <c r="F8" s="508"/>
      <c r="G8" s="508"/>
      <c r="H8" s="508"/>
      <c r="I8" s="508"/>
      <c r="J8" s="508"/>
    </row>
    <row r="9" spans="1:10" x14ac:dyDescent="0.25">
      <c r="A9" s="508"/>
      <c r="B9" s="508"/>
      <c r="C9" s="508"/>
      <c r="D9" s="508"/>
      <c r="E9" s="508"/>
      <c r="F9" s="508"/>
      <c r="G9" s="508"/>
      <c r="H9" s="508"/>
      <c r="I9" s="508"/>
      <c r="J9" s="508"/>
    </row>
    <row r="10" spans="1:10" x14ac:dyDescent="0.25">
      <c r="A10" s="508"/>
      <c r="B10" s="508"/>
      <c r="C10" s="508"/>
      <c r="D10" s="508"/>
      <c r="E10" s="508"/>
      <c r="F10" s="508"/>
      <c r="G10" s="508"/>
      <c r="H10" s="508"/>
      <c r="I10" s="508"/>
      <c r="J10" s="508"/>
    </row>
    <row r="11" spans="1:10" x14ac:dyDescent="0.25">
      <c r="A11" s="508"/>
      <c r="B11" s="508"/>
      <c r="C11" s="508"/>
      <c r="D11" s="508"/>
      <c r="E11" s="508"/>
      <c r="F11" s="508"/>
      <c r="G11" s="508"/>
      <c r="H11" s="508"/>
      <c r="I11" s="508"/>
      <c r="J11" s="508"/>
    </row>
    <row r="12" spans="1:10" x14ac:dyDescent="0.25">
      <c r="A12" s="508"/>
      <c r="B12" s="508"/>
      <c r="C12" s="508"/>
      <c r="D12" s="508"/>
      <c r="E12" s="508"/>
      <c r="F12" s="508"/>
      <c r="G12" s="508"/>
      <c r="H12" s="508"/>
      <c r="I12" s="508"/>
      <c r="J12" s="508"/>
    </row>
    <row r="13" spans="1:10" x14ac:dyDescent="0.25">
      <c r="A13" s="508"/>
      <c r="B13" s="508"/>
      <c r="C13" s="508"/>
      <c r="D13" s="508"/>
      <c r="E13" s="508"/>
      <c r="F13" s="508"/>
      <c r="G13" s="508"/>
      <c r="H13" s="508"/>
      <c r="I13" s="508"/>
      <c r="J13" s="508"/>
    </row>
    <row r="14" spans="1:10" x14ac:dyDescent="0.25">
      <c r="A14" s="508"/>
      <c r="B14" s="508"/>
      <c r="C14" s="508"/>
      <c r="D14" s="508"/>
      <c r="E14" s="508"/>
      <c r="F14" s="508"/>
      <c r="G14" s="508"/>
      <c r="H14" s="508"/>
      <c r="I14" s="508"/>
      <c r="J14" s="508"/>
    </row>
    <row r="15" spans="1:10" x14ac:dyDescent="0.25">
      <c r="A15" s="508"/>
      <c r="B15" s="508"/>
      <c r="C15" s="508"/>
      <c r="D15" s="508"/>
      <c r="E15" s="508"/>
      <c r="F15" s="508"/>
      <c r="G15" s="508"/>
      <c r="H15" s="508"/>
      <c r="I15" s="508"/>
      <c r="J15" s="508"/>
    </row>
    <row r="16" spans="1:10" x14ac:dyDescent="0.25">
      <c r="A16" s="508"/>
      <c r="B16" s="508"/>
      <c r="C16" s="508"/>
      <c r="D16" s="508"/>
      <c r="E16" s="508"/>
      <c r="F16" s="508"/>
      <c r="G16" s="508"/>
      <c r="H16" s="508"/>
      <c r="I16" s="508"/>
      <c r="J16" s="508"/>
    </row>
    <row r="17" spans="1:10" x14ac:dyDescent="0.25">
      <c r="A17" s="508"/>
      <c r="B17" s="508"/>
      <c r="C17" s="508"/>
      <c r="D17" s="508"/>
      <c r="E17" s="508"/>
      <c r="F17" s="508"/>
      <c r="G17" s="508"/>
      <c r="H17" s="508"/>
      <c r="I17" s="508"/>
      <c r="J17" s="508"/>
    </row>
    <row r="18" spans="1:10" x14ac:dyDescent="0.25">
      <c r="A18" s="508"/>
      <c r="B18" s="508"/>
      <c r="C18" s="508"/>
      <c r="D18" s="508"/>
      <c r="E18" s="508"/>
      <c r="F18" s="508"/>
      <c r="G18" s="508"/>
      <c r="H18" s="508"/>
      <c r="I18" s="508"/>
      <c r="J18" s="508"/>
    </row>
    <row r="19" spans="1:10" x14ac:dyDescent="0.25">
      <c r="A19" s="508"/>
      <c r="B19" s="508"/>
      <c r="C19" s="508"/>
      <c r="D19" s="508"/>
      <c r="E19" s="508"/>
      <c r="F19" s="508"/>
      <c r="G19" s="508"/>
      <c r="H19" s="508"/>
      <c r="I19" s="508"/>
      <c r="J19" s="508"/>
    </row>
    <row r="20" spans="1:10" x14ac:dyDescent="0.25">
      <c r="A20" s="508"/>
      <c r="B20" s="508"/>
      <c r="C20" s="508"/>
      <c r="D20" s="508"/>
      <c r="E20" s="508"/>
      <c r="F20" s="508"/>
      <c r="G20" s="508"/>
      <c r="H20" s="508"/>
      <c r="I20" s="508"/>
      <c r="J20" s="508"/>
    </row>
    <row r="21" spans="1:10" x14ac:dyDescent="0.25">
      <c r="A21" s="508"/>
      <c r="B21" s="508"/>
      <c r="C21" s="508"/>
      <c r="D21" s="508"/>
      <c r="E21" s="508"/>
      <c r="F21" s="508"/>
      <c r="G21" s="508"/>
      <c r="H21" s="508"/>
      <c r="I21" s="508"/>
      <c r="J21" s="508"/>
    </row>
    <row r="22" spans="1:10" x14ac:dyDescent="0.25">
      <c r="A22" s="508"/>
      <c r="B22" s="508"/>
      <c r="C22" s="508"/>
      <c r="D22" s="508"/>
      <c r="E22" s="508"/>
      <c r="F22" s="508"/>
      <c r="G22" s="508"/>
      <c r="H22" s="508"/>
      <c r="I22" s="508"/>
      <c r="J22" s="508"/>
    </row>
    <row r="23" spans="1:10" x14ac:dyDescent="0.25">
      <c r="A23" s="508"/>
      <c r="B23" s="508"/>
      <c r="C23" s="508"/>
      <c r="D23" s="508"/>
      <c r="E23" s="508"/>
      <c r="F23" s="508"/>
      <c r="G23" s="508"/>
      <c r="H23" s="508"/>
      <c r="I23" s="508"/>
      <c r="J23" s="508"/>
    </row>
    <row r="24" spans="1:10" x14ac:dyDescent="0.25">
      <c r="A24" s="508"/>
      <c r="B24" s="508"/>
      <c r="C24" s="508"/>
      <c r="D24" s="508"/>
      <c r="E24" s="508"/>
      <c r="F24" s="508"/>
      <c r="G24" s="508"/>
      <c r="H24" s="508"/>
      <c r="I24" s="508"/>
      <c r="J24" s="508"/>
    </row>
    <row r="25" spans="1:10" ht="102.75" customHeight="1" x14ac:dyDescent="0.25">
      <c r="A25" s="508"/>
      <c r="B25" s="508"/>
      <c r="C25" s="508"/>
      <c r="D25" s="508"/>
      <c r="E25" s="508"/>
      <c r="F25" s="508"/>
      <c r="G25" s="508"/>
      <c r="H25" s="508"/>
      <c r="I25" s="508"/>
      <c r="J25" s="508"/>
    </row>
    <row r="26" spans="1:10" ht="104.25" customHeight="1" x14ac:dyDescent="0.25">
      <c r="A26" s="508"/>
      <c r="B26" s="508"/>
      <c r="C26" s="508"/>
      <c r="D26" s="508"/>
      <c r="E26" s="508"/>
      <c r="F26" s="508"/>
      <c r="G26" s="508"/>
      <c r="H26" s="508"/>
      <c r="I26" s="508"/>
      <c r="J26" s="508"/>
    </row>
    <row r="27" spans="1:10" ht="75" customHeight="1" x14ac:dyDescent="0.25">
      <c r="A27" s="508"/>
      <c r="B27" s="508"/>
      <c r="C27" s="508"/>
      <c r="D27" s="508"/>
      <c r="E27" s="508"/>
      <c r="F27" s="508"/>
      <c r="G27" s="508"/>
      <c r="H27" s="508"/>
      <c r="I27" s="508"/>
      <c r="J27" s="508"/>
    </row>
    <row r="28" spans="1:10" ht="87.75" customHeight="1" x14ac:dyDescent="0.25">
      <c r="A28" s="508"/>
      <c r="B28" s="508"/>
      <c r="C28" s="508"/>
      <c r="D28" s="508"/>
      <c r="E28" s="508"/>
      <c r="F28" s="508"/>
      <c r="G28" s="508"/>
      <c r="H28" s="508"/>
      <c r="I28" s="508"/>
      <c r="J28" s="508"/>
    </row>
    <row r="29" spans="1:10" ht="85.5" customHeight="1" x14ac:dyDescent="0.25">
      <c r="A29" s="508"/>
      <c r="B29" s="508"/>
      <c r="C29" s="508"/>
      <c r="D29" s="508"/>
      <c r="E29" s="508"/>
      <c r="F29" s="508"/>
      <c r="G29" s="508"/>
      <c r="H29" s="508"/>
      <c r="I29" s="508"/>
      <c r="J29" s="508"/>
    </row>
    <row r="30" spans="1:10" ht="194.25" customHeight="1" x14ac:dyDescent="0.25">
      <c r="A30" s="508"/>
      <c r="B30" s="508"/>
      <c r="C30" s="508"/>
      <c r="D30" s="508"/>
      <c r="E30" s="508"/>
      <c r="F30" s="508"/>
      <c r="G30" s="508"/>
      <c r="H30" s="508"/>
      <c r="I30" s="508"/>
      <c r="J30" s="508"/>
    </row>
    <row r="31" spans="1:10" ht="52.8" x14ac:dyDescent="0.25">
      <c r="A31" s="24" t="s">
        <v>561</v>
      </c>
      <c r="B31" s="25"/>
      <c r="C31" s="25"/>
      <c r="D31" s="25"/>
      <c r="E31" s="25"/>
      <c r="F31" s="25"/>
      <c r="G31" s="25"/>
      <c r="H31" s="25"/>
      <c r="I31" s="25"/>
      <c r="J31" s="25"/>
    </row>
    <row r="32" spans="1:10" ht="21" customHeight="1" x14ac:dyDescent="0.25">
      <c r="A32" s="25"/>
      <c r="B32" s="25"/>
      <c r="C32" s="25"/>
      <c r="D32" s="25"/>
      <c r="E32" s="25"/>
      <c r="F32" s="25"/>
      <c r="G32" s="25"/>
      <c r="H32" s="25"/>
      <c r="I32" s="25"/>
      <c r="J32" s="25"/>
    </row>
    <row r="33" spans="1:10" ht="27" customHeight="1" x14ac:dyDescent="0.25">
      <c r="A33" s="194" t="s">
        <v>562</v>
      </c>
      <c r="B33" s="25"/>
      <c r="C33" s="194"/>
      <c r="D33" s="194"/>
      <c r="E33" s="194"/>
      <c r="F33" s="194"/>
      <c r="G33" s="194"/>
      <c r="H33" s="194"/>
      <c r="I33" s="194"/>
      <c r="J33" s="194"/>
    </row>
    <row r="34" spans="1:10" ht="35.25" customHeight="1" x14ac:dyDescent="0.25">
      <c r="A34" s="194" t="s">
        <v>563</v>
      </c>
      <c r="B34" s="25"/>
      <c r="C34" s="194"/>
      <c r="D34" s="194"/>
      <c r="E34" s="194"/>
      <c r="F34" s="194"/>
      <c r="G34" s="194"/>
      <c r="H34" s="194"/>
      <c r="I34" s="194"/>
      <c r="J34" s="194"/>
    </row>
    <row r="35" spans="1:10" x14ac:dyDescent="0.25">
      <c r="A35" s="194" t="s">
        <v>564</v>
      </c>
      <c r="B35" s="25"/>
      <c r="C35" s="194"/>
      <c r="D35" s="194"/>
      <c r="E35" s="194"/>
      <c r="F35" s="194"/>
      <c r="G35" s="194"/>
      <c r="H35" s="194"/>
      <c r="I35" s="194"/>
      <c r="J35" s="194"/>
    </row>
    <row r="36" spans="1:10" x14ac:dyDescent="0.25">
      <c r="B36" s="25"/>
    </row>
    <row r="37" spans="1:10" x14ac:dyDescent="0.25">
      <c r="A37" s="195" t="s">
        <v>565</v>
      </c>
      <c r="B37" s="25"/>
    </row>
    <row r="38" spans="1:10" x14ac:dyDescent="0.25">
      <c r="B38" s="25"/>
    </row>
    <row r="39" spans="1:10" ht="26.25" customHeight="1" x14ac:dyDescent="0.25">
      <c r="A39" s="194" t="s">
        <v>566</v>
      </c>
      <c r="B39" s="25"/>
    </row>
    <row r="40" spans="1:10" x14ac:dyDescent="0.25">
      <c r="A40" s="194"/>
      <c r="B40" s="25"/>
    </row>
    <row r="41" spans="1:10" ht="26.4" x14ac:dyDescent="0.25">
      <c r="A41" s="194" t="s">
        <v>567</v>
      </c>
      <c r="B41" s="25"/>
    </row>
    <row r="42" spans="1:10" x14ac:dyDescent="0.25">
      <c r="A42" s="194"/>
    </row>
    <row r="43" spans="1:10" x14ac:dyDescent="0.25">
      <c r="A43" s="194" t="s">
        <v>568</v>
      </c>
    </row>
    <row r="44" spans="1:10" x14ac:dyDescent="0.25">
      <c r="A44" s="194"/>
    </row>
    <row r="45" spans="1:10" x14ac:dyDescent="0.25">
      <c r="A45" s="194" t="s">
        <v>569</v>
      </c>
    </row>
    <row r="46" spans="1:10" x14ac:dyDescent="0.25">
      <c r="A46" s="194"/>
    </row>
    <row r="47" spans="1:10" x14ac:dyDescent="0.25">
      <c r="A47" s="194" t="s">
        <v>570</v>
      </c>
    </row>
    <row r="48" spans="1:10" x14ac:dyDescent="0.25">
      <c r="A48" s="194"/>
    </row>
    <row r="49" spans="1:14" x14ac:dyDescent="0.25">
      <c r="A49" s="194" t="s">
        <v>571</v>
      </c>
    </row>
    <row r="50" spans="1:14" x14ac:dyDescent="0.25">
      <c r="A50" s="194"/>
    </row>
    <row r="51" spans="1:14" x14ac:dyDescent="0.25">
      <c r="A51" s="194" t="s">
        <v>572</v>
      </c>
      <c r="K51" s="196"/>
    </row>
    <row r="52" spans="1:14" x14ac:dyDescent="0.25">
      <c r="A52" s="194"/>
    </row>
    <row r="53" spans="1:14" ht="26.4" x14ac:dyDescent="0.25">
      <c r="A53" s="194" t="s">
        <v>573</v>
      </c>
      <c r="N53" s="197"/>
    </row>
    <row r="54" spans="1:14" x14ac:dyDescent="0.25">
      <c r="A54" s="194"/>
      <c r="N54" s="197"/>
    </row>
    <row r="55" spans="1:14" ht="26.4" x14ac:dyDescent="0.25">
      <c r="A55" s="194" t="s">
        <v>574</v>
      </c>
      <c r="K55" s="196"/>
      <c r="N55" s="197"/>
    </row>
    <row r="58" spans="1:14" x14ac:dyDescent="0.25">
      <c r="A58" s="195" t="s">
        <v>575</v>
      </c>
    </row>
    <row r="60" spans="1:14" x14ac:dyDescent="0.25">
      <c r="A60" s="193" t="s">
        <v>576</v>
      </c>
    </row>
    <row r="62" spans="1:14" ht="26.4" x14ac:dyDescent="0.25">
      <c r="A62" s="194" t="s">
        <v>577</v>
      </c>
    </row>
    <row r="63" spans="1:14" x14ac:dyDescent="0.25">
      <c r="A63" s="198"/>
    </row>
    <row r="64" spans="1:14" x14ac:dyDescent="0.25">
      <c r="A64" s="194" t="s">
        <v>578</v>
      </c>
      <c r="K64" s="196"/>
    </row>
    <row r="65" spans="1:12" x14ac:dyDescent="0.25">
      <c r="A65" s="198"/>
    </row>
    <row r="66" spans="1:12" ht="26.4" x14ac:dyDescent="0.25">
      <c r="A66" s="194" t="s">
        <v>579</v>
      </c>
    </row>
    <row r="67" spans="1:12" x14ac:dyDescent="0.25">
      <c r="A67" s="198"/>
    </row>
    <row r="68" spans="1:12" ht="26.4" x14ac:dyDescent="0.25">
      <c r="A68" s="194" t="s">
        <v>580</v>
      </c>
    </row>
    <row r="69" spans="1:12" x14ac:dyDescent="0.25">
      <c r="A69" s="198"/>
    </row>
    <row r="70" spans="1:12" x14ac:dyDescent="0.25">
      <c r="A70" s="194" t="s">
        <v>581</v>
      </c>
    </row>
    <row r="71" spans="1:12" x14ac:dyDescent="0.25">
      <c r="A71" s="198"/>
    </row>
    <row r="72" spans="1:12" x14ac:dyDescent="0.25">
      <c r="A72" s="194" t="s">
        <v>582</v>
      </c>
    </row>
    <row r="73" spans="1:12" x14ac:dyDescent="0.25">
      <c r="A73" s="198"/>
    </row>
    <row r="74" spans="1:12" s="199" customFormat="1" x14ac:dyDescent="0.25">
      <c r="A74" s="194" t="s">
        <v>583</v>
      </c>
      <c r="K74" s="193"/>
      <c r="L74" s="193"/>
    </row>
    <row r="75" spans="1:12" x14ac:dyDescent="0.25">
      <c r="A75" s="198"/>
    </row>
    <row r="76" spans="1:12" s="199" customFormat="1" x14ac:dyDescent="0.25">
      <c r="A76" s="194" t="s">
        <v>584</v>
      </c>
      <c r="L76" s="200"/>
    </row>
    <row r="79" spans="1:12" x14ac:dyDescent="0.25">
      <c r="A79" s="195" t="s">
        <v>585</v>
      </c>
      <c r="B79" s="195"/>
      <c r="C79" s="195"/>
      <c r="D79" s="195"/>
      <c r="E79" s="195"/>
      <c r="F79" s="195"/>
      <c r="G79" s="195"/>
      <c r="H79" s="192"/>
    </row>
    <row r="81" spans="1:11" ht="26.4" x14ac:dyDescent="0.25">
      <c r="A81" s="201" t="s">
        <v>586</v>
      </c>
    </row>
    <row r="82" spans="1:11" s="199" customFormat="1" x14ac:dyDescent="0.25">
      <c r="K82" s="193"/>
    </row>
    <row r="83" spans="1:11" x14ac:dyDescent="0.25">
      <c r="A83" s="193" t="s">
        <v>587</v>
      </c>
    </row>
    <row r="84" spans="1:11" s="199" customFormat="1" x14ac:dyDescent="0.25">
      <c r="K84" s="193"/>
    </row>
    <row r="85" spans="1:11" ht="26.4" x14ac:dyDescent="0.25">
      <c r="A85" s="201" t="s">
        <v>588</v>
      </c>
    </row>
    <row r="87" spans="1:11" x14ac:dyDescent="0.25">
      <c r="A87" s="195" t="s">
        <v>589</v>
      </c>
    </row>
    <row r="89" spans="1:11" ht="52.8" x14ac:dyDescent="0.25">
      <c r="A89" s="201" t="s">
        <v>590</v>
      </c>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F b x e W f l A / h C l A A A A 9 Q A A A B I A H A B D b 2 5 m a W c v U G F j a 2 F n Z S 5 4 b W w g o h g A K K A U A A A A A A A A A A A A A A A A A A A A A A A A A A A A h Y 8 x D o I w G I W v Q r r T F o j R k J 8 y u D h I Y j Q x r k 2 p 0 A j F t M V y N w e P 5 B X E K O r m + L 7 3 D e / d r z f I h 7 Y J L t J Y 1 e k M R Z i i Q G r R l U p X G e r d M V y g n M G G i x O v Z D D K 2 q a D L T N U O 3 d O C f H e Y 5 / g z l Q k p j Q i h 2 K 9 E 7 V s O f r I 6 r 8 c K m 0 d 1 0 I i B v v X G B b j K E n w b I 4 p k I l B o f S 3 j 8 e 5 z / Y H w r J v X G 8 k q 0 2 4 2 g K Z I p D 3 B f Y A U E s D B B Q A A g A I A B W 8 X 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V v F 5 Z K I p H u A 4 A A A A R A A A A E w A c A E Z v c m 1 1 b G F z L 1 N l Y 3 R p b 2 4 x L m 0 g o h g A K K A U A A A A A A A A A A A A A A A A A A A A A A A A A A A A K 0 5 N L s n M z 1 M I h t C G 1 g B Q S w E C L Q A U A A I A C A A V v F 5 Z + U D + E K U A A A D 1 A A A A E g A A A A A A A A A A A A A A A A A A A A A A Q 2 9 u Z m l n L 1 B h Y 2 t h Z 2 U u e G 1 s U E s B A i 0 A F A A C A A g A F b x e W Q / K 6 a u k A A A A 6 Q A A A B M A A A A A A A A A A A A A A A A A 8 Q A A A F t D b 2 5 0 Z W 5 0 X 1 R 5 c G V z X S 5 4 b W x Q S w E C L Q A U A A I A C A A V v F 5 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L + Q t b t 0 w W E a 2 s 0 W k Q n J Z d g A A A A A C A A A A A A A Q Z g A A A A E A A C A A A A D N 8 4 h b Y q g V i z M 9 W r l s 4 x 5 2 z T N C / G t 8 A 3 k o Z y h S / q 5 W v g A A A A A O g A A A A A I A A C A A A A D j z u B s N b u 9 y w C J L P o Z 5 w k c X x 6 3 q Z r u u 2 R E O F g h V g V a g F A A A A B H v a 2 K 5 k v K G T b P V 1 C A p h D J f B H 7 Z N S H w k s B F y w x w u K e T f 8 m y g y C N m R R t 3 f P 6 S p t G C T f o W m v B a H 9 4 k k i h + B v r 5 d 1 L 2 1 z M u + Y C 1 n d m Q 0 w 1 m z W x E A A A A C / U l h E D A Z g 1 h t L T l 6 M A R n k d T u Q d d 7 h R b 0 K w X M o Q 5 Q W k v N G A C H w N P 1 d n L 9 i r O o e 7 y T r v g z l 7 r s N r F U 6 p A L v 2 u O P < / D a t a M a s h u p > 
</file>

<file path=customXml/item2.xml><?xml version="1.0" encoding="utf-8"?>
<ct:contentTypeSchema xmlns:ct="http://schemas.microsoft.com/office/2006/metadata/contentType" xmlns:ma="http://schemas.microsoft.com/office/2006/metadata/properties/metaAttributes" ct:_="" ma:_="" ma:contentTypeName="Dokument" ma:contentTypeID="0x010100BA8193336FDA9349A292FA5D89C98024" ma:contentTypeVersion="4" ma:contentTypeDescription="Stvaranje novog dokumenta." ma:contentTypeScope="" ma:versionID="2c8de45b3e909088a4e00fcc016d31be">
  <xsd:schema xmlns:xsd="http://www.w3.org/2001/XMLSchema" xmlns:xs="http://www.w3.org/2001/XMLSchema" xmlns:p="http://schemas.microsoft.com/office/2006/metadata/properties" xmlns:ns2="8696df5f-8678-4afb-a87d-e4a6d53b320c" targetNamespace="http://schemas.microsoft.com/office/2006/metadata/properties" ma:root="true" ma:fieldsID="138a442d6fd31c3bb3fb85c7f4122ee0" ns2:_="">
    <xsd:import namespace="8696df5f-8678-4afb-a87d-e4a6d53b32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6df5f-8678-4afb-a87d-e4a6d53b3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D582BA-E8CE-47E5-9D2B-831221A0E817}">
  <ds:schemaRefs>
    <ds:schemaRef ds:uri="http://schemas.microsoft.com/DataMashup"/>
  </ds:schemaRefs>
</ds:datastoreItem>
</file>

<file path=customXml/itemProps2.xml><?xml version="1.0" encoding="utf-8"?>
<ds:datastoreItem xmlns:ds="http://schemas.openxmlformats.org/officeDocument/2006/customXml" ds:itemID="{44353979-9E4E-43B7-B24C-0EF09E686C34}"/>
</file>

<file path=customXml/itemProps3.xml><?xml version="1.0" encoding="utf-8"?>
<ds:datastoreItem xmlns:ds="http://schemas.openxmlformats.org/officeDocument/2006/customXml" ds:itemID="{9A932687-1284-4134-AEB8-051C056D5782}"/>
</file>

<file path=customXml/itemProps4.xml><?xml version="1.0" encoding="utf-8"?>
<ds:datastoreItem xmlns:ds="http://schemas.openxmlformats.org/officeDocument/2006/customXml" ds:itemID="{3FBF2985-BB9B-4A00-B85C-5B18D3E059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Bilanca</vt:lpstr>
      <vt:lpstr>Koeficijenti</vt:lpstr>
      <vt:lpstr>RDG</vt:lpstr>
      <vt:lpstr>NT_Indirektna metoda</vt:lpstr>
      <vt:lpstr>PK_2021</vt:lpstr>
      <vt:lpstr>PK_2023</vt:lpstr>
      <vt:lpstr>Bilješke_2021</vt:lpstr>
      <vt:lpstr>Bilješke_2023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Knezović</dc:creator>
  <cp:lastModifiedBy>Anita Knezović</cp:lastModifiedBy>
  <dcterms:created xsi:type="dcterms:W3CDTF">2024-10-30T17:23:11Z</dcterms:created>
  <dcterms:modified xsi:type="dcterms:W3CDTF">2024-12-04T12:40:36Z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0x010100BA8193336FDA9349A292FA5D89C98024</vt:lpwstr>
  </property>
</Properties>
</file>